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caseworks21.ameren.com/460/RiderEEIC/Library/2024 Nov Filing/"/>
    </mc:Choice>
  </mc:AlternateContent>
  <xr:revisionPtr revIDLastSave="0" documentId="13_ncr:1_{18EFC842-C847-4811-9A41-21779E830231}" xr6:coauthVersionLast="47" xr6:coauthVersionMax="47" xr10:uidLastSave="{00000000-0000-0000-0000-000000000000}"/>
  <bookViews>
    <workbookView xWindow="-120" yWindow="-120" windowWidth="29040" windowHeight="15720" tabRatio="751" activeTab="1" xr2:uid="{00000000-000D-0000-FFFF-FFFF00000000}"/>
  </bookViews>
  <sheets>
    <sheet name="MEEIA 4 calcs" sheetId="34" r:id="rId1"/>
    <sheet name="M4 Allocations - TD" sheetId="35" r:id="rId2"/>
    <sheet name="MEEIA 3 calcs" sheetId="27" r:id="rId3"/>
    <sheet name="PAYS interest calculation" sheetId="33" r:id="rId4"/>
    <sheet name="MEEIA 3 adjs" sheetId="29" r:id="rId5"/>
    <sheet name="M3 Allocations - TD" sheetId="28" r:id="rId6"/>
    <sheet name="M3 TD amort" sheetId="30" r:id="rId7"/>
    <sheet name="MEEIA 2 calcs" sheetId="1" r:id="rId8"/>
    <sheet name="MEEIA 2 adjs" sheetId="26" r:id="rId9"/>
    <sheet name="M2 Allocations - TD" sheetId="11" r:id="rId10"/>
    <sheet name="M2 TD amort" sheetId="22" r:id="rId11"/>
  </sheets>
  <externalReferences>
    <externalReference r:id="rId12"/>
    <externalReference r:id="rId13"/>
  </externalReferences>
  <definedNames>
    <definedName name="\A">#REF!</definedName>
    <definedName name="\B">#REF!</definedName>
    <definedName name="\C">#REF!</definedName>
    <definedName name="\D">#REF!</definedName>
    <definedName name="\E">#REF!</definedName>
    <definedName name="\F">#REF!</definedName>
    <definedName name="\G">#REF!</definedName>
    <definedName name="\i">#N/A</definedName>
    <definedName name="\M">#REF!</definedName>
    <definedName name="\N">#REF!</definedName>
    <definedName name="\O">#REF!</definedName>
    <definedName name="\P">#REF!</definedName>
    <definedName name="\Q">#REF!</definedName>
    <definedName name="\R">#REF!</definedName>
    <definedName name="\S">#REF!</definedName>
    <definedName name="\t">#N/A</definedName>
    <definedName name="\U">#REF!</definedName>
    <definedName name="\V">#REF!</definedName>
    <definedName name="\W">#REF!</definedName>
    <definedName name="\X">#REF!</definedName>
    <definedName name="\Y">#REF!</definedName>
    <definedName name="\Z">#REF!</definedName>
    <definedName name="_"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_p1">#REF!</definedName>
    <definedName name="____________________Com1">#REF!</definedName>
    <definedName name="____________________Com2">#REF!</definedName>
    <definedName name="____________________Com3">#REF!</definedName>
    <definedName name="____________________COM94">#REF!</definedName>
    <definedName name="____________________COM95">#REF!</definedName>
    <definedName name="____________________EXH1">#REF!</definedName>
    <definedName name="____________________EXH5">#REF!</definedName>
    <definedName name="____________________JV13">#REF!</definedName>
    <definedName name="____________________Key2" hidden="1">#REF!</definedName>
    <definedName name="____________________ms01">#REF!</definedName>
    <definedName name="____________________ms02">#REF!</definedName>
    <definedName name="____________________ms03">#REF!</definedName>
    <definedName name="____________________ms04">#REF!</definedName>
    <definedName name="____________________omd1">#REF!</definedName>
    <definedName name="____________________omd2">#REF!</definedName>
    <definedName name="____________________p1">#REF!</definedName>
    <definedName name="____________________rb1">#REF!</definedName>
    <definedName name="____________________rbd1">#REF!</definedName>
    <definedName name="____________________rbd2">#REF!</definedName>
    <definedName name="____________________RMC2">#REF!</definedName>
    <definedName name="____________________SF3">#REF!</definedName>
    <definedName name="____________________td01">#REF!</definedName>
    <definedName name="____________________td02">#REF!</definedName>
    <definedName name="____________________td03">#REF!</definedName>
    <definedName name="____________________td04">#REF!</definedName>
    <definedName name="____________________TDG01">#REF!</definedName>
    <definedName name="____________________TDG02">#REF!</definedName>
    <definedName name="____________________TDG03">#REF!</definedName>
    <definedName name="____________________TDG04">#REF!</definedName>
    <definedName name="___________________Com1">#REF!</definedName>
    <definedName name="___________________Com2">#REF!</definedName>
    <definedName name="___________________Com3">#REF!</definedName>
    <definedName name="___________________COM94">#REF!</definedName>
    <definedName name="___________________COM95">#REF!</definedName>
    <definedName name="___________________EXH1">#REF!</definedName>
    <definedName name="___________________EXH5">#REF!</definedName>
    <definedName name="___________________JV13">#REF!</definedName>
    <definedName name="___________________Key2" hidden="1">#REF!</definedName>
    <definedName name="___________________ms01">#REF!</definedName>
    <definedName name="___________________ms02">#REF!</definedName>
    <definedName name="___________________ms03">#REF!</definedName>
    <definedName name="___________________ms04">#REF!</definedName>
    <definedName name="___________________omd1">#REF!</definedName>
    <definedName name="___________________omd2">#REF!</definedName>
    <definedName name="___________________p1">#REF!</definedName>
    <definedName name="___________________rb1">#REF!</definedName>
    <definedName name="___________________rbd1">#REF!</definedName>
    <definedName name="___________________rbd2">#REF!</definedName>
    <definedName name="___________________RMC2">#REF!</definedName>
    <definedName name="___________________SF3">#REF!</definedName>
    <definedName name="___________________td01">#REF!</definedName>
    <definedName name="___________________td02">#REF!</definedName>
    <definedName name="___________________td03">#REF!</definedName>
    <definedName name="___________________td04">#REF!</definedName>
    <definedName name="___________________TDG01">#REF!</definedName>
    <definedName name="___________________TDG02">#REF!</definedName>
    <definedName name="___________________TDG03">#REF!</definedName>
    <definedName name="___________________TDG04">#REF!</definedName>
    <definedName name="__________________Com1">#REF!</definedName>
    <definedName name="__________________Com2">#REF!</definedName>
    <definedName name="__________________Com3">#REF!</definedName>
    <definedName name="__________________COM94">#REF!</definedName>
    <definedName name="__________________COM95">#REF!</definedName>
    <definedName name="__________________EXH1">#REF!</definedName>
    <definedName name="__________________EXH5">#REF!</definedName>
    <definedName name="__________________JV13">#REF!</definedName>
    <definedName name="__________________Key2" hidden="1">#REF!</definedName>
    <definedName name="__________________ms01">#REF!</definedName>
    <definedName name="__________________ms02">#REF!</definedName>
    <definedName name="__________________ms03">#REF!</definedName>
    <definedName name="__________________ms04">#REF!</definedName>
    <definedName name="__________________om1">#REF!</definedName>
    <definedName name="__________________om2">#REF!</definedName>
    <definedName name="__________________omd1">#REF!</definedName>
    <definedName name="__________________omd2">#REF!</definedName>
    <definedName name="__________________p1">#REF!</definedName>
    <definedName name="__________________rb1">#REF!</definedName>
    <definedName name="__________________rb2">#REF!</definedName>
    <definedName name="__________________rbd1">#REF!</definedName>
    <definedName name="__________________rbd2">#REF!</definedName>
    <definedName name="__________________RMC2">#REF!</definedName>
    <definedName name="__________________SF3">#REF!</definedName>
    <definedName name="__________________td01">#REF!</definedName>
    <definedName name="__________________td02">#REF!</definedName>
    <definedName name="__________________td03">#REF!</definedName>
    <definedName name="__________________td04">#REF!</definedName>
    <definedName name="__________________TDG01">#REF!</definedName>
    <definedName name="__________________TDG02">#REF!</definedName>
    <definedName name="__________________TDG03">#REF!</definedName>
    <definedName name="__________________TDG04">#REF!</definedName>
    <definedName name="_________________Com1">#REF!</definedName>
    <definedName name="_________________Com2">#REF!</definedName>
    <definedName name="_________________Com3">#REF!</definedName>
    <definedName name="_________________COM94">#REF!</definedName>
    <definedName name="_________________COM95">#REF!</definedName>
    <definedName name="_________________EXH1">#REF!</definedName>
    <definedName name="_________________EXH5">#REF!</definedName>
    <definedName name="_________________JV13">#REF!</definedName>
    <definedName name="_________________Key2" hidden="1">#REF!</definedName>
    <definedName name="_________________ms01">#REF!</definedName>
    <definedName name="_________________ms02">#REF!</definedName>
    <definedName name="_________________ms03">#REF!</definedName>
    <definedName name="_________________ms04">#REF!</definedName>
    <definedName name="_________________om1">#REF!</definedName>
    <definedName name="_________________om2">#REF!</definedName>
    <definedName name="_________________omd1">#REF!</definedName>
    <definedName name="_________________omd2">#REF!</definedName>
    <definedName name="_________________p1">#REF!</definedName>
    <definedName name="_________________rb1">#REF!</definedName>
    <definedName name="_________________rb2">#REF!</definedName>
    <definedName name="_________________rbd1">#REF!</definedName>
    <definedName name="_________________rbd2">#REF!</definedName>
    <definedName name="_________________RMC2">#REF!</definedName>
    <definedName name="_________________SF3">#REF!</definedName>
    <definedName name="_________________td01">#REF!</definedName>
    <definedName name="_________________td02">#REF!</definedName>
    <definedName name="_________________td03">#REF!</definedName>
    <definedName name="_________________td04">#REF!</definedName>
    <definedName name="_________________TDG01">#REF!</definedName>
    <definedName name="_________________TDG02">#REF!</definedName>
    <definedName name="_________________TDG03">#REF!</definedName>
    <definedName name="_________________TDG04">#REF!</definedName>
    <definedName name="________________Com1">#REF!</definedName>
    <definedName name="________________Com2">#REF!</definedName>
    <definedName name="________________Com3">#REF!</definedName>
    <definedName name="________________COM94">#REF!</definedName>
    <definedName name="________________COM95">#REF!</definedName>
    <definedName name="________________EXH1">#REF!</definedName>
    <definedName name="________________EXH5">#REF!</definedName>
    <definedName name="________________JV13">#REF!</definedName>
    <definedName name="________________Key2" hidden="1">#REF!</definedName>
    <definedName name="________________ms01">#REF!</definedName>
    <definedName name="________________ms02">#REF!</definedName>
    <definedName name="________________ms03">#REF!</definedName>
    <definedName name="________________ms04">#REF!</definedName>
    <definedName name="________________om1">#REF!</definedName>
    <definedName name="________________om2">#REF!</definedName>
    <definedName name="________________omd1">#REF!</definedName>
    <definedName name="________________omd2">#REF!</definedName>
    <definedName name="________________p1">#REF!</definedName>
    <definedName name="________________rb1">#REF!</definedName>
    <definedName name="________________rb2">#REF!</definedName>
    <definedName name="________________rbd1">#REF!</definedName>
    <definedName name="________________rbd2">#REF!</definedName>
    <definedName name="________________RMC2">#REF!</definedName>
    <definedName name="________________SF3">#REF!</definedName>
    <definedName name="________________td01">#REF!</definedName>
    <definedName name="________________td02">#REF!</definedName>
    <definedName name="________________td03">#REF!</definedName>
    <definedName name="________________td04">#REF!</definedName>
    <definedName name="________________TDG01">#REF!</definedName>
    <definedName name="________________TDG02">#REF!</definedName>
    <definedName name="________________TDG03">#REF!</definedName>
    <definedName name="________________TDG04">#REF!</definedName>
    <definedName name="_______________Com1">#REF!</definedName>
    <definedName name="_______________Com2">#REF!</definedName>
    <definedName name="_______________Com3">#REF!</definedName>
    <definedName name="_______________COM94">#REF!</definedName>
    <definedName name="_______________COM95">#REF!</definedName>
    <definedName name="_______________EXH1">#REF!</definedName>
    <definedName name="_______________EXH5">#REF!</definedName>
    <definedName name="_______________JV13">#REF!</definedName>
    <definedName name="_______________Key2" hidden="1">#REF!</definedName>
    <definedName name="_______________ms01">#REF!</definedName>
    <definedName name="_______________ms02">#REF!</definedName>
    <definedName name="_______________ms03">#REF!</definedName>
    <definedName name="_______________ms04">#REF!</definedName>
    <definedName name="_______________om1">#REF!</definedName>
    <definedName name="_______________om2">#REF!</definedName>
    <definedName name="_______________omd1">#REF!</definedName>
    <definedName name="_______________omd2">#REF!</definedName>
    <definedName name="_______________p1">#REF!</definedName>
    <definedName name="_______________rb1">#REF!</definedName>
    <definedName name="_______________rb2">#REF!</definedName>
    <definedName name="_______________rbd1">#REF!</definedName>
    <definedName name="_______________rbd2">#REF!</definedName>
    <definedName name="_______________RMC2">#REF!</definedName>
    <definedName name="_______________SF3">#REF!</definedName>
    <definedName name="_______________td01">#REF!</definedName>
    <definedName name="_______________td02">#REF!</definedName>
    <definedName name="_______________td03">#REF!</definedName>
    <definedName name="_______________td04">#REF!</definedName>
    <definedName name="_______________TDG01">#REF!</definedName>
    <definedName name="_______________TDG02">#REF!</definedName>
    <definedName name="_______________TDG03">#REF!</definedName>
    <definedName name="_______________TDG04">#REF!</definedName>
    <definedName name="______________Com1">#REF!</definedName>
    <definedName name="______________Com2">#REF!</definedName>
    <definedName name="______________Com3">#REF!</definedName>
    <definedName name="______________COM94">#REF!</definedName>
    <definedName name="______________COM95">#REF!</definedName>
    <definedName name="______________EXH1">#REF!</definedName>
    <definedName name="______________EXH5">#REF!</definedName>
    <definedName name="______________JV13">#REF!</definedName>
    <definedName name="______________Key2" hidden="1">#REF!</definedName>
    <definedName name="______________ms01">#REF!</definedName>
    <definedName name="______________ms02">#REF!</definedName>
    <definedName name="______________ms03">#REF!</definedName>
    <definedName name="______________ms04">#REF!</definedName>
    <definedName name="______________om1">#REF!</definedName>
    <definedName name="______________om2">#REF!</definedName>
    <definedName name="______________omd1">#REF!</definedName>
    <definedName name="______________omd2">#REF!</definedName>
    <definedName name="______________p1">#REF!</definedName>
    <definedName name="______________rb1">#REF!</definedName>
    <definedName name="______________rb2">#REF!</definedName>
    <definedName name="______________rbd1">#REF!</definedName>
    <definedName name="______________rbd2">#REF!</definedName>
    <definedName name="______________RMC2">#REF!</definedName>
    <definedName name="______________SF3">#REF!</definedName>
    <definedName name="______________td01">#REF!</definedName>
    <definedName name="______________td02">#REF!</definedName>
    <definedName name="______________td03">#REF!</definedName>
    <definedName name="______________td04">#REF!</definedName>
    <definedName name="______________TDG01">#REF!</definedName>
    <definedName name="______________TDG02">#REF!</definedName>
    <definedName name="______________TDG03">#REF!</definedName>
    <definedName name="______________TDG04">#REF!</definedName>
    <definedName name="_____________Com1">#REF!</definedName>
    <definedName name="_____________Com2">#REF!</definedName>
    <definedName name="_____________Com3">#REF!</definedName>
    <definedName name="_____________COM94">#REF!</definedName>
    <definedName name="_____________COM95">#REF!</definedName>
    <definedName name="_____________EXH1">#REF!</definedName>
    <definedName name="_____________EXH5">#REF!</definedName>
    <definedName name="_____________JV13">#REF!</definedName>
    <definedName name="_____________Key2" hidden="1">#REF!</definedName>
    <definedName name="_____________ms01">#REF!</definedName>
    <definedName name="_____________ms02">#REF!</definedName>
    <definedName name="_____________ms03">#REF!</definedName>
    <definedName name="_____________ms04">#REF!</definedName>
    <definedName name="_____________om1">#REF!</definedName>
    <definedName name="_____________om2">#REF!</definedName>
    <definedName name="_____________omd1">#REF!</definedName>
    <definedName name="_____________omd2">#REF!</definedName>
    <definedName name="_____________p1">#REF!</definedName>
    <definedName name="_____________rb1">#REF!</definedName>
    <definedName name="_____________rb2">#REF!</definedName>
    <definedName name="_____________rbd1">#REF!</definedName>
    <definedName name="_____________rbd2">#REF!</definedName>
    <definedName name="_____________RMC2">#REF!</definedName>
    <definedName name="_____________SF3">#REF!</definedName>
    <definedName name="_____________td01">#REF!</definedName>
    <definedName name="_____________td02">#REF!</definedName>
    <definedName name="_____________td03">#REF!</definedName>
    <definedName name="_____________td04">#REF!</definedName>
    <definedName name="_____________TDG01">#REF!</definedName>
    <definedName name="_____________TDG02">#REF!</definedName>
    <definedName name="_____________TDG03">#REF!</definedName>
    <definedName name="_____________TDG04">#REF!</definedName>
    <definedName name="____________Com1">#REF!</definedName>
    <definedName name="____________Com2">#REF!</definedName>
    <definedName name="____________Com3">#REF!</definedName>
    <definedName name="____________COM94">#REF!</definedName>
    <definedName name="____________COM95">#REF!</definedName>
    <definedName name="____________EXH1">#REF!</definedName>
    <definedName name="____________EXH5">#REF!</definedName>
    <definedName name="____________JV13">#REF!</definedName>
    <definedName name="____________Key2" hidden="1">#REF!</definedName>
    <definedName name="____________ms01">#REF!</definedName>
    <definedName name="____________ms02">#REF!</definedName>
    <definedName name="____________ms03">#REF!</definedName>
    <definedName name="____________ms04">#REF!</definedName>
    <definedName name="____________om1">#REF!</definedName>
    <definedName name="____________om2">#REF!</definedName>
    <definedName name="____________OMD1">#REF!</definedName>
    <definedName name="____________omd2">#REF!</definedName>
    <definedName name="____________p1">#REF!</definedName>
    <definedName name="____________rb1">#REF!</definedName>
    <definedName name="____________rb2">#REF!</definedName>
    <definedName name="____________rbd1">#REF!</definedName>
    <definedName name="____________rbd2">#REF!</definedName>
    <definedName name="____________RMC2">#REF!</definedName>
    <definedName name="____________SF3">#REF!</definedName>
    <definedName name="____________td01">#REF!</definedName>
    <definedName name="____________td02">#REF!</definedName>
    <definedName name="____________td03">#REF!</definedName>
    <definedName name="____________td04">#REF!</definedName>
    <definedName name="____________TDG01">#REF!</definedName>
    <definedName name="____________TDG02">#REF!</definedName>
    <definedName name="____________TDG03">#REF!</definedName>
    <definedName name="____________TDG04">#REF!</definedName>
    <definedName name="___________Com1">#REF!</definedName>
    <definedName name="___________Com2">#REF!</definedName>
    <definedName name="___________Com3">#REF!</definedName>
    <definedName name="___________COM94">#REF!</definedName>
    <definedName name="___________COM95">#REF!</definedName>
    <definedName name="___________EXH1">#REF!</definedName>
    <definedName name="___________EXH5">#REF!</definedName>
    <definedName name="___________JV13">#REF!</definedName>
    <definedName name="___________Key2" hidden="1">#REF!</definedName>
    <definedName name="___________ms01">#REF!</definedName>
    <definedName name="___________ms02">#REF!</definedName>
    <definedName name="___________ms03">#REF!</definedName>
    <definedName name="___________ms04">#REF!</definedName>
    <definedName name="___________om1">#REF!</definedName>
    <definedName name="___________om2">#REF!</definedName>
    <definedName name="___________omd1">#REF!</definedName>
    <definedName name="___________omd2">#REF!</definedName>
    <definedName name="___________p1">#REF!</definedName>
    <definedName name="___________rb1">#REF!</definedName>
    <definedName name="___________rb2">#REF!</definedName>
    <definedName name="___________rbd1">#REF!</definedName>
    <definedName name="___________rbd2">#REF!</definedName>
    <definedName name="___________RMC2">#REF!</definedName>
    <definedName name="___________SF3">#REF!</definedName>
    <definedName name="___________td01">#REF!</definedName>
    <definedName name="___________td02">#REF!</definedName>
    <definedName name="___________td03">#REF!</definedName>
    <definedName name="___________td04">#REF!</definedName>
    <definedName name="___________TDG01">#REF!</definedName>
    <definedName name="___________TDG02">#REF!</definedName>
    <definedName name="___________TDG03">#REF!</definedName>
    <definedName name="___________TDG04">#REF!</definedName>
    <definedName name="__________Com1">#REF!</definedName>
    <definedName name="__________Com2">#REF!</definedName>
    <definedName name="__________Com3">#REF!</definedName>
    <definedName name="__________COM94">#REF!</definedName>
    <definedName name="__________COM95">#REF!</definedName>
    <definedName name="__________EXH1">#REF!</definedName>
    <definedName name="__________EXH5">#REF!</definedName>
    <definedName name="__________JV13">#REF!</definedName>
    <definedName name="__________Key2" hidden="1">#REF!</definedName>
    <definedName name="__________ms01">#REF!</definedName>
    <definedName name="__________ms02">#REF!</definedName>
    <definedName name="__________ms03">#REF!</definedName>
    <definedName name="__________ms04">#REF!</definedName>
    <definedName name="__________om1">#REF!</definedName>
    <definedName name="__________om2">#REF!</definedName>
    <definedName name="__________omd1">#REF!</definedName>
    <definedName name="__________omd2">#REF!</definedName>
    <definedName name="__________p1">#REF!</definedName>
    <definedName name="__________rb1">#REF!</definedName>
    <definedName name="__________rb2">#REF!</definedName>
    <definedName name="__________rbd1">#REF!</definedName>
    <definedName name="__________rbd2">#REF!</definedName>
    <definedName name="__________RMC2">#REF!</definedName>
    <definedName name="__________SF3">#REF!</definedName>
    <definedName name="__________td01">#REF!</definedName>
    <definedName name="__________td02">#REF!</definedName>
    <definedName name="__________td03">#REF!</definedName>
    <definedName name="__________td04">#REF!</definedName>
    <definedName name="__________TDG01">#REF!</definedName>
    <definedName name="__________TDG02">#REF!</definedName>
    <definedName name="__________TDG03">#REF!</definedName>
    <definedName name="__________TDG04">#REF!</definedName>
    <definedName name="_________Com1">#REF!</definedName>
    <definedName name="_________Com2">#REF!</definedName>
    <definedName name="_________Com3">#REF!</definedName>
    <definedName name="_________COM94">#REF!</definedName>
    <definedName name="_________COM95">#REF!</definedName>
    <definedName name="_________EXH1">#REF!</definedName>
    <definedName name="_________EXH5">#REF!</definedName>
    <definedName name="_________JV13">#REF!</definedName>
    <definedName name="_________Key2" hidden="1">#REF!</definedName>
    <definedName name="_________ms01">#REF!</definedName>
    <definedName name="_________ms02">#REF!</definedName>
    <definedName name="_________ms03">#REF!</definedName>
    <definedName name="_________ms04">#REF!</definedName>
    <definedName name="_________om1">#REF!</definedName>
    <definedName name="_________om2">#REF!</definedName>
    <definedName name="_________omd1">#REF!</definedName>
    <definedName name="_________omd2">#REF!</definedName>
    <definedName name="_________p1">#REF!</definedName>
    <definedName name="_________rb1">#REF!</definedName>
    <definedName name="_________rb2">#REF!</definedName>
    <definedName name="_________rbd1">#REF!</definedName>
    <definedName name="_________rbd2">#REF!</definedName>
    <definedName name="_________RMC2">#REF!</definedName>
    <definedName name="_________SF3">#REF!</definedName>
    <definedName name="_________td01">#REF!</definedName>
    <definedName name="_________td02">#REF!</definedName>
    <definedName name="_________td03">#REF!</definedName>
    <definedName name="_________td04">#REF!</definedName>
    <definedName name="_________TDG01">#REF!</definedName>
    <definedName name="_________TDG02">#REF!</definedName>
    <definedName name="_________TDG03">#REF!</definedName>
    <definedName name="_________TDG04">#REF!</definedName>
    <definedName name="________Com1">#REF!</definedName>
    <definedName name="________Com2">#REF!</definedName>
    <definedName name="________Com3">#REF!</definedName>
    <definedName name="________COM94">#REF!</definedName>
    <definedName name="________COM95">#REF!</definedName>
    <definedName name="________EXH1">#REF!</definedName>
    <definedName name="________EXH5">#REF!</definedName>
    <definedName name="________JV13">#REF!</definedName>
    <definedName name="________Key2" hidden="1">#REF!</definedName>
    <definedName name="________ms01">#REF!</definedName>
    <definedName name="________ms02">#REF!</definedName>
    <definedName name="________ms03">#REF!</definedName>
    <definedName name="________ms04">#REF!</definedName>
    <definedName name="________om1">#REF!</definedName>
    <definedName name="________om2">#REF!</definedName>
    <definedName name="________omd1">#REF!</definedName>
    <definedName name="________omd2">#REF!</definedName>
    <definedName name="________p1">#REF!</definedName>
    <definedName name="________rb1">#REF!</definedName>
    <definedName name="________rb2">#REF!</definedName>
    <definedName name="________rbd1">#REF!</definedName>
    <definedName name="________rbd2">#REF!</definedName>
    <definedName name="________RMC2">#REF!</definedName>
    <definedName name="________SF3">#REF!</definedName>
    <definedName name="________td01">#REF!</definedName>
    <definedName name="________td02">#REF!</definedName>
    <definedName name="________td03">#REF!</definedName>
    <definedName name="________td04">#REF!</definedName>
    <definedName name="________TDG01">#REF!</definedName>
    <definedName name="________TDG02">#REF!</definedName>
    <definedName name="________TDG03">#REF!</definedName>
    <definedName name="________TDG04">#REF!</definedName>
    <definedName name="_______Com1">#REF!</definedName>
    <definedName name="_______Com2">#REF!</definedName>
    <definedName name="_______Com3">#REF!</definedName>
    <definedName name="_______COM94">#REF!</definedName>
    <definedName name="_______COM95">#REF!</definedName>
    <definedName name="_______EXH1">#REF!</definedName>
    <definedName name="_______EXH5">#REF!</definedName>
    <definedName name="_______JV13">#REF!</definedName>
    <definedName name="_______Key2" hidden="1">#REF!</definedName>
    <definedName name="_______ms01">#REF!</definedName>
    <definedName name="_______ms02">#REF!</definedName>
    <definedName name="_______ms03">#REF!</definedName>
    <definedName name="_______ms04">#REF!</definedName>
    <definedName name="_______om1">#REF!</definedName>
    <definedName name="_______om2">#REF!</definedName>
    <definedName name="_______omd1">#REF!</definedName>
    <definedName name="_______omd2">#REF!</definedName>
    <definedName name="_______p1">#REF!</definedName>
    <definedName name="_______rb1">#REF!</definedName>
    <definedName name="_______rb2">#REF!</definedName>
    <definedName name="_______rbd1">#REF!</definedName>
    <definedName name="_______rbd2">#REF!</definedName>
    <definedName name="_______RMC2">#REF!</definedName>
    <definedName name="_______SF3">#REF!</definedName>
    <definedName name="_______td01">#REF!</definedName>
    <definedName name="_______td02">#REF!</definedName>
    <definedName name="_______td03">#REF!</definedName>
    <definedName name="_______td04">#REF!</definedName>
    <definedName name="_______TDG01">#REF!</definedName>
    <definedName name="_______TDG02">#REF!</definedName>
    <definedName name="_______TDG03">#REF!</definedName>
    <definedName name="_______TDG04">#REF!</definedName>
    <definedName name="______Com1">#REF!</definedName>
    <definedName name="______Com2">#REF!</definedName>
    <definedName name="______Com3">#REF!</definedName>
    <definedName name="______COM94">#REF!</definedName>
    <definedName name="______COM95">#REF!</definedName>
    <definedName name="______EXH1">#REF!</definedName>
    <definedName name="______EXH5">#REF!</definedName>
    <definedName name="______JV13">#REF!</definedName>
    <definedName name="______Key2" hidden="1">#REF!</definedName>
    <definedName name="______ms01">#REF!</definedName>
    <definedName name="______ms02">#REF!</definedName>
    <definedName name="______ms03">#REF!</definedName>
    <definedName name="______ms04">#REF!</definedName>
    <definedName name="______om1">#REF!</definedName>
    <definedName name="______om2">#REF!</definedName>
    <definedName name="______OMD1">#REF!</definedName>
    <definedName name="______omd2">#REF!</definedName>
    <definedName name="______p1">#REF!</definedName>
    <definedName name="______rb1">#REF!</definedName>
    <definedName name="______rb2">#REF!</definedName>
    <definedName name="______rbd1">#REF!</definedName>
    <definedName name="______rbd2">#REF!</definedName>
    <definedName name="______RMC2">#REF!</definedName>
    <definedName name="______SF3">#REF!</definedName>
    <definedName name="______td01">#REF!</definedName>
    <definedName name="______td02">#REF!</definedName>
    <definedName name="______td03">#REF!</definedName>
    <definedName name="______td04">#REF!</definedName>
    <definedName name="______TDG01">#REF!</definedName>
    <definedName name="______TDG02">#REF!</definedName>
    <definedName name="______TDG03">#REF!</definedName>
    <definedName name="______TDG04">#REF!</definedName>
    <definedName name="_____Com1">#REF!</definedName>
    <definedName name="_____Com2">#REF!</definedName>
    <definedName name="_____Com3">#REF!</definedName>
    <definedName name="_____COM94">#REF!</definedName>
    <definedName name="_____COM95">#REF!</definedName>
    <definedName name="_____EXH1">#REF!</definedName>
    <definedName name="_____EXH5">#REF!</definedName>
    <definedName name="_____JV13">#REF!</definedName>
    <definedName name="_____Key2" hidden="1">#REF!</definedName>
    <definedName name="_____ms01">#REF!</definedName>
    <definedName name="_____ms02">#REF!</definedName>
    <definedName name="_____ms03">#REF!</definedName>
    <definedName name="_____ms04">#REF!</definedName>
    <definedName name="_____om1">#REF!</definedName>
    <definedName name="_____om2">#REF!</definedName>
    <definedName name="_____omd1">#REF!</definedName>
    <definedName name="_____omd2">#REF!</definedName>
    <definedName name="_____p1">#REF!</definedName>
    <definedName name="_____rb1">#REF!</definedName>
    <definedName name="_____rb2">#REF!</definedName>
    <definedName name="_____rbd1">#REF!</definedName>
    <definedName name="_____rbd2">#REF!</definedName>
    <definedName name="_____RMC2">#REF!</definedName>
    <definedName name="_____SF3">#REF!</definedName>
    <definedName name="_____td01">#REF!</definedName>
    <definedName name="_____td02">#REF!</definedName>
    <definedName name="_____td03">#REF!</definedName>
    <definedName name="_____td04">#REF!</definedName>
    <definedName name="_____TDG01">#REF!</definedName>
    <definedName name="_____TDG02">#REF!</definedName>
    <definedName name="_____TDG03">#REF!</definedName>
    <definedName name="_____TDG04">#REF!</definedName>
    <definedName name="____Com1">#REF!</definedName>
    <definedName name="____Com2">#REF!</definedName>
    <definedName name="____Com3">#REF!</definedName>
    <definedName name="____COM94">#REF!</definedName>
    <definedName name="____COM95">#REF!</definedName>
    <definedName name="____EXH1">#REF!</definedName>
    <definedName name="____EXH5">#REF!</definedName>
    <definedName name="____JV13">#REF!</definedName>
    <definedName name="____Key2" hidden="1">#REF!</definedName>
    <definedName name="____ms01">#REF!</definedName>
    <definedName name="____ms02">#REF!</definedName>
    <definedName name="____ms03">#REF!</definedName>
    <definedName name="____ms04">#REF!</definedName>
    <definedName name="____om1">#REF!</definedName>
    <definedName name="____om2">#REF!</definedName>
    <definedName name="____OMD1">#REF!</definedName>
    <definedName name="____omd2">#REF!</definedName>
    <definedName name="____p1">#REF!</definedName>
    <definedName name="____rb1">#REF!</definedName>
    <definedName name="____rb2">#REF!</definedName>
    <definedName name="____rbd1">#REF!</definedName>
    <definedName name="____rbd2">#REF!</definedName>
    <definedName name="____RMC2">#REF!</definedName>
    <definedName name="____SF3">#REF!</definedName>
    <definedName name="____td01">#REF!</definedName>
    <definedName name="____td02">#REF!</definedName>
    <definedName name="____td03">#REF!</definedName>
    <definedName name="____td04">#REF!</definedName>
    <definedName name="____TDG01">#REF!</definedName>
    <definedName name="____TDG02">#REF!</definedName>
    <definedName name="____TDG03">#REF!</definedName>
    <definedName name="____TDG04">#REF!</definedName>
    <definedName name="___Com1">#REF!</definedName>
    <definedName name="___Com2">#REF!</definedName>
    <definedName name="___Com3">#REF!</definedName>
    <definedName name="___COM94">#REF!</definedName>
    <definedName name="___COM95">#REF!</definedName>
    <definedName name="___EXH1">#REF!</definedName>
    <definedName name="___EXH5">#REF!</definedName>
    <definedName name="___JV13">#REF!</definedName>
    <definedName name="___Key2" hidden="1">#REF!</definedName>
    <definedName name="___ms01">#REF!</definedName>
    <definedName name="___ms02">#REF!</definedName>
    <definedName name="___ms03">#REF!</definedName>
    <definedName name="___ms04">#REF!</definedName>
    <definedName name="___om1">#REF!</definedName>
    <definedName name="___om2">#REF!</definedName>
    <definedName name="___omd1">#REF!</definedName>
    <definedName name="___omd2">#REF!</definedName>
    <definedName name="___p1">#REF!</definedName>
    <definedName name="___rb1">#REF!</definedName>
    <definedName name="___rb2">#REF!</definedName>
    <definedName name="___rbd1">#REF!</definedName>
    <definedName name="___rbd2">#REF!</definedName>
    <definedName name="___RMC2">#REF!</definedName>
    <definedName name="___SF3">#REF!</definedName>
    <definedName name="___td01">#REF!</definedName>
    <definedName name="___td02">#REF!</definedName>
    <definedName name="___td03">#REF!</definedName>
    <definedName name="___td04">#REF!</definedName>
    <definedName name="___TDG01">#REF!</definedName>
    <definedName name="___TDG02">#REF!</definedName>
    <definedName name="___TDG03">#REF!</definedName>
    <definedName name="___TDG04">#REF!</definedName>
    <definedName name="__Com1">#REF!</definedName>
    <definedName name="__Com2">#REF!</definedName>
    <definedName name="__Com3">#REF!</definedName>
    <definedName name="__COM94">#REF!</definedName>
    <definedName name="__COM95">#REF!</definedName>
    <definedName name="__EXH1">#REF!</definedName>
    <definedName name="__EXH5">#REF!</definedName>
    <definedName name="__JV13">#REF!</definedName>
    <definedName name="__key1" hidden="1">#REF!</definedName>
    <definedName name="__Key2" hidden="1">#REF!</definedName>
    <definedName name="__ms01">#REF!</definedName>
    <definedName name="__ms02">#REF!</definedName>
    <definedName name="__ms03">#REF!</definedName>
    <definedName name="__ms04">#REF!</definedName>
    <definedName name="__om1">#REF!</definedName>
    <definedName name="__om2">#REF!</definedName>
    <definedName name="__omd1">#REF!</definedName>
    <definedName name="__omd2">#REF!</definedName>
    <definedName name="__p1">#REF!</definedName>
    <definedName name="__rb1">#REF!</definedName>
    <definedName name="__rb2">#REF!</definedName>
    <definedName name="__rbd1">#REF!</definedName>
    <definedName name="__rbd2">#REF!</definedName>
    <definedName name="__RMC2">#REF!</definedName>
    <definedName name="__SF3">#REF!</definedName>
    <definedName name="__td01">#REF!</definedName>
    <definedName name="__td02">#REF!</definedName>
    <definedName name="__td03">#REF!</definedName>
    <definedName name="__td04">#REF!</definedName>
    <definedName name="__TDG01">#REF!</definedName>
    <definedName name="__TDG02">#REF!</definedName>
    <definedName name="__TDG03">#REF!</definedName>
    <definedName name="__TDG04">#REF!</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2__123Graph_AQRE_S_BY_CO." hidden="1">#REF!</definedName>
    <definedName name="_20__123Graph_CWAGES_BY_B_U" hidden="1">#REF!</definedName>
    <definedName name="_20_MWS">#REF!</definedName>
    <definedName name="_21__123Graph_DCONTRACT_BY_B_U" hidden="1">#REF!</definedName>
    <definedName name="_21_MWS">#REF!</definedName>
    <definedName name="_22__123Graph_DQRE_S_BY_CO." hidden="1">#REF!</definedName>
    <definedName name="_23__123Graph_DSUPPLIES_BY_B_U" hidden="1">#REF!</definedName>
    <definedName name="_23_MWS">#REF!</definedName>
    <definedName name="_24__123Graph_DWAGES_BY_B_U" hidden="1">#REF!</definedName>
    <definedName name="_24_MWS">#REF!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5_MWS">#REF!</definedName>
    <definedName name="_36__123Graph_XSUPPLIES_BY_B_U" hidden="1">#REF!</definedName>
    <definedName name="_37__123Graph_XTAX_CREDIT" hidden="1">#REF!</definedName>
    <definedName name="_38_0_0_K" hidden="1">#REF!</definedName>
    <definedName name="_39_0_0_K" hidden="1">#REF!</definedName>
    <definedName name="_3YR_SUMMARY">#REF!</definedName>
    <definedName name="_4__123Graph_ASENS_COMPARISON" hidden="1">#REF!</definedName>
    <definedName name="_40_0_0_S" hidden="1">#REF!</definedName>
    <definedName name="_40_MWS">#REF!</definedName>
    <definedName name="_41_0_0_S" hidden="1">#REF!</definedName>
    <definedName name="_45_MWS">#REF!</definedName>
    <definedName name="_5__123Graph_ASUPPLIES_BY_B_U" hidden="1">#REF!</definedName>
    <definedName name="_50_MWS">#REF!</definedName>
    <definedName name="_55_MWS">#REF!</definedName>
    <definedName name="_6__123Graph_ATAX_CREDIT" hidden="1">#REF!</definedName>
    <definedName name="_7__123Graph_AWAGES_BY_B_U" hidden="1">#REF!</definedName>
    <definedName name="_8__123Graph_BCONTRACT_BY_B_U" hidden="1">#REF!</definedName>
    <definedName name="_84_PHASE1">#REF!</definedName>
    <definedName name="_85_PHASE1">#REF!</definedName>
    <definedName name="_86_PHASE1">#REF!</definedName>
    <definedName name="_87_PHASE1">#REF!</definedName>
    <definedName name="_88_PHASE1">#REF!</definedName>
    <definedName name="_89_PHASE1">#REF!</definedName>
    <definedName name="_9__123Graph_BQRE_S_BY_CO." hidden="1">#REF!</definedName>
    <definedName name="_90_PHASE1">#REF!</definedName>
    <definedName name="_91_PHASE1">#REF!</definedName>
    <definedName name="_92_PHASE1">#REF!</definedName>
    <definedName name="_93_PHASE1">#REF!</definedName>
    <definedName name="_94_PHASE1">#REF!</definedName>
    <definedName name="_95_PHASE1">#REF!</definedName>
    <definedName name="_96_PHASE1">#REF!</definedName>
    <definedName name="_97_PHASE1">#REF!</definedName>
    <definedName name="_98_PHASE1">#REF!</definedName>
    <definedName name="_AAL1">#REF!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697">#REF!</definedName>
    <definedName name="_agr9698">#REF!</definedName>
    <definedName name="_agr9798">#REF!</definedName>
    <definedName name="_ALT_PPONU_D__Q">#REF!</definedName>
    <definedName name="_AMO_UniqueIdentifier" hidden="1">"'bcb5811d-712a-4535-a3da-8914e2dcdab9'"</definedName>
    <definedName name="_Com1">#REF!</definedName>
    <definedName name="_Com2">#REF!</definedName>
    <definedName name="_Com3">#REF!</definedName>
    <definedName name="_COM94">#REF!</definedName>
    <definedName name="_COM95">#REF!</definedName>
    <definedName name="_EXH1">#REF!</definedName>
    <definedName name="_EXH5">#REF!</definedName>
    <definedName name="_Fill" hidden="1">#REF!</definedName>
    <definedName name="_JV13">#REF!</definedName>
    <definedName name="_Key1" hidden="1">#REF!</definedName>
    <definedName name="_Key2" hidden="1">#REF!</definedName>
    <definedName name="_key7">#REF!</definedName>
    <definedName name="_mm1">#REF!</definedName>
    <definedName name="_mm10">#REF!</definedName>
    <definedName name="_mm11">#REF!</definedName>
    <definedName name="_mm12">#REF!</definedName>
    <definedName name="_mm13">#REF!</definedName>
    <definedName name="_mm14">#REF!</definedName>
    <definedName name="_mm15">#REF!</definedName>
    <definedName name="_mm16">#REF!</definedName>
    <definedName name="_mm17">#REF!</definedName>
    <definedName name="_mm18">#REF!</definedName>
    <definedName name="_mm19">#REF!</definedName>
    <definedName name="_mm2">#REF!</definedName>
    <definedName name="_mm3">#REF!</definedName>
    <definedName name="_mm4">#REF!</definedName>
    <definedName name="_mm5">#REF!</definedName>
    <definedName name="_mm7">#REF!</definedName>
    <definedName name="_mm8">#REF!</definedName>
    <definedName name="_mm9">#REF!</definedName>
    <definedName name="_ms01">#REF!</definedName>
    <definedName name="_ms02">#REF!</definedName>
    <definedName name="_ms03">#REF!</definedName>
    <definedName name="_ms04">#REF!</definedName>
    <definedName name="_om1">#REF!</definedName>
    <definedName name="_om2">#REF!</definedName>
    <definedName name="_OMD1">#REF!</definedName>
    <definedName name="_OMD2">#REF!</definedName>
    <definedName name="_Order1" hidden="1">255</definedName>
    <definedName name="_Order2" hidden="1">255</definedName>
    <definedName name="_p1">#REF!</definedName>
    <definedName name="_pgm5">#REF!</definedName>
    <definedName name="_qre2">#REF!</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rb1">#REF!</definedName>
    <definedName name="_rb2">#REF!</definedName>
    <definedName name="_RBD1">#REF!</definedName>
    <definedName name="_RBD2">#REF!</definedName>
    <definedName name="_reg4">#REF!</definedName>
    <definedName name="_RMC2">#REF!</definedName>
    <definedName name="_ryr56565" hidden="1">{#N/A,#N/A,FALSE,"Monthly SAIFI";#N/A,#N/A,FALSE,"Yearly SAIFI";#N/A,#N/A,FALSE,"Monthly CAIDI";#N/A,#N/A,FALSE,"Yearly CAIDI";#N/A,#N/A,FALSE,"Monthly SAIDI";#N/A,#N/A,FALSE,"Yearly SAIDI";#N/A,#N/A,FALSE,"Monthly MAIFI";#N/A,#N/A,FALSE,"Yearly MAIFI";#N/A,#N/A,FALSE,"Monthly Cust &gt;=4 Int"}</definedName>
    <definedName name="_SF3">#REF!</definedName>
    <definedName name="_Sort" hidden="1">#REF!</definedName>
    <definedName name="_td01">#REF!</definedName>
    <definedName name="_td02">#REF!</definedName>
    <definedName name="_td03">#REF!</definedName>
    <definedName name="_td04">#REF!</definedName>
    <definedName name="_TDG01">#REF!</definedName>
    <definedName name="_TDG02">#REF!</definedName>
    <definedName name="_TDG03">#REF!</definedName>
    <definedName name="_TDG04">#REF!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WORLDOX">#REF!</definedName>
    <definedName name="a" hidden="1">{#N/A,#N/A,FALSE,"Monthly SAIFI";#N/A,#N/A,FALSE,"Yearly SAIFI";#N/A,#N/A,FALSE,"Monthly CAIDI";#N/A,#N/A,FALSE,"Yearly CAIDI";#N/A,#N/A,FALSE,"Monthly SAIDI";#N/A,#N/A,FALSE,"Yearly SAIDI";#N/A,#N/A,FALSE,"Monthly MAIFI";#N/A,#N/A,FALSE,"Yearly MAIFI";#N/A,#N/A,FALSE,"Monthly Cust &gt;=4 Int"}</definedName>
    <definedName name="aa">#REF!</definedName>
    <definedName name="AAL">#REF!</definedName>
    <definedName name="AALDR">#REF!</definedName>
    <definedName name="AALSAP">#REF!</definedName>
    <definedName name="aashitii">#REF!</definedName>
    <definedName name="ac" hidden="1">{#N/A,#N/A,FALSE,"Monthly SAIFI";#N/A,#N/A,FALSE,"Yearly SAIFI";#N/A,#N/A,FALSE,"Monthly CAIDI";#N/A,#N/A,FALSE,"Yearly CAIDI";#N/A,#N/A,FALSE,"Monthly SAIDI";#N/A,#N/A,FALSE,"Yearly SAIDI";#N/A,#N/A,FALSE,"Monthly MAIFI";#N/A,#N/A,FALSE,"Yearly MAIFI";#N/A,#N/A,FALSE,"Monthly Cust &gt;=4 Int"}</definedName>
    <definedName name="Account_name">#REF!</definedName>
    <definedName name="Account_Number">#REF!</definedName>
    <definedName name="Accounts">#REF!</definedName>
    <definedName name="ACCTG_SERV">#REF!</definedName>
    <definedName name="ACTUAL_YTD">#REF!</definedName>
    <definedName name="acx" hidden="1">{#N/A,#N/A,FALSE,"Monthly SAIFI";#N/A,#N/A,FALSE,"Yearly SAIFI";#N/A,#N/A,FALSE,"Monthly CAIDI";#N/A,#N/A,FALSE,"Yearly CAIDI";#N/A,#N/A,FALSE,"Monthly SAIDI";#N/A,#N/A,FALSE,"Yearly SAIDI";#N/A,#N/A,FALSE,"Monthly MAIFI";#N/A,#N/A,FALSE,"Yearly MAIFI";#N/A,#N/A,FALSE,"Monthly Cust &gt;=4 Int"}</definedName>
    <definedName name="Address">#REF!</definedName>
    <definedName name="adfsadfds" hidden="1">{#N/A,#N/A,FALSE,"Monthly SAIFI";#N/A,#N/A,FALSE,"Yearly SAIFI";#N/A,#N/A,FALSE,"Monthly CAIDI";#N/A,#N/A,FALSE,"Yearly CAIDI";#N/A,#N/A,FALSE,"Monthly SAIDI";#N/A,#N/A,FALSE,"Yearly SAIDI";#N/A,#N/A,FALSE,"Monthly MAIFI";#N/A,#N/A,FALSE,"Yearly MAIFI";#N/A,#N/A,FALSE,"Monthly Cust &gt;=4 Int"}</definedName>
    <definedName name="af">#REF!</definedName>
    <definedName name="afds">#REF!</definedName>
    <definedName name="afdsE">#REF!</definedName>
    <definedName name="afE">#REF!</definedName>
    <definedName name="AIP" hidden="1">{#N/A,#N/A,FALSE,"Monthly SAIFI";#N/A,#N/A,FALSE,"Yearly SAIFI";#N/A,#N/A,FALSE,"Monthly CAIDI";#N/A,#N/A,FALSE,"Yearly CAIDI";#N/A,#N/A,FALSE,"Monthly SAIDI";#N/A,#N/A,FALSE,"Yearly SAIDI";#N/A,#N/A,FALSE,"Monthly MAIFI";#N/A,#N/A,FALSE,"Yearly MAIFI";#N/A,#N/A,FALSE,"Monthly Cust &gt;=4 Int"}</definedName>
    <definedName name="aircgrtm1">#REF!</definedName>
    <definedName name="aircgrtm2">#REF!</definedName>
    <definedName name="aircgrtm3">#REF!</definedName>
    <definedName name="aircgrtm4">#REF!</definedName>
    <definedName name="aircqre">#REF!</definedName>
    <definedName name="aircqrelabel">#REF!</definedName>
    <definedName name="airctitle">#REF!</definedName>
    <definedName name="airctm1">#REF!</definedName>
    <definedName name="airctm2">#REF!</definedName>
    <definedName name="airctm3">#REF!</definedName>
    <definedName name="airctm4">#REF!</definedName>
    <definedName name="ALERT1">#REF!</definedName>
    <definedName name="ALERT2">#REF!</definedName>
    <definedName name="ALERT3">#REF!</definedName>
    <definedName name="all">#REF!</definedName>
    <definedName name="ALL_ACCRUALS">#REF!</definedName>
    <definedName name="ALL_PAYMENTS">#REF!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#REF!</definedName>
    <definedName name="Allocation">#REF!</definedName>
    <definedName name="AllocationE">#REF!</definedName>
    <definedName name="Allocators">#REF!</definedName>
    <definedName name="ALLYRS_MESSAGE">#REF!</definedName>
    <definedName name="alsdfa" hidden="1">{#N/A,#N/A,FALSE,"Monthly SAIFI";#N/A,#N/A,FALSE,"Yearly SAIFI";#N/A,#N/A,FALSE,"Monthly CAIDI";#N/A,#N/A,FALSE,"Yearly CAIDI";#N/A,#N/A,FALSE,"Monthly SAIDI";#N/A,#N/A,FALSE,"Yearly SAIDI";#N/A,#N/A,FALSE,"Monthly MAIFI";#N/A,#N/A,FALSE,"Yearly MAIFI";#N/A,#N/A,FALSE,"Monthly Cust &gt;=4 Int"}</definedName>
    <definedName name="AmerenCIPS">#REF!</definedName>
    <definedName name="AmerenCIPSE">#REF!</definedName>
    <definedName name="Amounts">#REF!</definedName>
    <definedName name="anish">#REF!</definedName>
    <definedName name="anish21212">#REF!</definedName>
    <definedName name="anisha2157">#REF!</definedName>
    <definedName name="anisha216">#REF!</definedName>
    <definedName name="anishhh">#REF!</definedName>
    <definedName name="anishilov">#REF!</definedName>
    <definedName name="ANT">#REF!</definedName>
    <definedName name="APA">#REF!</definedName>
    <definedName name="ApprvDate">#REF!</definedName>
    <definedName name="ApprvEmplNbr">#REF!</definedName>
    <definedName name="Apr">#REF!</definedName>
    <definedName name="APV">#REF!</definedName>
    <definedName name="Area">#REF!</definedName>
    <definedName name="as">#REF!</definedName>
    <definedName name="AS2DocOpenMode" hidden="1">"AS2DocumentEdit"</definedName>
    <definedName name="asasasas">#REF!</definedName>
    <definedName name="ASD">#REF!</definedName>
    <definedName name="asdada">#REF!</definedName>
    <definedName name="asdasd">#REF!</definedName>
    <definedName name="asdasda">#REF!</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dfasfasf">#REF!</definedName>
    <definedName name="asdfsd">#REF!</definedName>
    <definedName name="asdfsdf">#REF!</definedName>
    <definedName name="asdfsdfsadfs">#REF!</definedName>
    <definedName name="asfas">#REF!</definedName>
    <definedName name="asfasdfasfasfsadf">#REF!</definedName>
    <definedName name="asfsdfsdfsdfsfwer">#REF!</definedName>
    <definedName name="asfsdfsfs">#REF!</definedName>
    <definedName name="asfsft">#REF!</definedName>
    <definedName name="asgdfsjgfdk1">#REF!</definedName>
    <definedName name="ashaita" hidden="1">{#N/A,#N/A,FALSE,"Monthly SAIFI";#N/A,#N/A,FALSE,"Yearly SAIFI";#N/A,#N/A,FALSE,"Monthly CAIDI";#N/A,#N/A,FALSE,"Yearly CAIDI";#N/A,#N/A,FALSE,"Monthly SAIDI";#N/A,#N/A,FALSE,"Yearly SAIDI";#N/A,#N/A,FALSE,"Monthly MAIFI";#N/A,#N/A,FALSE,"Yearly MAIFI";#N/A,#N/A,FALSE,"Monthly Cust &gt;=4 Int"}</definedName>
    <definedName name="ashhhjjjjjj">#REF!</definedName>
    <definedName name="ashi21">#REF!</definedName>
    <definedName name="ashia">#REF!</definedName>
    <definedName name="ashita">#REF!</definedName>
    <definedName name="ashita216">#REF!</definedName>
    <definedName name="ASO_SUMMARY">#REF!</definedName>
    <definedName name="AsOfDt">#REF!</definedName>
    <definedName name="ASPGE">#REF!</definedName>
    <definedName name="ASPINTAN">#REF!</definedName>
    <definedName name="asrada">#REF!</definedName>
    <definedName name="assd" hidden="1">{#N/A,#N/A,FALSE,"Monthly SAIFI";#N/A,#N/A,FALSE,"Yearly SAIFI";#N/A,#N/A,FALSE,"Monthly CAIDI";#N/A,#N/A,FALSE,"Yearly CAIDI";#N/A,#N/A,FALSE,"Monthly SAIDI";#N/A,#N/A,FALSE,"Yearly SAIDI";#N/A,#N/A,FALSE,"Monthly MAIFI";#N/A,#N/A,FALSE,"Yearly MAIFI";#N/A,#N/A,FALSE,"Monthly Cust &gt;=4 Int"}</definedName>
    <definedName name="Asset_Management">#REF!</definedName>
    <definedName name="Asset_Management_">#REF!</definedName>
    <definedName name="AuditDescr">#REF!</definedName>
    <definedName name="Aug">#REF!</definedName>
    <definedName name="b" hidden="1">{#N/A,#N/A,FALSE,"Monthly SAIFI";#N/A,#N/A,FALSE,"Yearly SAIFI";#N/A,#N/A,FALSE,"Monthly CAIDI";#N/A,#N/A,FALSE,"Yearly CAIDI";#N/A,#N/A,FALSE,"Monthly SAIDI";#N/A,#N/A,FALSE,"Yearly SAIDI";#N/A,#N/A,FALSE,"Monthly MAIFI";#N/A,#N/A,FALSE,"Yearly MAIFI";#N/A,#N/A,FALSE,"Monthly Cust &gt;=4 Int"}</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alance_Sheet_Date">#REF!</definedName>
    <definedName name="Balance_Sheet_Heading">#REF!</definedName>
    <definedName name="BalSht">#REF!</definedName>
    <definedName name="BalShtE">#REF!</definedName>
    <definedName name="bankidrange">#REF!</definedName>
    <definedName name="BASE_DETAIL_QRE">#REF!</definedName>
    <definedName name="BASE_MESSAGE">#REF!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#REF!</definedName>
    <definedName name="Baseline">#REF!</definedName>
    <definedName name="bcbcvb">#REF!</definedName>
    <definedName name="beny" hidden="1">{#N/A,#N/A,FALSE,"Monthly SAIFI";#N/A,#N/A,FALSE,"Yearly SAIFI";#N/A,#N/A,FALSE,"Monthly CAIDI";#N/A,#N/A,FALSE,"Yearly CAIDI";#N/A,#N/A,FALSE,"Monthly SAIDI";#N/A,#N/A,FALSE,"Yearly SAIDI";#N/A,#N/A,FALSE,"Monthly MAIFI";#N/A,#N/A,FALSE,"Yearly MAIFI";#N/A,#N/A,FALSE,"Monthly Cust &gt;=4 Int"}</definedName>
    <definedName name="Bi10LTIP_Table">#REF!</definedName>
    <definedName name="booka_g">#REF!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ett041">#REF!</definedName>
    <definedName name="Brett0415">#REF!</definedName>
    <definedName name="Brett0416">#REF!</definedName>
    <definedName name="Brett042">#REF!</definedName>
    <definedName name="brett0420">#REF!</definedName>
    <definedName name="brett0421">#REF!</definedName>
    <definedName name="Brett0422">#REF!</definedName>
    <definedName name="Brett0423">#REF!</definedName>
    <definedName name="Brett0601">#REF!</definedName>
    <definedName name="Brett0602">#REF!</definedName>
    <definedName name="Brett403">#REF!</definedName>
    <definedName name="Brett404">#REF!</definedName>
    <definedName name="Brett406">#REF!</definedName>
    <definedName name="Brett407">#REF!</definedName>
    <definedName name="Brett408">#REF!</definedName>
    <definedName name="Brett409">#REF!</definedName>
    <definedName name="Brett410">#REF!</definedName>
    <definedName name="Brett411">#REF!</definedName>
    <definedName name="Brett418">#REF!</definedName>
    <definedName name="Brett419">#REF!</definedName>
    <definedName name="BSYEAREN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DGET_YTD">#REF!</definedName>
    <definedName name="BudgetPJF">#REF!</definedName>
    <definedName name="BUName">#REF!</definedName>
    <definedName name="BUTypeAreaRes">#REF!</definedName>
    <definedName name="bvfzxcvxczxc">#REF!</definedName>
    <definedName name="bvvlhlkhjl">#REF!</definedName>
    <definedName name="C_">#REF!</definedName>
    <definedName name="C_3">#REF!</definedName>
    <definedName name="C_3_10">#REF!</definedName>
    <definedName name="Cal">#REF!</definedName>
    <definedName name="CalculationC">#REF!</definedName>
    <definedName name="CalculationCom">#REF!</definedName>
    <definedName name="CalculationComEd">#REF!</definedName>
    <definedName name="calculationD">#REF!</definedName>
    <definedName name="CalculationP">#REF!</definedName>
    <definedName name="CalculationPeco">#REF!</definedName>
    <definedName name="Calculations">#REF!</definedName>
    <definedName name="CalculationsC">#REF!</definedName>
    <definedName name="CalculationsC1">#REF!</definedName>
    <definedName name="CalculationsC3">#REF!</definedName>
    <definedName name="CalculationsC4">#REF!</definedName>
    <definedName name="CalculationsC5">#REF!</definedName>
    <definedName name="CalculationsP">#REF!</definedName>
    <definedName name="CalculationsP1">#REF!</definedName>
    <definedName name="CalculationsP2">#REF!</definedName>
    <definedName name="CalculationsP3">#REF!</definedName>
    <definedName name="CalculationsP4">#REF!</definedName>
    <definedName name="CalculationsP5">#REF!</definedName>
    <definedName name="CalculationsP6">#REF!</definedName>
    <definedName name="CalculationsPe">#REF!</definedName>
    <definedName name="CalculationsPeco">#REF!</definedName>
    <definedName name="CalculatP">#REF!</definedName>
    <definedName name="CAPA">#REF!</definedName>
    <definedName name="CAPB">#REF!</definedName>
    <definedName name="Capital">#REF!</definedName>
    <definedName name="CapitalExpenditures">#REF!</definedName>
    <definedName name="cbcvbcv" hidden="1">{#N/A,#N/A,FALSE,"Monthly SAIFI";#N/A,#N/A,FALSE,"Yearly SAIFI";#N/A,#N/A,FALSE,"Monthly CAIDI";#N/A,#N/A,FALSE,"Yearly CAIDI";#N/A,#N/A,FALSE,"Monthly SAIDI";#N/A,#N/A,FALSE,"Yearly SAIDI";#N/A,#N/A,FALSE,"Monthly MAIFI";#N/A,#N/A,FALSE,"Yearly MAIFI";#N/A,#N/A,FALSE,"Monthly Cust &gt;=4 Int"}</definedName>
    <definedName name="CBEast">#REF!</definedName>
    <definedName name="CBWest">#REF!</definedName>
    <definedName name="CBWorkbookPriority" hidden="1">-250256570</definedName>
    <definedName name="cc1end">#REF!</definedName>
    <definedName name="cc1subrange">#REF!</definedName>
    <definedName name="cc2origin">#REF!</definedName>
    <definedName name="cc2subrange">#REF!</definedName>
    <definedName name="cc3subrange">#REF!</definedName>
    <definedName name="ccbbcvbc" hidden="1">{#N/A,#N/A,FALSE,"Monthly SAIFI";#N/A,#N/A,FALSE,"Yearly SAIFI";#N/A,#N/A,FALSE,"Monthly CAIDI";#N/A,#N/A,FALSE,"Yearly CAIDI";#N/A,#N/A,FALSE,"Monthly SAIDI";#N/A,#N/A,FALSE,"Yearly SAIDI";#N/A,#N/A,FALSE,"Monthly MAIFI";#N/A,#N/A,FALSE,"Yearly MAIFI";#N/A,#N/A,FALSE,"Monthly Cust &gt;=4 Int"}</definedName>
    <definedName name="cccc">#REF!</definedName>
    <definedName name="Choose_Prefs">#REF!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KDATES">#REF!</definedName>
    <definedName name="CkDescr">#REF!</definedName>
    <definedName name="ClaculationC">#REF!</definedName>
    <definedName name="ClaculationP">#REF!</definedName>
    <definedName name="ClaculationsC">#REF!</definedName>
    <definedName name="Class">#REF!</definedName>
    <definedName name="CLDR">#REF!</definedName>
    <definedName name="CoAreaDept">#REF!</definedName>
    <definedName name="com">#REF!</definedName>
    <definedName name="Com1E">#REF!</definedName>
    <definedName name="Com2E">#REF!</definedName>
    <definedName name="comed1">#REF!</definedName>
    <definedName name="comed2">#REF!</definedName>
    <definedName name="comedmfr2">#REF!</definedName>
    <definedName name="Company">#REF!</definedName>
    <definedName name="Company_Name">#REF!</definedName>
    <definedName name="CompanyCount">#REF!</definedName>
    <definedName name="COMPAR_PRT_RNG">#REF!</definedName>
    <definedName name="complex">#REF!</definedName>
    <definedName name="ContactExt">#REF!</definedName>
    <definedName name="ContactName">#REF!</definedName>
    <definedName name="CONVERT_IT">#REF!</definedName>
    <definedName name="CONVERT_RTN">#REF!</definedName>
    <definedName name="Corp">#REF!</definedName>
    <definedName name="corp1">#REF!</definedName>
    <definedName name="corp1E">#REF!</definedName>
    <definedName name="corp2">#REF!</definedName>
    <definedName name="CorpE">#REF!</definedName>
    <definedName name="COSTCARECAPCHAR">#REF!</definedName>
    <definedName name="COSTCAREMEDCASE">#REF!</definedName>
    <definedName name="COSTCARESUM">#REF!</definedName>
    <definedName name="COUNTER">#REF!</definedName>
    <definedName name="CPTL94">#REF!</definedName>
    <definedName name="CPTL95">#REF!</definedName>
    <definedName name="CR_AMT">#REF!</definedName>
    <definedName name="credit_rate">#REF!</definedName>
    <definedName name="CREDIT1">#REF!</definedName>
    <definedName name="creditsummary">#REF!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#REF!</definedName>
    <definedName name="CURRENT">#REF!</definedName>
    <definedName name="CURRENT_MESSAGE">#REF!</definedName>
    <definedName name="CurrentEndDate">#REF!</definedName>
    <definedName name="CurrPeriod">#REF!</definedName>
    <definedName name="CustCred4thQtr">#REF!</definedName>
    <definedName name="CustCred4thQtrE">#REF!</definedName>
    <definedName name="CustCredDec">#REF!</definedName>
    <definedName name="CustCredDecE">#REF!</definedName>
    <definedName name="cvxvvdxzv">#REF!</definedName>
    <definedName name="CYDR">#REF!</definedName>
    <definedName name="d">#REF!</definedName>
    <definedName name="D_1">#REF!</definedName>
    <definedName name="D3CY_AMOUNT">#REF!</definedName>
    <definedName name="D3CY_COST">#REF!</definedName>
    <definedName name="D3HY_COST">#REF!</definedName>
    <definedName name="D3TY_AMOUNT">#REF!</definedName>
    <definedName name="D3TY_COST">#REF!</definedName>
    <definedName name="dadasdad">#REF!</definedName>
    <definedName name="dadasdas">#REF!</definedName>
    <definedName name="dafklaf">#REF!</definedName>
    <definedName name="dasdadad">#REF!</definedName>
    <definedName name="DASDD" hidden="1">{#N/A,#N/A,FALSE,"Monthly SAIFI";#N/A,#N/A,FALSE,"Yearly SAIFI";#N/A,#N/A,FALSE,"Monthly CAIDI";#N/A,#N/A,FALSE,"Yearly CAIDI";#N/A,#N/A,FALSE,"Monthly SAIDI";#N/A,#N/A,FALSE,"Yearly SAIDI";#N/A,#N/A,FALSE,"Monthly MAIFI";#N/A,#N/A,FALSE,"Yearly MAIFI";#N/A,#N/A,FALSE,"Monthly Cust &gt;=4 Int"}</definedName>
    <definedName name="dasfasfdsdaf">#REF!</definedName>
    <definedName name="Data">#REF!</definedName>
    <definedName name="_xlnm.Database">#REF!</definedName>
    <definedName name="Database2">#REF!</definedName>
    <definedName name="DatabaseE">#REF!</definedName>
    <definedName name="DATAFEEDER">#REF!</definedName>
    <definedName name="DateNumber">#REF!</definedName>
    <definedName name="DateNumberCurrentPrior">#REF!</definedName>
    <definedName name="DateNumberQtrPrior">#REF!</definedName>
    <definedName name="DateNumberYearEndPrior">#REF!</definedName>
    <definedName name="DateText">#REF!</definedName>
    <definedName name="DB_AMT">#REF!</definedName>
    <definedName name="dd" hidden="1">{#N/A,#N/A,FALSE,"Monthly SAIFI";#N/A,#N/A,FALSE,"Yearly SAIFI";#N/A,#N/A,FALSE,"Monthly CAIDI";#N/A,#N/A,FALSE,"Yearly CAIDI";#N/A,#N/A,FALSE,"Monthly SAIDI";#N/A,#N/A,FALSE,"Yearly SAIDI";#N/A,#N/A,FALSE,"Monthly MAIFI";#N/A,#N/A,FALSE,"Yearly MAIFI";#N/A,#N/A,FALSE,"Monthly Cust &gt;=4 Int"}</definedName>
    <definedName name="ddd">#REF!</definedName>
    <definedName name="dddd">#REF!</definedName>
    <definedName name="ddfsaf" hidden="1">{#N/A,#N/A,FALSE,"Monthly SAIFI";#N/A,#N/A,FALSE,"Yearly SAIFI";#N/A,#N/A,FALSE,"Monthly CAIDI";#N/A,#N/A,FALSE,"Yearly CAIDI";#N/A,#N/A,FALSE,"Monthly SAIDI";#N/A,#N/A,FALSE,"Yearly SAIDI";#N/A,#N/A,FALSE,"Monthly MAIFI";#N/A,#N/A,FALSE,"Yearly MAIFI";#N/A,#N/A,FALSE,"Monthly Cust &gt;=4 Int"}</definedName>
    <definedName name="ddvsdfsdfsdf">#REF!</definedName>
    <definedName name="DEANNA">#REF!</definedName>
    <definedName name="Dec">#REF!</definedName>
    <definedName name="DELAWARE">#REF!</definedName>
    <definedName name="DeliverCk">#REF!</definedName>
    <definedName name="DeliverExt">#REF!</definedName>
    <definedName name="DENT_NU">#REF!</definedName>
    <definedName name="DENT_U">#REF!</definedName>
    <definedName name="DETAIL">#REF!</definedName>
    <definedName name="dfasdfsdfZX" hidden="1">{#N/A,#N/A,FALSE,"Monthly SAIFI";#N/A,#N/A,FALSE,"Yearly SAIFI";#N/A,#N/A,FALSE,"Monthly CAIDI";#N/A,#N/A,FALSE,"Yearly CAIDI";#N/A,#N/A,FALSE,"Monthly SAIDI";#N/A,#N/A,FALSE,"Yearly SAIDI";#N/A,#N/A,FALSE,"Monthly MAIFI";#N/A,#N/A,FALSE,"Yearly MAIFI";#N/A,#N/A,FALSE,"Monthly Cust &gt;=4 Int"}</definedName>
    <definedName name="dfd">36787.5547596065</definedName>
    <definedName name="dfdffgdfgd">#REF!</definedName>
    <definedName name="dfdsfs" hidden="1">{#N/A,#N/A,FALSE,"Monthly SAIFI";#N/A,#N/A,FALSE,"Yearly SAIFI";#N/A,#N/A,FALSE,"Monthly CAIDI";#N/A,#N/A,FALSE,"Yearly CAIDI";#N/A,#N/A,FALSE,"Monthly SAIDI";#N/A,#N/A,FALSE,"Yearly SAIDI";#N/A,#N/A,FALSE,"Monthly MAIFI";#N/A,#N/A,FALSE,"Yearly MAIFI";#N/A,#N/A,FALSE,"Monthly Cust &gt;=4 Int"}</definedName>
    <definedName name="dfgdfgh">#REF!</definedName>
    <definedName name="dfgsdgdsfgd">#REF!</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asdfasfs">#REF!</definedName>
    <definedName name="dfsdfsf">#REF!</definedName>
    <definedName name="dfsfasfasfs">#REF!</definedName>
    <definedName name="dfssdfsdfsdfsdf">#REF!</definedName>
    <definedName name="Discount10">#REF!</definedName>
    <definedName name="Discount11">#REF!</definedName>
    <definedName name="Discount12">#REF!</definedName>
    <definedName name="Discount13">#REF!</definedName>
    <definedName name="Discount14">#REF!</definedName>
    <definedName name="Discount15">#REF!</definedName>
    <definedName name="Discount2">#REF!</definedName>
    <definedName name="Discount3">#REF!</definedName>
    <definedName name="Discount4">#REF!</definedName>
    <definedName name="Discount5">#REF!</definedName>
    <definedName name="Discount6">#REF!</definedName>
    <definedName name="Discount7">#REF!</definedName>
    <definedName name="Discount8">#REF!</definedName>
    <definedName name="Discount9">#REF!</definedName>
    <definedName name="discrate">#REF!</definedName>
    <definedName name="Docket">#REF!</definedName>
    <definedName name="DOIT">#REF!</definedName>
    <definedName name="DP1875TB">#REF!</definedName>
    <definedName name="DR">#REF!</definedName>
    <definedName name="dsfasfsadfsdfsa">#REF!</definedName>
    <definedName name="dskdlss" hidden="1">{#N/A,#N/A,FALSE,"Monthly SAIFI";#N/A,#N/A,FALSE,"Yearly SAIFI";#N/A,#N/A,FALSE,"Monthly CAIDI";#N/A,#N/A,FALSE,"Yearly CAIDI";#N/A,#N/A,FALSE,"Monthly SAIDI";#N/A,#N/A,FALSE,"Yearly SAIDI";#N/A,#N/A,FALSE,"Monthly MAIFI";#N/A,#N/A,FALSE,"Yearly MAIFI";#N/A,#N/A,FALSE,"Monthly Cust &gt;=4 Int"}</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W">#REF!</definedName>
    <definedName name="dyS">#REF!</definedName>
    <definedName name="E">#REF!</definedName>
    <definedName name="eaewq">#REF!</definedName>
    <definedName name="EASTERN">#REF!</definedName>
    <definedName name="EDPlt01">#REF!</definedName>
    <definedName name="EDPlt02">#REF!</definedName>
    <definedName name="EDPlt03">#REF!</definedName>
    <definedName name="EDPlt04">#REF!</definedName>
    <definedName name="edred" hidden="1">{#N/A,#N/A,FALSE,"Monthly SAIFI";#N/A,#N/A,FALSE,"Yearly SAIFI";#N/A,#N/A,FALSE,"Monthly CAIDI";#N/A,#N/A,FALSE,"Yearly CAIDI";#N/A,#N/A,FALSE,"Monthly SAIDI";#N/A,#N/A,FALSE,"Yearly SAIDI";#N/A,#N/A,FALSE,"Monthly MAIFI";#N/A,#N/A,FALSE,"Yearly MAIFI";#N/A,#N/A,FALSE,"Monthly Cust &gt;=4 Int"}</definedName>
    <definedName name="EED">#REF!</definedName>
    <definedName name="EL_PR_ACC">#REF!</definedName>
    <definedName name="EL_PR_PMT">#REF!</definedName>
    <definedName name="ELEC_ACC">#REF!</definedName>
    <definedName name="ELEC_CUST">#REF!</definedName>
    <definedName name="ELEC_PMT">#REF!</definedName>
    <definedName name="ELEC_REV">#REF!</definedName>
    <definedName name="ELEC_SALES">#REF!</definedName>
    <definedName name="EMPALL">#REF!</definedName>
    <definedName name="empid">#REF!</definedName>
    <definedName name="ENT">#REF!</definedName>
    <definedName name="EPG">#REF!</definedName>
    <definedName name="EPJFTable">#REF!</definedName>
    <definedName name="EPJFTableE">#REF!</definedName>
    <definedName name="err">#REF!</definedName>
    <definedName name="erser">#REF!</definedName>
    <definedName name="EssOptions">"1100000000130100_11-          00"</definedName>
    <definedName name="Estimated_Fair_Value">"fair_value"</definedName>
    <definedName name="EstimateRetirement">#REF!</definedName>
    <definedName name="expnoyear">#REF!</definedName>
    <definedName name="expnoyearE">#REF!</definedName>
    <definedName name="exptitle">#REF!</definedName>
    <definedName name="exptitleE">#REF!</definedName>
    <definedName name="expwmoney">#REF!</definedName>
    <definedName name="f" hidden="1">{#N/A,#N/A,FALSE,"Monthly SAIFI";#N/A,#N/A,FALSE,"Yearly SAIFI";#N/A,#N/A,FALSE,"Monthly CAIDI";#N/A,#N/A,FALSE,"Yearly CAIDI";#N/A,#N/A,FALSE,"Monthly SAIDI";#N/A,#N/A,FALSE,"Yearly SAIDI";#N/A,#N/A,FALSE,"Monthly MAIFI";#N/A,#N/A,FALSE,"Yearly MAIFI";#N/A,#N/A,FALSE,"Monthly Cust &gt;=4 Int"}</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Category_Lookup">#REF!</definedName>
    <definedName name="Factor_Lookup">#REF!</definedName>
    <definedName name="FACTOR_NAME">#REF!</definedName>
    <definedName name="FACTOR_TABLE">#REF!</definedName>
    <definedName name="FACTOR_VALUE">#REF!</definedName>
    <definedName name="fafasfasf">#REF!</definedName>
    <definedName name="fair_value">#REF!</definedName>
    <definedName name="fasdfsadf">#REF!</definedName>
    <definedName name="fasfsafasf">#REF!</definedName>
    <definedName name="fasfsdf">#REF!</definedName>
    <definedName name="fasfsfsdfsf">#REF!</definedName>
    <definedName name="fdfsdfsdfsdfsdfsd">#REF!</definedName>
    <definedName name="FDSDFSF" hidden="1">{#N/A,#N/A,FALSE,"Monthly SAIFI";#N/A,#N/A,FALSE,"Yearly SAIFI";#N/A,#N/A,FALSE,"Monthly CAIDI";#N/A,#N/A,FALSE,"Yearly CAIDI";#N/A,#N/A,FALSE,"Monthly SAIDI";#N/A,#N/A,FALSE,"Yearly SAIDI";#N/A,#N/A,FALSE,"Monthly MAIFI";#N/A,#N/A,FALSE,"Yearly MAIFI";#N/A,#N/A,FALSE,"Monthly Cust &gt;=4 Int"}</definedName>
    <definedName name="fdsfafs">#REF!</definedName>
    <definedName name="FEBRUARY">#REF!</definedName>
    <definedName name="FERC.ICC">#REF!</definedName>
    <definedName name="ff" hidden="1">{#N/A,#N/A,FALSE,"Monthly SAIFI";#N/A,#N/A,FALSE,"Yearly SAIFI";#N/A,#N/A,FALSE,"Monthly CAIDI";#N/A,#N/A,FALSE,"Yearly CAIDI";#N/A,#N/A,FALSE,"Monthly SAIDI";#N/A,#N/A,FALSE,"Yearly SAIDI";#N/A,#N/A,FALSE,"Monthly MAIFI";#N/A,#N/A,FALSE,"Yearly MAIFI";#N/A,#N/A,FALSE,"Monthly Cust &gt;=4 Int"}</definedName>
    <definedName name="fff" hidden="1">{#N/A,#N/A,FALSE,"Monthly SAIFI";#N/A,#N/A,FALSE,"Yearly SAIFI";#N/A,#N/A,FALSE,"Monthly CAIDI";#N/A,#N/A,FALSE,"Yearly CAIDI";#N/A,#N/A,FALSE,"Monthly SAIDI";#N/A,#N/A,FALSE,"Yearly SAIDI";#N/A,#N/A,FALSE,"Monthly MAIFI";#N/A,#N/A,FALSE,"Yearly MAIFI";#N/A,#N/A,FALSE,"Monthly Cust &gt;=4 Int"}</definedName>
    <definedName name="ffff">#REF!</definedName>
    <definedName name="ffmbs">#REF!</definedName>
    <definedName name="fghjghjfgjf" hidden="1">{#N/A,#N/A,FALSE,"Monthly SAIFI";#N/A,#N/A,FALSE,"Yearly SAIFI";#N/A,#N/A,FALSE,"Monthly CAIDI";#N/A,#N/A,FALSE,"Yearly CAIDI";#N/A,#N/A,FALSE,"Monthly SAIDI";#N/A,#N/A,FALSE,"Yearly SAIDI";#N/A,#N/A,FALSE,"Monthly MAIFI";#N/A,#N/A,FALSE,"Yearly MAIFI";#N/A,#N/A,FALSE,"Monthly Cust &gt;=4 Int"}</definedName>
    <definedName name="fgsdfgdfgdfhdhdf">#REF!</definedName>
    <definedName name="Finance3">#REF!</definedName>
    <definedName name="FinanceOther">#REF!</definedName>
    <definedName name="FinDate">#REF!</definedName>
    <definedName name="findate2">#REF!</definedName>
    <definedName name="findate3">#REF!</definedName>
    <definedName name="FIT">#REF!</definedName>
    <definedName name="fjriesmd">#REF!</definedName>
    <definedName name="flap">#REF!</definedName>
    <definedName name="fmbs">#REF!</definedName>
    <definedName name="fnklsdfjklsgf">#REF!</definedName>
    <definedName name="Forecast">#REF!</definedName>
    <definedName name="fsafsfsaf">#REF!</definedName>
    <definedName name="fsdafasf" hidden="1">{#N/A,#N/A,FALSE,"Monthly SAIFI";#N/A,#N/A,FALSE,"Yearly SAIFI";#N/A,#N/A,FALSE,"Monthly CAIDI";#N/A,#N/A,FALSE,"Yearly CAIDI";#N/A,#N/A,FALSE,"Monthly SAIDI";#N/A,#N/A,FALSE,"Yearly SAIDI";#N/A,#N/A,FALSE,"Monthly MAIFI";#N/A,#N/A,FALSE,"Yearly MAIFI";#N/A,#N/A,FALSE,"Monthly Cust &gt;=4 Int"}</definedName>
    <definedName name="fsdf">#REF!</definedName>
    <definedName name="fsdfaf">#REF!</definedName>
    <definedName name="fsdfas">#REF!</definedName>
    <definedName name="fsdfsd">#REF!</definedName>
    <definedName name="fsdfsdfas">#REF!</definedName>
    <definedName name="fsdfsdfsfs">#REF!</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dfsfsf">#REF!</definedName>
    <definedName name="fsdfwer">#REF!</definedName>
    <definedName name="fsfsafkskfsf">#REF!</definedName>
    <definedName name="fsfsafs">#REF!</definedName>
    <definedName name="fsfsdfsafs">#REF!</definedName>
    <definedName name="fsfsfsafasf" hidden="1">{#N/A,#N/A,FALSE,"Monthly SAIFI";#N/A,#N/A,FALSE,"Yearly SAIFI";#N/A,#N/A,FALSE,"Monthly CAIDI";#N/A,#N/A,FALSE,"Yearly CAIDI";#N/A,#N/A,FALSE,"Monthly SAIDI";#N/A,#N/A,FALSE,"Yearly SAIDI";#N/A,#N/A,FALSE,"Monthly MAIFI";#N/A,#N/A,FALSE,"Yearly MAIFI";#N/A,#N/A,FALSE,"Monthly Cust &gt;=4 Int"}</definedName>
    <definedName name="full_credit">#REF!</definedName>
    <definedName name="Function">#REF!</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FY4D">#REF!</definedName>
    <definedName name="G">#REF!</definedName>
    <definedName name="GAM83M">#REF!</definedName>
    <definedName name="gatt">#REF!</definedName>
    <definedName name="gattmale">#REF!</definedName>
    <definedName name="gdfgdgdg">#REF!</definedName>
    <definedName name="gdfgsdfgsdfgsadf">#REF!</definedName>
    <definedName name="gdistrres">#REF!</definedName>
    <definedName name="gdistrupis">#REF!</definedName>
    <definedName name="GEN_INST">#REF!</definedName>
    <definedName name="GENERAL_HELP">#REF!</definedName>
    <definedName name="GenInput">#REF!</definedName>
    <definedName name="GenPay">#REF!</definedName>
    <definedName name="gfdfxdf">#REF!</definedName>
    <definedName name="gfdsgsdgfsd">#REF!</definedName>
    <definedName name="gfhfhfdhg">#REF!</definedName>
    <definedName name="gg">#REF!</definedName>
    <definedName name="ggg">#REF!</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prodres">#REF!</definedName>
    <definedName name="gprodupis">#REF!</definedName>
    <definedName name="GR_PRT_RANGE">#REF!</definedName>
    <definedName name="GRAPH_SELECT">#REF!</definedName>
    <definedName name="GRAPH_TABLE">#REF!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oss_rec_caution">#REF!</definedName>
    <definedName name="GRS">#REF!</definedName>
    <definedName name="grtm1">#REF!</definedName>
    <definedName name="grtm2">#REF!</definedName>
    <definedName name="grtm3">#REF!</definedName>
    <definedName name="grtm4">#REF!</definedName>
    <definedName name="gtransres">#REF!</definedName>
    <definedName name="gtransupis">#REF!</definedName>
    <definedName name="GVKey">""</definedName>
    <definedName name="h" hidden="1">{#N/A,#N/A,FALSE,"Monthly SAIFI";#N/A,#N/A,FALSE,"Yearly SAIFI";#N/A,#N/A,FALSE,"Monthly CAIDI";#N/A,#N/A,FALSE,"Yearly CAIDI";#N/A,#N/A,FALSE,"Monthly SAIDI";#N/A,#N/A,FALSE,"Yearly SAIDI";#N/A,#N/A,FALSE,"Monthly MAIFI";#N/A,#N/A,FALSE,"Yearly MAIFI";#N/A,#N/A,FALSE,"Monthly Cust &gt;=4 Int"}</definedName>
    <definedName name="HELP_LOCATOR">#REF!</definedName>
    <definedName name="hh" hidden="1">{#N/A,#N/A,FALSE,"Monthly SAIFI";#N/A,#N/A,FALSE,"Yearly SAIFI";#N/A,#N/A,FALSE,"Monthly CAIDI";#N/A,#N/A,FALSE,"Yearly CAIDI";#N/A,#N/A,FALSE,"Monthly SAIDI";#N/A,#N/A,FALSE,"Yearly SAIDI";#N/A,#N/A,FALSE,"Monthly MAIFI";#N/A,#N/A,FALSE,"Yearly MAIFI";#N/A,#N/A,FALSE,"Monthly Cust &gt;=4 Int"}</definedName>
    <definedName name="hhifgfcgfcg">#REF!</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i">#REF!</definedName>
    <definedName name="IDN">#REF!</definedName>
    <definedName name="IL_AG_SRs">#REF!</definedName>
    <definedName name="ImplementDate">#REF!</definedName>
    <definedName name="Indirect">#REF!</definedName>
    <definedName name="INPUT">#N/A</definedName>
    <definedName name="INPUT1">#REF!</definedName>
    <definedName name="INPUT2">#REF!</definedName>
    <definedName name="INPUT3">#REF!</definedName>
    <definedName name="INSERTRANGE">#REF!</definedName>
    <definedName name="INST_MULT_CV">#REF!</definedName>
    <definedName name="INST_PMT_SCHED">#REF!</definedName>
    <definedName name="Instrat3">#REF!</definedName>
    <definedName name="INSTRUCT">#REF!</definedName>
    <definedName name="int.rate">#REF!</definedName>
    <definedName name="interest">#REF!</definedName>
    <definedName name="interestrate">#REF!</definedName>
    <definedName name="invdtrat">#REF!</definedName>
    <definedName name="InvNbr">#REF!</definedName>
    <definedName name="InvStrat">#REF!</definedName>
    <definedName name="InvStrati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"XLL"</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39420.5644328704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#REF!</definedName>
    <definedName name="IT_VP_name">#REF!</definedName>
    <definedName name="ITBU">#REF!</definedName>
    <definedName name="item_data">#REF!</definedName>
    <definedName name="ITVP1">#REF!</definedName>
    <definedName name="ITVP2">#REF!</definedName>
    <definedName name="itvp5">#REF!</definedName>
    <definedName name="JANUARY">#REF!</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hyfesg">#REF!</definedName>
    <definedName name="John" hidden="1">{#N/A,#N/A,FALSE,"Monthly SAIFI";#N/A,#N/A,FALSE,"Yearly SAIFI";#N/A,#N/A,FALSE,"Monthly CAIDI";#N/A,#N/A,FALSE,"Yearly CAIDI";#N/A,#N/A,FALSE,"Monthly SAIDI";#N/A,#N/A,FALSE,"Yearly SAIDI";#N/A,#N/A,FALSE,"Monthly MAIFI";#N/A,#N/A,FALSE,"Yearly MAIFI";#N/A,#N/A,FALSE,"Monthly Cust &gt;=4 Int"}</definedName>
    <definedName name="Jul">#REF!</definedName>
    <definedName name="Jun">#REF!</definedName>
    <definedName name="JV_DETAIL">#REF!</definedName>
    <definedName name="k" hidden="1">{#N/A,#N/A,FALSE,"Monthly SAIFI";#N/A,#N/A,FALSE,"Yearly SAIFI";#N/A,#N/A,FALSE,"Monthly CAIDI";#N/A,#N/A,FALSE,"Yearly CAIDI";#N/A,#N/A,FALSE,"Monthly SAIDI";#N/A,#N/A,FALSE,"Yearly SAIDI";#N/A,#N/A,FALSE,"Monthly MAIFI";#N/A,#N/A,FALSE,"Yearly MAIFI";#N/A,#N/A,FALSE,"Monthly Cust &gt;=4 Int"}</definedName>
    <definedName name="ket_it">#REF!</definedName>
    <definedName name="Key_Stakeholder_Interface">#REF!</definedName>
    <definedName name="KeyE1" hidden="1">#REF!</definedName>
    <definedName name="kk" hidden="1">{#N/A,#N/A,FALSE,"Monthly SAIFI";#N/A,#N/A,FALSE,"Yearly SAIFI";#N/A,#N/A,FALSE,"Monthly CAIDI";#N/A,#N/A,FALSE,"Yearly CAIDI";#N/A,#N/A,FALSE,"Monthly SAIDI";#N/A,#N/A,FALSE,"Yearly SAIDI";#N/A,#N/A,FALSE,"Monthly MAIFI";#N/A,#N/A,FALSE,"Yearly MAIFI";#N/A,#N/A,FALSE,"Monthly Cust &gt;=4 Int"}</definedName>
    <definedName name="kkk" hidden="1">{#N/A,#N/A,FALSE,"Monthly SAIFI";#N/A,#N/A,FALSE,"Yearly SAIFI";#N/A,#N/A,FALSE,"Monthly CAIDI";#N/A,#N/A,FALSE,"Yearly CAIDI";#N/A,#N/A,FALSE,"Monthly SAIDI";#N/A,#N/A,FALSE,"Yearly SAIDI";#N/A,#N/A,FALSE,"Monthly MAIFI";#N/A,#N/A,FALSE,"Yearly MAIFI";#N/A,#N/A,FALSE,"Monthly Cust &gt;=4 Int"}</definedName>
    <definedName name="Labor01">#REF!</definedName>
    <definedName name="Labor02">#REF!</definedName>
    <definedName name="Labor03">#REF!</definedName>
    <definedName name="Labor04">#REF!</definedName>
    <definedName name="lastrow">#REF!</definedName>
    <definedName name="Line_No.">#REF!</definedName>
    <definedName name="loilpuioopy" hidden="1">{#N/A,#N/A,FALSE,"Monthly SAIFI";#N/A,#N/A,FALSE,"Yearly SAIFI";#N/A,#N/A,FALSE,"Monthly CAIDI";#N/A,#N/A,FALSE,"Yearly CAIDI";#N/A,#N/A,FALSE,"Monthly SAIDI";#N/A,#N/A,FALSE,"Yearly SAIDI";#N/A,#N/A,FALSE,"Monthly MAIFI";#N/A,#N/A,FALSE,"Yearly MAIFI";#N/A,#N/A,FALSE,"Monthly Cust &gt;=4 Int"}</definedName>
    <definedName name="LONGBUDESCR">#REF!</definedName>
    <definedName name="LOOP_1">#REF!</definedName>
    <definedName name="LOOP_2">#REF!</definedName>
    <definedName name="LOOP_3">#REF!</definedName>
    <definedName name="loss">#REF!</definedName>
    <definedName name="LRP_Data">#REF!</definedName>
    <definedName name="lsdfj"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td.bal">#REF!</definedName>
    <definedName name="ltd.cost">#REF!</definedName>
    <definedName name="Macro3">#REF!</definedName>
    <definedName name="Macro4">#REF!</definedName>
    <definedName name="Macro5">#REF!</definedName>
    <definedName name="MACROS">#REF!</definedName>
    <definedName name="Mar">#REF!</definedName>
    <definedName name="May">#REF!</definedName>
    <definedName name="MEDICARE">#REF!</definedName>
    <definedName name="Meet_Cost_Commitments">#REF!</definedName>
    <definedName name="Meet_Production_Commitments">#REF!</definedName>
    <definedName name="mgmfeparg">#REF!</definedName>
    <definedName name="mmmtns">#REF!</definedName>
    <definedName name="mmtns">#REF!</definedName>
    <definedName name="MO_GAS_ACC">#REF!</definedName>
    <definedName name="MO_GAS_PMT">#REF!</definedName>
    <definedName name="modelgrheader">#REF!</definedName>
    <definedName name="modelqreheader">#REF!</definedName>
    <definedName name="MonAct">#REF!</definedName>
    <definedName name="MonBudVar">#REF!</definedName>
    <definedName name="money">#REF!</definedName>
    <definedName name="MonQtrVar">#REF!</definedName>
    <definedName name="Month">#REF!</definedName>
    <definedName name="MonthlyCFBUD">#REF!</definedName>
    <definedName name="MonthlyCFLE">#REF!</definedName>
    <definedName name="mtns">#REF!</definedName>
    <definedName name="mttns">#REF!</definedName>
    <definedName name="MULTCVDATA">#REF!</definedName>
    <definedName name="n">#REF!</definedName>
    <definedName name="NDCA">#REF!</definedName>
    <definedName name="ne">#REF!</definedName>
    <definedName name="new_98_IS">#REF!,#REF!,#REF!</definedName>
    <definedName name="New_99_IS">#REF!,#REF!,#REF!</definedName>
    <definedName name="New_BS">#REF!,#REF!,#REF!</definedName>
    <definedName name="NEXT_STEP">#REF!</definedName>
    <definedName name="NOILL">#REF!</definedName>
    <definedName name="NON_MED_NU">#REF!</definedName>
    <definedName name="NON_MED_U">#REF!</definedName>
    <definedName name="NON_UTIL">#REF!</definedName>
    <definedName name="NORTHEAST">#REF!</definedName>
    <definedName name="NORTHWEST">#REF!</definedName>
    <definedName name="Nov">#REF!</definedName>
    <definedName name="Nuclear">#REF!</definedName>
    <definedName name="NvsASD">"V2001-08-31"</definedName>
    <definedName name="NvsAutoDrillOk">"VN"</definedName>
    <definedName name="NvsElapsedTime">0.0000724537021596916</definedName>
    <definedName name="NvsEndTime">36817.4223792824</definedName>
    <definedName name="NvsInstSpec">"%,LACTUALS,SBAL,R,FACCOUNT,V275900,FBUSINESS_UNIT,V10200"</definedName>
    <definedName name="NvsLayoutType">"M3"</definedName>
    <definedName name="NvsNplSpec">"%,XZF.ACCOUNT.PSDetail"</definedName>
    <definedName name="NvsPanelEffdt">"V1995-01-01"</definedName>
    <definedName name="NvsPanelSetid">"VMFG"</definedName>
    <definedName name="NvsParentRef">#REF!</definedName>
    <definedName name="NvsReqBU">"V10200"</definedName>
    <definedName name="NvsReqBUOnly">"VN"</definedName>
    <definedName name="NvsTransLed">"VN"</definedName>
    <definedName name="NvsTreeASD">"V2001-08-31"</definedName>
    <definedName name="NvsValTbl.ACCOUNT">"GL_ACCOUNT_TBL"</definedName>
    <definedName name="NvsValTbl.BUSINESS_UNIT">"BUS_UNIT_TBL_GL"</definedName>
    <definedName name="NvsValTbl.CURRENCY_CD">"CURRENCY_CD_TBL"</definedName>
    <definedName name="OBRADR">#REF!</definedName>
    <definedName name="Oct">#REF!</definedName>
    <definedName name="OMA">#REF!</definedName>
    <definedName name="OMB">#REF!</definedName>
    <definedName name="OMD1E">#REF!</definedName>
    <definedName name="OMD2E">#REF!</definedName>
    <definedName name="OMExpenses">#REF!</definedName>
    <definedName name="one">#REF!,#REF!,#REF!</definedName>
    <definedName name="ONM">#REF!</definedName>
    <definedName name="ootherdebt">#REF!</definedName>
    <definedName name="Operational_Excellence_">#REF!</definedName>
    <definedName name="Operational_Execution_And_Safety">#REF!</definedName>
    <definedName name="OPR">#REF!</definedName>
    <definedName name="OtherDebt">#REF!</definedName>
    <definedName name="OtherFinal">#REF!</definedName>
    <definedName name="OtherFinalE">#REF!</definedName>
    <definedName name="page_one">#REF!</definedName>
    <definedName name="page_two">#REF!</definedName>
    <definedName name="PAGE1">#REF!</definedName>
    <definedName name="PAGE2">#REF!</definedName>
    <definedName name="PAGE2A">#REF!</definedName>
    <definedName name="PAGE3">#REF!</definedName>
    <definedName name="PAGE4">#REF!</definedName>
    <definedName name="PAGEA">#REF!</definedName>
    <definedName name="PAGEC">#REF!</definedName>
    <definedName name="PAGEE">#REF!</definedName>
    <definedName name="PD_CLAIMS_NSG1">#REF!</definedName>
    <definedName name="PD_CLAIMS_NSG2">#REF!</definedName>
    <definedName name="PD_CLAIMS_PGL1">#REF!</definedName>
    <definedName name="PD_CLAIMS_PGL2">#REF!</definedName>
    <definedName name="PD_CLAIMS_SUM">#REF!</definedName>
    <definedName name="pe">#REF!</definedName>
    <definedName name="PECO_LABS_FUELS_ALL">#REF!</definedName>
    <definedName name="peco1">#REF!</definedName>
    <definedName name="peco2">#REF!</definedName>
    <definedName name="pecobod45">#REF!</definedName>
    <definedName name="pecomfr3">#REF!</definedName>
    <definedName name="PER">#REF!</definedName>
    <definedName name="Perf_Ratings">#REF!</definedName>
    <definedName name="PGCOUNT">#REF!</definedName>
    <definedName name="pgm_pri1">#REF!</definedName>
    <definedName name="Phase">#REF!</definedName>
    <definedName name="PHASE_HELP">#REF!</definedName>
    <definedName name="PJFTable">#REF!</definedName>
    <definedName name="PJFTable2">#REF!</definedName>
    <definedName name="PLACE_HOLD">#REF!</definedName>
    <definedName name="plt1t">#REF!</definedName>
    <definedName name="plt2t">#REF!</definedName>
    <definedName name="PMTSCHEDULE">#REF!</definedName>
    <definedName name="PostDate">#REF!</definedName>
    <definedName name="PowerTeam">#REF!</definedName>
    <definedName name="ppstk">#REF!</definedName>
    <definedName name="prefstk.cost">#REF!</definedName>
    <definedName name="PREPAID_TAX">#REF!</definedName>
    <definedName name="Pri">#REF!</definedName>
    <definedName name="Print_98_IS">#REF!,#REF!,#REF!</definedName>
    <definedName name="Print_99_IS">#REF!,#REF!,#REF!</definedName>
    <definedName name="_xlnm.Print_Area" localSheetId="8">'MEEIA 2 adjs'!$A$1:$Q$15</definedName>
    <definedName name="_xlnm.Print_Area" localSheetId="7">'MEEIA 2 calcs'!$A$1:$AV$105</definedName>
    <definedName name="_xlnm.Print_Area" localSheetId="4">'MEEIA 3 adjs'!$A$1:$B$2</definedName>
    <definedName name="_xlnm.Print_Area" localSheetId="2">'MEEIA 3 calcs'!$A$1:$O$75</definedName>
    <definedName name="_xlnm.Print_Area" localSheetId="0">'MEEIA 4 calcs'!$A$1:$B$75</definedName>
    <definedName name="_xlnm.Print_Area">#REF!</definedName>
    <definedName name="Print_Area_MI">#REF!</definedName>
    <definedName name="Print_Area1">#REF!</definedName>
    <definedName name="Print_BS">#REF!,#REF!,#REF!</definedName>
    <definedName name="PRINT_SET_UP">#REF!</definedName>
    <definedName name="Print_TFI_use">#REF!,#REF!,#REF!</definedName>
    <definedName name="_xlnm.Print_Titles">#REF!,#REF!</definedName>
    <definedName name="PrintA">#REF!</definedName>
    <definedName name="PrintArea">#REF!</definedName>
    <definedName name="PRINTLOGO">#REF!</definedName>
    <definedName name="PRINTPRINTIT">#REF!</definedName>
    <definedName name="Prior">#REF!</definedName>
    <definedName name="PriorQTREnd">#REF!</definedName>
    <definedName name="PRNFILE">#REF!</definedName>
    <definedName name="prod04">#REF!</definedName>
    <definedName name="Profitability_">#REF!</definedName>
    <definedName name="proforma2">#REF!</definedName>
    <definedName name="Projects">#REF!</definedName>
    <definedName name="Property">#REF!</definedName>
    <definedName name="PropertyE">#REF!</definedName>
    <definedName name="PRT_COMPARE">#REF!</definedName>
    <definedName name="PRT_GR">#REF!</definedName>
    <definedName name="PRT_GRAPH_RTN">#REF!</definedName>
    <definedName name="PRT_GRAPHS">#REF!</definedName>
    <definedName name="PRT_GRAPHS?">#REF!</definedName>
    <definedName name="PRT_GRPH_1">#REF!</definedName>
    <definedName name="PRT_GRPH_10">#REF!</definedName>
    <definedName name="PRT_GRPH_11">#REF!</definedName>
    <definedName name="PRT_GRPH_12">#REF!</definedName>
    <definedName name="PRT_GRPH_2">#REF!</definedName>
    <definedName name="PRT_GRPH_3">#REF!</definedName>
    <definedName name="PRT_GRPH_4">#REF!</definedName>
    <definedName name="PRT_GRPH_5">#REF!</definedName>
    <definedName name="PRT_GRPH_6">#REF!</definedName>
    <definedName name="PRT_GRPH_7">#REF!</definedName>
    <definedName name="PRT_GRPH_8">#REF!</definedName>
    <definedName name="PRT_GRPH_9">#REF!</definedName>
    <definedName name="PRT_MODEL">#REF!</definedName>
    <definedName name="PRT_QRES">#REF!</definedName>
    <definedName name="PRT_REPORT_RTN">#REF!</definedName>
    <definedName name="PRT_REPORTS">#REF!</definedName>
    <definedName name="PRT_REPORTS?">#REF!</definedName>
    <definedName name="PRT_RESET">#REF!</definedName>
    <definedName name="pstk.bal">#REF!</definedName>
    <definedName name="pstk.cost">#REF!</definedName>
    <definedName name="PY_ytd">#REF!</definedName>
    <definedName name="pymonth">#REF!</definedName>
    <definedName name="QES">#REF!</definedName>
    <definedName name="qq">#REF!</definedName>
    <definedName name="qqqq">#REF!</definedName>
    <definedName name="qre">#REF!</definedName>
    <definedName name="QRE_HELP">#REF!</definedName>
    <definedName name="QRE_MARGINS">#REF!</definedName>
    <definedName name="QRE_SUMMARY">#REF!</definedName>
    <definedName name="qsqe">#REF!</definedName>
    <definedName name="QuarterEndDate">#REF!</definedName>
    <definedName name="Range1">#REF!</definedName>
    <definedName name="Range10">#REF!</definedName>
    <definedName name="Range11">#REF!</definedName>
    <definedName name="Range12">#REF!</definedName>
    <definedName name="Range13">#REF!</definedName>
    <definedName name="Range14">#REF!</definedName>
    <definedName name="Range15">#REF!</definedName>
    <definedName name="Range16">#REF!</definedName>
    <definedName name="Range17">#REF!</definedName>
    <definedName name="Range18">#REF!</definedName>
    <definedName name="Range19">#REF!</definedName>
    <definedName name="Range2">#REF!</definedName>
    <definedName name="Range20">#REF!</definedName>
    <definedName name="Range21">#REF!</definedName>
    <definedName name="Range22">#REF!</definedName>
    <definedName name="Range23">#REF!</definedName>
    <definedName name="Range24">#REF!</definedName>
    <definedName name="Range25">#REF!</definedName>
    <definedName name="Range26">#REF!</definedName>
    <definedName name="Range27">#REF!</definedName>
    <definedName name="Range28">#REF!</definedName>
    <definedName name="Range29">#REF!</definedName>
    <definedName name="Range3">#REF!</definedName>
    <definedName name="Range30">#REF!</definedName>
    <definedName name="Range31">#REF!</definedName>
    <definedName name="Range32">#REF!</definedName>
    <definedName name="Range33">#REF!</definedName>
    <definedName name="Range34">#REF!</definedName>
    <definedName name="Range35">#REF!</definedName>
    <definedName name="Range36">#REF!</definedName>
    <definedName name="Range37">#REF!</definedName>
    <definedName name="Range38">#REF!</definedName>
    <definedName name="Range39">#REF!</definedName>
    <definedName name="Range4">#REF!</definedName>
    <definedName name="Range40">#REF!</definedName>
    <definedName name="Range41">#REF!</definedName>
    <definedName name="Range5">#REF!</definedName>
    <definedName name="Range6">#REF!</definedName>
    <definedName name="Range7">#REF!</definedName>
    <definedName name="Range8">#REF!</definedName>
    <definedName name="Range9">#REF!</definedName>
    <definedName name="Rate_Class">#REF!</definedName>
    <definedName name="rate_classE">#REF!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b2E">#REF!</definedName>
    <definedName name="RBD1E">#REF!</definedName>
    <definedName name="rbd2e">#REF!</definedName>
    <definedName name="rbnoyear">#REF!</definedName>
    <definedName name="rbtitle">#REF!</definedName>
    <definedName name="rbtitlee">#REF!</definedName>
    <definedName name="RBU">#REF!</definedName>
    <definedName name="rbwmoney">#REF!</definedName>
    <definedName name="reawreqw" hidden="1">{#N/A,#N/A,FALSE,"Monthly SAIFI";#N/A,#N/A,FALSE,"Yearly SAIFI";#N/A,#N/A,FALSE,"Monthly CAIDI";#N/A,#N/A,FALSE,"Yearly CAIDI";#N/A,#N/A,FALSE,"Monthly SAIDI";#N/A,#N/A,FALSE,"Yearly SAIDI";#N/A,#N/A,FALSE,"Monthly MAIFI";#N/A,#N/A,FALSE,"Yearly MAIFI";#N/A,#N/A,FALSE,"Monthly Cust &gt;=4 Int"}</definedName>
    <definedName name="REB1P1">#REF!</definedName>
    <definedName name="_xlnm.Recorder">#REF!</definedName>
    <definedName name="reduced_credit">#REF!</definedName>
    <definedName name="reduced_credit_caption">#REF!</definedName>
    <definedName name="Refresh_Report">#REF!</definedName>
    <definedName name="REPORT_SELECT">#REF!</definedName>
    <definedName name="REPORT_TABLE">#REF!</definedName>
    <definedName name="ReportingDate">#REF!</definedName>
    <definedName name="ReqDate">#REF!</definedName>
    <definedName name="RESET_SENS_FACT">#REF!</definedName>
    <definedName name="ResourceType">#REF!</definedName>
    <definedName name="RETURN">#REF!</definedName>
    <definedName name="RID">#REF!</definedName>
    <definedName name="RMC">#REF!</definedName>
    <definedName name="rmc2e">#REF!</definedName>
    <definedName name="ROA">#REF!</definedName>
    <definedName name="RoleMapColumn">#REF!</definedName>
    <definedName name="RoleMapRow">#REF!</definedName>
    <definedName name="RoleMapTable">#REF!</definedName>
    <definedName name="RtdEarnings">#REF!</definedName>
    <definedName name="rtdearningse">#REF!</definedName>
    <definedName name="RWOEstimates">#REF!</definedName>
    <definedName name="rwrw">#REF!</definedName>
    <definedName name="s">#REF!</definedName>
    <definedName name="saaaagd">#REF!</definedName>
    <definedName name="saaanghvi21">#REF!</definedName>
    <definedName name="safasdfsad">#REF!</definedName>
    <definedName name="Safety_Workforce_Eff_">#REF!</definedName>
    <definedName name="saff">#REF!</definedName>
    <definedName name="safsafs">#REF!</definedName>
    <definedName name="safsfsad">#REF!</definedName>
    <definedName name="safsgfsdf">#REF!</definedName>
    <definedName name="salkgasgs">#REF!</definedName>
    <definedName name="Sample">#REF!</definedName>
    <definedName name="Sample_2_VLookup">#REF!</definedName>
    <definedName name="Sample_VLookup">#REF!</definedName>
    <definedName name="Sample2">#REF!</definedName>
    <definedName name="sanahgsg">#REF!</definedName>
    <definedName name="sangg">#REF!</definedName>
    <definedName name="sangh">#REF!</definedName>
    <definedName name="sanghiii">#REF!</definedName>
    <definedName name="sanghvi">#REF!</definedName>
    <definedName name="sanghvi215">#REF!</definedName>
    <definedName name="sanghvi231">#REF!</definedName>
    <definedName name="sanghvi232">#REF!</definedName>
    <definedName name="sanghvi2323">#REF!</definedName>
    <definedName name="SAPBEXrevision" hidden="1">18</definedName>
    <definedName name="SAPBEXsysID" hidden="1">"BWP"</definedName>
    <definedName name="SAPBEXwbID" hidden="1">"3PHPFV8FO7PRQRDHFGKHVVOKV"</definedName>
    <definedName name="sasas">#REF!</definedName>
    <definedName name="saSAsa" hidden="1">{#N/A,#N/A,FALSE,"Monthly SAIFI";#N/A,#N/A,FALSE,"Yearly SAIFI";#N/A,#N/A,FALSE,"Monthly CAIDI";#N/A,#N/A,FALSE,"Yearly CAIDI";#N/A,#N/A,FALSE,"Monthly SAIDI";#N/A,#N/A,FALSE,"Yearly SAIDI";#N/A,#N/A,FALSE,"Monthly MAIFI";#N/A,#N/A,FALSE,"Yearly MAIFI";#N/A,#N/A,FALSE,"Monthly Cust &gt;=4 Int"}</definedName>
    <definedName name="sasg">#REF!</definedName>
    <definedName name="SBU_SHEET_HELP">#REF!</definedName>
    <definedName name="sch.A">#REF!</definedName>
    <definedName name="sch.b._FERC_ICC">#REF!</definedName>
    <definedName name="Schedule_CC1">#REF!</definedName>
    <definedName name="Schedule_CC2">#REF!</definedName>
    <definedName name="Schedule_CC3">#REF!</definedName>
    <definedName name="SCHUYLKILL">#REF!</definedName>
    <definedName name="sdajsadf">#REF!</definedName>
    <definedName name="sdasda">#REF!</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dfafsdf">#REF!</definedName>
    <definedName name="sdfafsd">#REF!</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asfasfasfsdf">#REF!</definedName>
    <definedName name="sdfasfsf">#REF!</definedName>
    <definedName name="sdfdfafaf">#REF!</definedName>
    <definedName name="sdfdfsf">#REF!</definedName>
    <definedName name="sdfds" hidden="1">{#N/A,#N/A,FALSE,"Monthly SAIFI";#N/A,#N/A,FALSE,"Yearly SAIFI";#N/A,#N/A,FALSE,"Monthly CAIDI";#N/A,#N/A,FALSE,"Yearly CAIDI";#N/A,#N/A,FALSE,"Monthly SAIDI";#N/A,#N/A,FALSE,"Yearly SAIDI";#N/A,#N/A,FALSE,"Monthly MAIFI";#N/A,#N/A,FALSE,"Yearly MAIFI";#N/A,#N/A,FALSE,"Monthly Cust &gt;=4 Int"}</definedName>
    <definedName name="sdffsfaf">#REF!</definedName>
    <definedName name="sdfsadfsf">#REF!</definedName>
    <definedName name="sdfsdfafasf">#REF!</definedName>
    <definedName name="sdfsdfdfdf">#REF!</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#REF!</definedName>
    <definedName name="sdfsdfsdasdfsd">#REF!</definedName>
    <definedName name="sdfsdfsdf">#REF!</definedName>
    <definedName name="sdfsdfsdfsdfsdf">#REF!</definedName>
    <definedName name="sdfsdfsfsa" hidden="1">{#N/A,#N/A,FALSE,"Monthly SAIFI";#N/A,#N/A,FALSE,"Yearly SAIFI";#N/A,#N/A,FALSE,"Monthly CAIDI";#N/A,#N/A,FALSE,"Yearly CAIDI";#N/A,#N/A,FALSE,"Monthly SAIDI";#N/A,#N/A,FALSE,"Yearly SAIDI";#N/A,#N/A,FALSE,"Monthly MAIFI";#N/A,#N/A,FALSE,"Yearly MAIFI";#N/A,#N/A,FALSE,"Monthly Cust &gt;=4 Int"}</definedName>
    <definedName name="sdfsf">#REF!</definedName>
    <definedName name="sdgf" hidden="1">#REF!</definedName>
    <definedName name="sdgrsdfsfsdsd">#REF!</definedName>
    <definedName name="sdsdsa">#REF!</definedName>
    <definedName name="sdsdsddsf">#REF!</definedName>
    <definedName name="sefasdfasdfsdf">#REF!</definedName>
    <definedName name="SendCk">#REF!</definedName>
    <definedName name="SendMC">#REF!</definedName>
    <definedName name="SENS_DATA_RTN">#REF!</definedName>
    <definedName name="SENS_MESSAGE">#REF!</definedName>
    <definedName name="SENS_NET_CREDIT">#REF!</definedName>
    <definedName name="Sep">#REF!</definedName>
    <definedName name="SERP">#REF!</definedName>
    <definedName name="sf">#REF!</definedName>
    <definedName name="SFDD">#REF!</definedName>
    <definedName name="sffsfa" hidden="1">{#N/A,#N/A,FALSE,"Monthly SAIFI";#N/A,#N/A,FALSE,"Yearly SAIFI";#N/A,#N/A,FALSE,"Monthly CAIDI";#N/A,#N/A,FALSE,"Yearly CAIDI";#N/A,#N/A,FALSE,"Monthly SAIDI";#N/A,#N/A,FALSE,"Yearly SAIDI";#N/A,#N/A,FALSE,"Monthly MAIFI";#N/A,#N/A,FALSE,"Yearly MAIFI";#N/A,#N/A,FALSE,"Monthly Cust &gt;=4 Int"}</definedName>
    <definedName name="sfsd">#REF!</definedName>
    <definedName name="sfsdfasf">#REF!</definedName>
    <definedName name="sfsdfsafsf">#REF!</definedName>
    <definedName name="sfsdfsdf">#REF!</definedName>
    <definedName name="sfsdfsfsfsd">#REF!</definedName>
    <definedName name="sfsf">#REF!</definedName>
    <definedName name="sfsfasfsdfsdf">#REF!</definedName>
    <definedName name="SFSFD" hidden="1">{#N/A,#N/A,FALSE,"Monthly SAIFI";#N/A,#N/A,FALSE,"Yearly SAIFI";#N/A,#N/A,FALSE,"Monthly CAIDI";#N/A,#N/A,FALSE,"Yearly CAIDI";#N/A,#N/A,FALSE,"Monthly SAIDI";#N/A,#N/A,FALSE,"Yearly SAIDI";#N/A,#N/A,FALSE,"Monthly MAIFI";#N/A,#N/A,FALSE,"Yearly MAIFI";#N/A,#N/A,FALSE,"Monthly Cust &gt;=4 Int"}</definedName>
    <definedName name="sfsfs">#REF!</definedName>
    <definedName name="sfsfsf">#REF!</definedName>
    <definedName name="sfsssr">#REF!</definedName>
    <definedName name="SFVD">#REF!</definedName>
    <definedName name="sgggggkjjkkj">#REF!</definedName>
    <definedName name="shedulecc1">#REF!</definedName>
    <definedName name="Sheet1" hidden="1">{#N/A,#N/A,FALSE,"Monthly SAIFI";#N/A,#N/A,FALSE,"Yearly SAIFI";#N/A,#N/A,FALSE,"Monthly CAIDI";#N/A,#N/A,FALSE,"Yearly CAIDI";#N/A,#N/A,FALSE,"Monthly SAIDI";#N/A,#N/A,FALSE,"Yearly SAIDI";#N/A,#N/A,FALSE,"Monthly MAIFI";#N/A,#N/A,FALSE,"Yearly MAIFI";#N/A,#N/A,FALSE,"Monthly Cust &gt;=4 Int"}</definedName>
    <definedName name="SIT">#REF!</definedName>
    <definedName name="SLA_Unit_Cost">#REF!</definedName>
    <definedName name="slldk" hidden="1">{#N/A,#N/A,FALSE,"Monthly SAIFI";#N/A,#N/A,FALSE,"Yearly SAIFI";#N/A,#N/A,FALSE,"Monthly CAIDI";#N/A,#N/A,FALSE,"Yearly CAIDI";#N/A,#N/A,FALSE,"Monthly SAIDI";#N/A,#N/A,FALSE,"Yearly SAIDI";#N/A,#N/A,FALSE,"Monthly MAIFI";#N/A,#N/A,FALSE,"Yearly MAIFI";#N/A,#N/A,FALSE,"Monthly Cust &gt;=4 Int"}</definedName>
    <definedName name="SMRPEast">#REF!</definedName>
    <definedName name="SMRPWest">#REF!</definedName>
    <definedName name="snfsdfs">#REF!</definedName>
    <definedName name="snghviw">#REF!</definedName>
    <definedName name="solver_adj" hidden="1">#REF!,#REF!,#REF!,#REF!,#REF!,#REF!,#REF!</definedName>
    <definedName name="solver_lin" hidden="1">0</definedName>
    <definedName name="solver_num" hidden="1">0</definedName>
    <definedName name="solver_tmp" hidden="1">#REF!,#REF!,#REF!,#REF!,#REF!,#REF!,#REF!</definedName>
    <definedName name="solver_typ" hidden="1">1</definedName>
    <definedName name="solver_val" hidden="1">0</definedName>
    <definedName name="SortE" hidden="1">#REF!</definedName>
    <definedName name="SOUTH">#REF!</definedName>
    <definedName name="SPSet">"current"</definedName>
    <definedName name="SPWS_WBID">"5212E8AE-A962-4131-8FBC-A40040E9ED32"</definedName>
    <definedName name="SR">#REF!</definedName>
    <definedName name="SR_To_Allocation_Lookup">#REF!</definedName>
    <definedName name="ss">#REF!</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Date">#REF!</definedName>
    <definedName name="startdate2">#REF!</definedName>
    <definedName name="startdte">#REF!</definedName>
    <definedName name="startdte4">#REF!</definedName>
    <definedName name="std.bal">#REF!</definedName>
    <definedName name="std.cwip.bal">#REF!</definedName>
    <definedName name="STM_ACC">#REF!</definedName>
    <definedName name="STM_PMT">#REF!</definedName>
    <definedName name="SUMMARY">#REF!</definedName>
    <definedName name="summary_caution">#REF!</definedName>
    <definedName name="Sx">#REF!</definedName>
    <definedName name="T">#REF!</definedName>
    <definedName name="TABLE">#REF!</definedName>
    <definedName name="TAX_EXP">#REF!</definedName>
    <definedName name="tblActivity_Key">#REF!</definedName>
    <definedName name="tblActivity_Key_OLD">#REF!</definedName>
    <definedName name="tblCharts">#REF!</definedName>
    <definedName name="tblHelp">#REF!</definedName>
    <definedName name="tblReports">#REF!</definedName>
    <definedName name="tblWorksheets">#REF!</definedName>
    <definedName name="td01e">#REF!</definedName>
    <definedName name="td02e">#REF!</definedName>
    <definedName name="td03e">#REF!</definedName>
    <definedName name="td04e">#REF!</definedName>
    <definedName name="tdg01e">#REF!</definedName>
    <definedName name="tdg02e">#REF!</definedName>
    <definedName name="tdg03e">#REF!</definedName>
    <definedName name="tdg04e">#REF!</definedName>
    <definedName name="TempInvDec">#REF!</definedName>
    <definedName name="tempinvdece">#REF!</definedName>
    <definedName name="TempInvSept">#REF!</definedName>
    <definedName name="temptinsepte">#REF!</definedName>
    <definedName name="TepmInv4thQtr">#REF!</definedName>
    <definedName name="tepminv4thqtre">#REF!</definedName>
    <definedName name="TEST">#REF!</definedName>
    <definedName name="three">#REF!,#REF!,#REF!</definedName>
    <definedName name="titlewomoney">#REF!</definedName>
    <definedName name="titlewomoneye">#REF!</definedName>
    <definedName name="TOT_CO_ACC">#REF!</definedName>
    <definedName name="TOT_CO_PMTS">#REF!</definedName>
    <definedName name="TOT_CO_PR_AC">#REF!</definedName>
    <definedName name="TOT_CO_PR_PMT">#REF!</definedName>
    <definedName name="Total">#REF!</definedName>
    <definedName name="TOTAL_AMT">#REF!</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S">#REF!</definedName>
    <definedName name="totalse">#REF!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rans04">#REF!</definedName>
    <definedName name="Tree">#REF!</definedName>
    <definedName name="two">#REF!,#REF!,#REF!</definedName>
    <definedName name="TY">#REF!</definedName>
    <definedName name="TypeCost">#REF!</definedName>
    <definedName name="tyty" hidden="1">{#N/A,#N/A,FALSE,"Monthly SAIFI";#N/A,#N/A,FALSE,"Yearly SAIFI";#N/A,#N/A,FALSE,"Monthly CAIDI";#N/A,#N/A,FALSE,"Yearly CAIDI";#N/A,#N/A,FALSE,"Monthly SAIDI";#N/A,#N/A,FALSE,"Yearly SAIDI";#N/A,#N/A,FALSE,"Monthly MAIFI";#N/A,#N/A,FALSE,"Yearly MAIFI";#N/A,#N/A,FALSE,"Monthly Cust &gt;=4 Int"}</definedName>
    <definedName name="U">#REF!</definedName>
    <definedName name="UNANT">#REF!</definedName>
    <definedName name="UNBILLED">#REF!</definedName>
    <definedName name="unit">#REF!</definedName>
    <definedName name="unite">#REF!</definedName>
    <definedName name="units">#REF!</definedName>
    <definedName name="unitse">#REF!</definedName>
    <definedName name="UnknownProj">#REF!</definedName>
    <definedName name="UNT">#REF!</definedName>
    <definedName name="UTILRANGE">#REF!</definedName>
    <definedName name="ValuationYear">#REF!</definedName>
    <definedName name="vcbcvbcv" hidden="1">{#N/A,#N/A,FALSE,"Monthly SAIFI";#N/A,#N/A,FALSE,"Yearly SAIFI";#N/A,#N/A,FALSE,"Monthly CAIDI";#N/A,#N/A,FALSE,"Yearly CAIDI";#N/A,#N/A,FALSE,"Monthly SAIDI";#N/A,#N/A,FALSE,"Yearly SAIDI";#N/A,#N/A,FALSE,"Monthly MAIFI";#N/A,#N/A,FALSE,"Yearly MAIFI";#N/A,#N/A,FALSE,"Monthly Cust &gt;=4 Int"}</definedName>
    <definedName name="VndName">#REF!</definedName>
    <definedName name="vvv">#REF!</definedName>
    <definedName name="vxcvxc">#REF!</definedName>
    <definedName name="vxcvxcvx">#REF!</definedName>
    <definedName name="vxvxvxcvxc">#REF!</definedName>
    <definedName name="vxzvxcvxzcvxcv">#REF!</definedName>
    <definedName name="wearwerawer">#REF!</definedName>
    <definedName name="wer" hidden="1">{#N/A,#N/A,FALSE,"Monthly SAIFI";#N/A,#N/A,FALSE,"Yearly SAIFI";#N/A,#N/A,FALSE,"Monthly CAIDI";#N/A,#N/A,FALSE,"Yearly CAIDI";#N/A,#N/A,FALSE,"Monthly SAIDI";#N/A,#N/A,FALSE,"Yearly SAIDI";#N/A,#N/A,FALSE,"Monthly MAIFI";#N/A,#N/A,FALSE,"Yearly MAIFI";#N/A,#N/A,FALSE,"Monthly Cust &gt;=4 Int"}</definedName>
    <definedName name="werw3">#REF!</definedName>
    <definedName name="werwerwe">#REF!</definedName>
    <definedName name="WESTERN">#REF!</definedName>
    <definedName name="Workforce">#REF!</definedName>
    <definedName name="WPCUT">#REF!</definedName>
    <definedName name="wrn.Aging._.and._.Trend._.Analysis." hidden="1">{#N/A,#N/A,FALSE,"Aging Summary";#N/A,#N/A,FALSE,"Ratio Analysis";#N/A,#N/A,FALSE,"Test 120 Day Accts";#N/A,#N/A,FALSE,"Tickmarks"}</definedName>
    <definedName name="wrn.page1." hidden="1">{"page1",#N/A,FALSE,"260"}</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_D._.Tax._.Services." hidden="1">{#N/A,#N/A,FALSE,"R&amp;D Quick Calc";#N/A,#N/A,FALSE,"DOE Fee Schedule"}</definedName>
    <definedName name="ww">#REF!</definedName>
    <definedName name="wwww">#REF!</definedName>
    <definedName name="xcvxvx">#REF!</definedName>
    <definedName name="xvsdgsgfsf">#REF!</definedName>
    <definedName name="xvxvxzvxc">#REF!</definedName>
    <definedName name="xx">#REF!</definedName>
    <definedName name="xxx">#REF!</definedName>
    <definedName name="xxxx">#REF!</definedName>
    <definedName name="xzczczczxc">#REF!</definedName>
    <definedName name="y" hidden="1">{#N/A,#N/A,FALSE,"Monthly SAIFI";#N/A,#N/A,FALSE,"Yearly SAIFI";#N/A,#N/A,FALSE,"Monthly CAIDI";#N/A,#N/A,FALSE,"Yearly CAIDI";#N/A,#N/A,FALSE,"Monthly SAIDI";#N/A,#N/A,FALSE,"Yearly SAIDI";#N/A,#N/A,FALSE,"Monthly MAIFI";#N/A,#N/A,FALSE,"Yearly MAIFI";#N/A,#N/A,FALSE,"Monthly Cust &gt;=4 Int"}</definedName>
    <definedName name="YEAct">#REF!</definedName>
    <definedName name="Year">#REF!</definedName>
    <definedName name="YEBudVar">#REF!</definedName>
    <definedName name="YEQtrVar">#REF!</definedName>
    <definedName name="YesNo">#REF!</definedName>
    <definedName name="YORK_COUNTY">#REF!</definedName>
    <definedName name="yrtm1">#REF!</definedName>
    <definedName name="yrtm2">#REF!</definedName>
    <definedName name="yrtm3">#REF!</definedName>
    <definedName name="yrtm4">#REF!</definedName>
    <definedName name="yryryrr" hidden="1">{#N/A,#N/A,FALSE,"Monthly SAIFI";#N/A,#N/A,FALSE,"Yearly SAIFI";#N/A,#N/A,FALSE,"Monthly CAIDI";#N/A,#N/A,FALSE,"Yearly CAIDI";#N/A,#N/A,FALSE,"Monthly SAIDI";#N/A,#N/A,FALSE,"Yearly SAIDI";#N/A,#N/A,FALSE,"Monthly MAIFI";#N/A,#N/A,FALSE,"Yearly MAIFI";#N/A,#N/A,FALSE,"Monthly Cust &gt;=4 Int"}</definedName>
    <definedName name="YTDAct">#REF!</definedName>
    <definedName name="YTDBudVar">#REF!</definedName>
    <definedName name="YTDCFLE">#REF!</definedName>
    <definedName name="YTDQtrVar">#REF!</definedName>
    <definedName name="z" hidden="1">{#N/A,#N/A,FALSE,"Monthly SAIFI";#N/A,#N/A,FALSE,"Yearly SAIFI";#N/A,#N/A,FALSE,"Monthly CAIDI";#N/A,#N/A,FALSE,"Yearly CAIDI";#N/A,#N/A,FALSE,"Monthly SAIDI";#N/A,#N/A,FALSE,"Yearly SAIDI";#N/A,#N/A,FALSE,"Monthly MAIFI";#N/A,#N/A,FALSE,"Yearly MAIFI";#N/A,#N/A,FALSE,"Monthly Cust &gt;=4 Int"}</definedName>
    <definedName name="Zxczxczczc">#REF!</definedName>
    <definedName name="zxdc">#REF!</definedName>
    <definedName name="zz">#REF!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H27" i="28" l="1"/>
  <c r="CG27" i="28"/>
  <c r="CF27" i="28"/>
  <c r="CE27" i="28"/>
  <c r="CD27" i="28"/>
  <c r="CC27" i="28"/>
  <c r="CB27" i="28"/>
  <c r="CA27" i="28"/>
  <c r="BZ27" i="28"/>
  <c r="BY27" i="28"/>
  <c r="BX27" i="28"/>
  <c r="BW27" i="28"/>
  <c r="BV27" i="28"/>
  <c r="BU27" i="28"/>
  <c r="BT27" i="28"/>
  <c r="CH26" i="28"/>
  <c r="CG26" i="28"/>
  <c r="CF26" i="28"/>
  <c r="CE26" i="28"/>
  <c r="CD26" i="28"/>
  <c r="CC26" i="28"/>
  <c r="CB26" i="28"/>
  <c r="CA26" i="28"/>
  <c r="BZ26" i="28"/>
  <c r="BY26" i="28"/>
  <c r="BX26" i="28"/>
  <c r="BW26" i="28"/>
  <c r="BV26" i="28"/>
  <c r="BU26" i="28"/>
  <c r="BT26" i="28"/>
  <c r="CH25" i="28"/>
  <c r="CG25" i="28"/>
  <c r="CF25" i="28"/>
  <c r="CE25" i="28"/>
  <c r="CD25" i="28"/>
  <c r="CC25" i="28"/>
  <c r="CB25" i="28"/>
  <c r="CA25" i="28"/>
  <c r="BZ25" i="28"/>
  <c r="BY25" i="28"/>
  <c r="BX25" i="28"/>
  <c r="BW25" i="28"/>
  <c r="BV25" i="28"/>
  <c r="BU25" i="28"/>
  <c r="BT25" i="28"/>
  <c r="CH24" i="28"/>
  <c r="CG24" i="28"/>
  <c r="CF24" i="28"/>
  <c r="CE24" i="28"/>
  <c r="CD24" i="28"/>
  <c r="CC24" i="28"/>
  <c r="CB24" i="28"/>
  <c r="CA24" i="28"/>
  <c r="BZ24" i="28"/>
  <c r="BY24" i="28"/>
  <c r="BX24" i="28"/>
  <c r="BW24" i="28"/>
  <c r="BV24" i="28"/>
  <c r="BU24" i="28"/>
  <c r="BT24" i="28"/>
  <c r="CH23" i="28"/>
  <c r="CG23" i="28"/>
  <c r="CF23" i="28"/>
  <c r="CE23" i="28"/>
  <c r="CD23" i="28"/>
  <c r="CC23" i="28"/>
  <c r="CB23" i="28"/>
  <c r="CA23" i="28"/>
  <c r="BZ23" i="28"/>
  <c r="BY23" i="28"/>
  <c r="BX23" i="28"/>
  <c r="BW23" i="28"/>
  <c r="BV23" i="28"/>
  <c r="BU23" i="28"/>
  <c r="BT23" i="28"/>
  <c r="P27" i="35"/>
  <c r="O27" i="35"/>
  <c r="N27" i="35"/>
  <c r="M27" i="35"/>
  <c r="L27" i="35"/>
  <c r="K27" i="35"/>
  <c r="J27" i="35"/>
  <c r="I27" i="35"/>
  <c r="H27" i="35"/>
  <c r="G27" i="35"/>
  <c r="F27" i="35"/>
  <c r="E27" i="35"/>
  <c r="D27" i="35"/>
  <c r="C27" i="35"/>
  <c r="B27" i="35"/>
  <c r="P26" i="35"/>
  <c r="O26" i="35"/>
  <c r="N26" i="35"/>
  <c r="M26" i="35"/>
  <c r="L26" i="35"/>
  <c r="K26" i="35"/>
  <c r="J26" i="35"/>
  <c r="I26" i="35"/>
  <c r="H26" i="35"/>
  <c r="G26" i="35"/>
  <c r="F26" i="35"/>
  <c r="E26" i="35"/>
  <c r="D26" i="35"/>
  <c r="C26" i="35"/>
  <c r="B26" i="35"/>
  <c r="P25" i="35"/>
  <c r="O25" i="35"/>
  <c r="N25" i="35"/>
  <c r="M25" i="35"/>
  <c r="L25" i="35"/>
  <c r="K25" i="35"/>
  <c r="J25" i="35"/>
  <c r="I25" i="35"/>
  <c r="H25" i="35"/>
  <c r="G25" i="35"/>
  <c r="F25" i="35"/>
  <c r="E25" i="35"/>
  <c r="D25" i="35"/>
  <c r="C25" i="35"/>
  <c r="B25" i="35"/>
  <c r="P24" i="35"/>
  <c r="O24" i="35"/>
  <c r="N24" i="35"/>
  <c r="M24" i="35"/>
  <c r="L24" i="35"/>
  <c r="K24" i="35"/>
  <c r="J24" i="35"/>
  <c r="I24" i="35"/>
  <c r="H24" i="35"/>
  <c r="G24" i="35"/>
  <c r="F24" i="35"/>
  <c r="E24" i="35"/>
  <c r="D24" i="35"/>
  <c r="C24" i="35"/>
  <c r="B24" i="35"/>
  <c r="P23" i="35"/>
  <c r="O23" i="35"/>
  <c r="N23" i="35"/>
  <c r="M23" i="35"/>
  <c r="L23" i="35"/>
  <c r="K23" i="35"/>
  <c r="J23" i="35"/>
  <c r="I23" i="35"/>
  <c r="H23" i="35"/>
  <c r="G23" i="35"/>
  <c r="F23" i="35"/>
  <c r="E23" i="35"/>
  <c r="D23" i="35"/>
  <c r="C23" i="35"/>
  <c r="B23" i="35"/>
  <c r="C87" i="34"/>
  <c r="B6" i="35" l="1"/>
  <c r="B7" i="35"/>
  <c r="B8" i="35"/>
  <c r="B9" i="35"/>
  <c r="B10" i="35"/>
  <c r="B5" i="35"/>
  <c r="BZ61" i="28"/>
  <c r="B28" i="35"/>
  <c r="K61" i="35"/>
  <c r="L28" i="35"/>
  <c r="M61" i="35"/>
  <c r="N61" i="35"/>
  <c r="E28" i="35"/>
  <c r="I62" i="35"/>
  <c r="J62" i="35"/>
  <c r="K62" i="35"/>
  <c r="L62" i="35"/>
  <c r="D28" i="35"/>
  <c r="G63" i="35"/>
  <c r="H63" i="35"/>
  <c r="I63" i="35"/>
  <c r="J63" i="35"/>
  <c r="O28" i="35"/>
  <c r="P28" i="35"/>
  <c r="C64" i="35"/>
  <c r="D64" i="35"/>
  <c r="E64" i="35"/>
  <c r="F64" i="35"/>
  <c r="G64" i="35"/>
  <c r="H64" i="35"/>
  <c r="O64" i="35"/>
  <c r="P64" i="35"/>
  <c r="C65" i="35"/>
  <c r="D65" i="35"/>
  <c r="E65" i="35"/>
  <c r="M65" i="35"/>
  <c r="N65" i="35"/>
  <c r="O65" i="35"/>
  <c r="P65" i="35"/>
  <c r="P73" i="35"/>
  <c r="O73" i="35"/>
  <c r="N73" i="35"/>
  <c r="M73" i="35"/>
  <c r="L73" i="35"/>
  <c r="K73" i="35"/>
  <c r="J73" i="35"/>
  <c r="I73" i="35"/>
  <c r="H73" i="35"/>
  <c r="G73" i="35"/>
  <c r="F73" i="35"/>
  <c r="E73" i="35"/>
  <c r="P72" i="35"/>
  <c r="O72" i="35"/>
  <c r="N72" i="35"/>
  <c r="M72" i="35"/>
  <c r="L72" i="35"/>
  <c r="K72" i="35"/>
  <c r="J72" i="35"/>
  <c r="I72" i="35"/>
  <c r="H72" i="35"/>
  <c r="G72" i="35"/>
  <c r="F72" i="35"/>
  <c r="E72" i="35"/>
  <c r="P71" i="35"/>
  <c r="O71" i="35"/>
  <c r="N71" i="35"/>
  <c r="M71" i="35"/>
  <c r="L71" i="35"/>
  <c r="K71" i="35"/>
  <c r="J71" i="35"/>
  <c r="I71" i="35"/>
  <c r="H71" i="35"/>
  <c r="G71" i="35"/>
  <c r="F71" i="35"/>
  <c r="E71" i="35"/>
  <c r="P70" i="35"/>
  <c r="O70" i="35"/>
  <c r="N70" i="35"/>
  <c r="M70" i="35"/>
  <c r="L70" i="35"/>
  <c r="K70" i="35"/>
  <c r="J70" i="35"/>
  <c r="I70" i="35"/>
  <c r="H70" i="35"/>
  <c r="G70" i="35"/>
  <c r="F70" i="35"/>
  <c r="E70" i="35"/>
  <c r="P69" i="35"/>
  <c r="O69" i="35"/>
  <c r="N69" i="35"/>
  <c r="M69" i="35"/>
  <c r="L69" i="35"/>
  <c r="K69" i="35"/>
  <c r="J69" i="35"/>
  <c r="I69" i="35"/>
  <c r="H69" i="35"/>
  <c r="G69" i="35"/>
  <c r="F69" i="35"/>
  <c r="E69" i="35"/>
  <c r="L65" i="35"/>
  <c r="K65" i="35"/>
  <c r="J65" i="35"/>
  <c r="I65" i="35"/>
  <c r="H65" i="35"/>
  <c r="G65" i="35"/>
  <c r="F65" i="35"/>
  <c r="B65" i="35"/>
  <c r="N64" i="35"/>
  <c r="M64" i="35"/>
  <c r="L64" i="35"/>
  <c r="K64" i="35"/>
  <c r="J64" i="35"/>
  <c r="I64" i="35"/>
  <c r="B64" i="35"/>
  <c r="P63" i="35"/>
  <c r="O63" i="35"/>
  <c r="N63" i="35"/>
  <c r="M63" i="35"/>
  <c r="L63" i="35"/>
  <c r="K63" i="35"/>
  <c r="E63" i="35"/>
  <c r="D63" i="35"/>
  <c r="C63" i="35"/>
  <c r="B63" i="35"/>
  <c r="P62" i="35"/>
  <c r="O62" i="35"/>
  <c r="N62" i="35"/>
  <c r="M62" i="35"/>
  <c r="G62" i="35"/>
  <c r="F62" i="35"/>
  <c r="E62" i="35"/>
  <c r="D62" i="35"/>
  <c r="C62" i="35"/>
  <c r="B62" i="35"/>
  <c r="P61" i="35"/>
  <c r="O61" i="35"/>
  <c r="J61" i="35"/>
  <c r="I61" i="35"/>
  <c r="H61" i="35"/>
  <c r="G61" i="35"/>
  <c r="F61" i="35"/>
  <c r="E61" i="35"/>
  <c r="D61" i="35"/>
  <c r="C61" i="35"/>
  <c r="P56" i="35"/>
  <c r="O56" i="35"/>
  <c r="N56" i="35"/>
  <c r="M56" i="35"/>
  <c r="L56" i="35"/>
  <c r="K56" i="35"/>
  <c r="J56" i="35"/>
  <c r="I56" i="35"/>
  <c r="H56" i="35"/>
  <c r="G56" i="35"/>
  <c r="F56" i="35"/>
  <c r="E56" i="35"/>
  <c r="G28" i="35"/>
  <c r="F28" i="35"/>
  <c r="C88" i="34"/>
  <c r="C89" i="34" s="1"/>
  <c r="E87" i="34"/>
  <c r="E88" i="34" s="1"/>
  <c r="D87" i="34"/>
  <c r="D88" i="34" s="1"/>
  <c r="E78" i="34"/>
  <c r="D78" i="34"/>
  <c r="C78" i="34"/>
  <c r="G20" i="35" l="1"/>
  <c r="E33" i="35"/>
  <c r="C79" i="34"/>
  <c r="C80" i="34" s="1"/>
  <c r="C90" i="34"/>
  <c r="C93" i="34"/>
  <c r="F20" i="35"/>
  <c r="C8" i="35"/>
  <c r="I20" i="35"/>
  <c r="K20" i="35"/>
  <c r="H20" i="35"/>
  <c r="J20" i="35"/>
  <c r="B20" i="35"/>
  <c r="C7" i="35"/>
  <c r="E20" i="35"/>
  <c r="F33" i="35"/>
  <c r="D32" i="35"/>
  <c r="B35" i="35"/>
  <c r="O33" i="35"/>
  <c r="G35" i="35"/>
  <c r="G31" i="35"/>
  <c r="F32" i="35"/>
  <c r="B61" i="35"/>
  <c r="O74" i="35"/>
  <c r="P74" i="35"/>
  <c r="N66" i="35"/>
  <c r="L34" i="35"/>
  <c r="L35" i="35"/>
  <c r="L33" i="35"/>
  <c r="E31" i="35"/>
  <c r="E32" i="35"/>
  <c r="J28" i="35"/>
  <c r="J32" i="35" s="1"/>
  <c r="K28" i="35"/>
  <c r="K31" i="35" s="1"/>
  <c r="H62" i="35"/>
  <c r="H66" i="35" s="1"/>
  <c r="L61" i="35"/>
  <c r="L66" i="35" s="1"/>
  <c r="M28" i="35"/>
  <c r="M33" i="35" s="1"/>
  <c r="N28" i="35"/>
  <c r="N33" i="35" s="1"/>
  <c r="D34" i="35"/>
  <c r="F35" i="35"/>
  <c r="L32" i="35"/>
  <c r="F31" i="35"/>
  <c r="H28" i="35"/>
  <c r="H32" i="35" s="1"/>
  <c r="I28" i="35"/>
  <c r="I35" i="35" s="1"/>
  <c r="C66" i="35"/>
  <c r="M66" i="35"/>
  <c r="G32" i="35"/>
  <c r="O32" i="35"/>
  <c r="F63" i="35"/>
  <c r="F66" i="35" s="1"/>
  <c r="D31" i="35"/>
  <c r="C28" i="35"/>
  <c r="C34" i="35" s="1"/>
  <c r="O66" i="35"/>
  <c r="O31" i="35"/>
  <c r="E35" i="35"/>
  <c r="P66" i="35"/>
  <c r="D35" i="35"/>
  <c r="F34" i="35"/>
  <c r="L31" i="35"/>
  <c r="E66" i="35"/>
  <c r="N74" i="35"/>
  <c r="E74" i="35"/>
  <c r="O35" i="35"/>
  <c r="E34" i="35"/>
  <c r="G33" i="35"/>
  <c r="B34" i="35"/>
  <c r="B33" i="35"/>
  <c r="B31" i="35"/>
  <c r="B32" i="35"/>
  <c r="D33" i="35"/>
  <c r="N20" i="35"/>
  <c r="O20" i="35"/>
  <c r="D20" i="35"/>
  <c r="L20" i="35"/>
  <c r="M20" i="35"/>
  <c r="O34" i="35"/>
  <c r="C20" i="35"/>
  <c r="G34" i="35"/>
  <c r="K74" i="35"/>
  <c r="D66" i="35"/>
  <c r="L74" i="35"/>
  <c r="M74" i="35"/>
  <c r="J74" i="35"/>
  <c r="C10" i="35"/>
  <c r="D10" i="35" s="1"/>
  <c r="E10" i="35" s="1"/>
  <c r="F10" i="35" s="1"/>
  <c r="G10" i="35" s="1"/>
  <c r="H10" i="35" s="1"/>
  <c r="I10" i="35" s="1"/>
  <c r="J10" i="35" s="1"/>
  <c r="K10" i="35" s="1"/>
  <c r="L10" i="35" s="1"/>
  <c r="M10" i="35" s="1"/>
  <c r="N10" i="35" s="1"/>
  <c r="O10" i="35" s="1"/>
  <c r="P10" i="35" s="1"/>
  <c r="P20" i="35"/>
  <c r="P31" i="35"/>
  <c r="P32" i="35"/>
  <c r="P33" i="35"/>
  <c r="P34" i="35"/>
  <c r="F74" i="35"/>
  <c r="P35" i="35"/>
  <c r="G66" i="35"/>
  <c r="I66" i="35"/>
  <c r="H74" i="35"/>
  <c r="J66" i="35"/>
  <c r="K66" i="35"/>
  <c r="I74" i="35"/>
  <c r="G74" i="35"/>
  <c r="N32" i="35" l="1"/>
  <c r="C27" i="34"/>
  <c r="C57" i="34"/>
  <c r="C47" i="34"/>
  <c r="C81" i="34"/>
  <c r="C82" i="34" s="1"/>
  <c r="N35" i="35"/>
  <c r="D79" i="34"/>
  <c r="D81" i="34" s="1"/>
  <c r="D82" i="34" s="1"/>
  <c r="D7" i="35"/>
  <c r="C9" i="35"/>
  <c r="C67" i="34"/>
  <c r="C6" i="35"/>
  <c r="C37" i="34"/>
  <c r="D8" i="35"/>
  <c r="D57" i="34"/>
  <c r="B66" i="35"/>
  <c r="N31" i="35"/>
  <c r="N34" i="35"/>
  <c r="I32" i="35"/>
  <c r="M31" i="35"/>
  <c r="I33" i="35"/>
  <c r="J31" i="35"/>
  <c r="F36" i="35"/>
  <c r="G36" i="35"/>
  <c r="D36" i="35"/>
  <c r="D42" i="35"/>
  <c r="L36" i="35"/>
  <c r="E36" i="35"/>
  <c r="O36" i="35"/>
  <c r="H33" i="35"/>
  <c r="H34" i="35"/>
  <c r="K33" i="35"/>
  <c r="K35" i="35"/>
  <c r="J35" i="35"/>
  <c r="J34" i="35"/>
  <c r="J33" i="35"/>
  <c r="K34" i="35"/>
  <c r="C35" i="35"/>
  <c r="C33" i="35"/>
  <c r="K32" i="35"/>
  <c r="C31" i="35"/>
  <c r="I34" i="35"/>
  <c r="I31" i="35"/>
  <c r="M34" i="35"/>
  <c r="M35" i="35"/>
  <c r="M32" i="35"/>
  <c r="C32" i="35"/>
  <c r="P36" i="35"/>
  <c r="H35" i="35"/>
  <c r="H31" i="35"/>
  <c r="B36" i="35"/>
  <c r="C5" i="35"/>
  <c r="B11" i="35"/>
  <c r="P39" i="35" l="1"/>
  <c r="D41" i="35"/>
  <c r="D43" i="35"/>
  <c r="D40" i="35"/>
  <c r="D39" i="35"/>
  <c r="D80" i="34"/>
  <c r="E80" i="34" s="1"/>
  <c r="E79" i="34"/>
  <c r="E81" i="34" s="1"/>
  <c r="E82" i="34" s="1"/>
  <c r="E8" i="35"/>
  <c r="F8" i="35" s="1"/>
  <c r="G8" i="35" s="1"/>
  <c r="H8" i="35" s="1"/>
  <c r="I8" i="35" s="1"/>
  <c r="J8" i="35" s="1"/>
  <c r="K8" i="35" s="1"/>
  <c r="L8" i="35" s="1"/>
  <c r="M8" i="35" s="1"/>
  <c r="N8" i="35" s="1"/>
  <c r="O8" i="35" s="1"/>
  <c r="P8" i="35" s="1"/>
  <c r="E57" i="34"/>
  <c r="D27" i="34"/>
  <c r="D6" i="35"/>
  <c r="D37" i="34"/>
  <c r="P43" i="35"/>
  <c r="D9" i="35"/>
  <c r="D67" i="34"/>
  <c r="D47" i="34"/>
  <c r="E7" i="35"/>
  <c r="F7" i="35" s="1"/>
  <c r="G7" i="35" s="1"/>
  <c r="H7" i="35" s="1"/>
  <c r="I7" i="35" s="1"/>
  <c r="J7" i="35" s="1"/>
  <c r="K7" i="35" s="1"/>
  <c r="L7" i="35" s="1"/>
  <c r="M7" i="35" s="1"/>
  <c r="N7" i="35" s="1"/>
  <c r="O7" i="35" s="1"/>
  <c r="P7" i="35" s="1"/>
  <c r="E47" i="34"/>
  <c r="C91" i="34"/>
  <c r="N36" i="35"/>
  <c r="P40" i="35"/>
  <c r="J36" i="35"/>
  <c r="I36" i="35"/>
  <c r="P42" i="35"/>
  <c r="K36" i="35"/>
  <c r="H36" i="35"/>
  <c r="M36" i="35"/>
  <c r="P41" i="35"/>
  <c r="C36" i="35"/>
  <c r="D44" i="35" s="1"/>
  <c r="C11" i="35"/>
  <c r="D5" i="35"/>
  <c r="E27" i="34" s="1"/>
  <c r="D89" i="34" l="1"/>
  <c r="D90" i="34" s="1"/>
  <c r="C92" i="34"/>
  <c r="E9" i="35"/>
  <c r="F9" i="35" s="1"/>
  <c r="G9" i="35" s="1"/>
  <c r="H9" i="35" s="1"/>
  <c r="I9" i="35" s="1"/>
  <c r="J9" i="35" s="1"/>
  <c r="K9" i="35" s="1"/>
  <c r="L9" i="35" s="1"/>
  <c r="M9" i="35" s="1"/>
  <c r="N9" i="35" s="1"/>
  <c r="O9" i="35" s="1"/>
  <c r="P9" i="35" s="1"/>
  <c r="E67" i="34"/>
  <c r="E6" i="35"/>
  <c r="F6" i="35" s="1"/>
  <c r="G6" i="35" s="1"/>
  <c r="H6" i="35" s="1"/>
  <c r="I6" i="35" s="1"/>
  <c r="J6" i="35" s="1"/>
  <c r="K6" i="35" s="1"/>
  <c r="L6" i="35" s="1"/>
  <c r="M6" i="35" s="1"/>
  <c r="N6" i="35" s="1"/>
  <c r="O6" i="35" s="1"/>
  <c r="P6" i="35" s="1"/>
  <c r="E37" i="34"/>
  <c r="P44" i="35"/>
  <c r="D11" i="35"/>
  <c r="E5" i="35"/>
  <c r="D93" i="34" l="1"/>
  <c r="D91" i="34"/>
  <c r="D92" i="34" s="1"/>
  <c r="E89" i="34" s="1"/>
  <c r="E91" i="34"/>
  <c r="E92" i="34" s="1"/>
  <c r="E93" i="34"/>
  <c r="E90" i="34"/>
  <c r="E11" i="35"/>
  <c r="F5" i="35"/>
  <c r="G5" i="35" l="1"/>
  <c r="F11" i="35"/>
  <c r="G11" i="35" l="1"/>
  <c r="H5" i="35"/>
  <c r="H11" i="35" l="1"/>
  <c r="I5" i="35"/>
  <c r="J5" i="35" l="1"/>
  <c r="I11" i="35"/>
  <c r="J11" i="35" l="1"/>
  <c r="K5" i="35"/>
  <c r="K11" i="35" l="1"/>
  <c r="L5" i="35"/>
  <c r="L11" i="35" l="1"/>
  <c r="M5" i="35"/>
  <c r="M11" i="35" l="1"/>
  <c r="N5" i="35"/>
  <c r="O5" i="35" l="1"/>
  <c r="N11" i="35"/>
  <c r="P5" i="35" l="1"/>
  <c r="P11" i="35" s="1"/>
  <c r="O11" i="35"/>
  <c r="CT44" i="11" l="1"/>
  <c r="CT43" i="11"/>
  <c r="CT42" i="11"/>
  <c r="CT41" i="11"/>
  <c r="CT40" i="11"/>
  <c r="CT39" i="11"/>
  <c r="BT5" i="28"/>
  <c r="BU5" i="28" s="1"/>
  <c r="CH73" i="28"/>
  <c r="CG73" i="28"/>
  <c r="CF73" i="28"/>
  <c r="CE73" i="28"/>
  <c r="CD73" i="28"/>
  <c r="CC73" i="28"/>
  <c r="CB73" i="28"/>
  <c r="CA73" i="28"/>
  <c r="BZ73" i="28"/>
  <c r="BY73" i="28"/>
  <c r="BX73" i="28"/>
  <c r="BW73" i="28"/>
  <c r="CH72" i="28"/>
  <c r="CG72" i="28"/>
  <c r="CF72" i="28"/>
  <c r="CE72" i="28"/>
  <c r="CD72" i="28"/>
  <c r="CC72" i="28"/>
  <c r="CB72" i="28"/>
  <c r="CA72" i="28"/>
  <c r="BZ72" i="28"/>
  <c r="BY72" i="28"/>
  <c r="BX72" i="28"/>
  <c r="BW72" i="28"/>
  <c r="CH71" i="28"/>
  <c r="CG71" i="28"/>
  <c r="CF71" i="28"/>
  <c r="CE71" i="28"/>
  <c r="CD71" i="28"/>
  <c r="CC71" i="28"/>
  <c r="CB71" i="28"/>
  <c r="CA71" i="28"/>
  <c r="BZ71" i="28"/>
  <c r="BY71" i="28"/>
  <c r="BX71" i="28"/>
  <c r="BW71" i="28"/>
  <c r="CH70" i="28"/>
  <c r="CG70" i="28"/>
  <c r="CF70" i="28"/>
  <c r="CE70" i="28"/>
  <c r="CD70" i="28"/>
  <c r="CC70" i="28"/>
  <c r="CB70" i="28"/>
  <c r="CA70" i="28"/>
  <c r="BZ70" i="28"/>
  <c r="BY70" i="28"/>
  <c r="BX70" i="28"/>
  <c r="BW70" i="28"/>
  <c r="CH69" i="28"/>
  <c r="CG69" i="28"/>
  <c r="CF69" i="28"/>
  <c r="CE69" i="28"/>
  <c r="CD69" i="28"/>
  <c r="CC69" i="28"/>
  <c r="CB69" i="28"/>
  <c r="CA69" i="28"/>
  <c r="CA74" i="28" s="1"/>
  <c r="BZ69" i="28"/>
  <c r="BY69" i="28"/>
  <c r="BY74" i="28" s="1"/>
  <c r="BX69" i="28"/>
  <c r="BW69" i="28"/>
  <c r="CH65" i="28"/>
  <c r="CF65" i="28"/>
  <c r="CD65" i="28"/>
  <c r="CB65" i="28"/>
  <c r="BW65" i="28"/>
  <c r="BV65" i="28"/>
  <c r="BT65" i="28"/>
  <c r="CG64" i="28"/>
  <c r="CE64" i="28"/>
  <c r="BZ64" i="28"/>
  <c r="BY64" i="28"/>
  <c r="BW64" i="28"/>
  <c r="BU64" i="28"/>
  <c r="CH63" i="28"/>
  <c r="CC63" i="28"/>
  <c r="CB63" i="28"/>
  <c r="BZ63" i="28"/>
  <c r="BX63" i="28"/>
  <c r="BV63" i="28"/>
  <c r="BU63" i="28"/>
  <c r="CF62" i="28"/>
  <c r="CE62" i="28"/>
  <c r="CC62" i="28"/>
  <c r="BY62" i="28"/>
  <c r="BT62" i="28"/>
  <c r="CH61" i="28"/>
  <c r="CF61" i="28"/>
  <c r="CD61" i="28"/>
  <c r="CB61" i="28"/>
  <c r="BW61" i="28"/>
  <c r="BV61" i="28"/>
  <c r="BT61" i="28"/>
  <c r="CH56" i="28"/>
  <c r="CG56" i="28"/>
  <c r="CF56" i="28"/>
  <c r="CE56" i="28"/>
  <c r="CD56" i="28"/>
  <c r="CC56" i="28"/>
  <c r="CB56" i="28"/>
  <c r="CA56" i="28"/>
  <c r="BZ56" i="28"/>
  <c r="BY56" i="28"/>
  <c r="BX56" i="28"/>
  <c r="BW56" i="28"/>
  <c r="CB28" i="28"/>
  <c r="CB32" i="28" s="1"/>
  <c r="BZ28" i="28"/>
  <c r="BZ32" i="28" s="1"/>
  <c r="BV28" i="28"/>
  <c r="BV34" i="28" s="1"/>
  <c r="CG65" i="28"/>
  <c r="CE65" i="28"/>
  <c r="CC65" i="28"/>
  <c r="CA65" i="28"/>
  <c r="BZ65" i="28"/>
  <c r="BY65" i="28"/>
  <c r="BX65" i="28"/>
  <c r="BU65" i="28"/>
  <c r="CH64" i="28"/>
  <c r="CF64" i="28"/>
  <c r="CD64" i="28"/>
  <c r="CC64" i="28"/>
  <c r="CA64" i="28"/>
  <c r="BX64" i="28"/>
  <c r="BV64" i="28"/>
  <c r="BT64" i="28"/>
  <c r="CG63" i="28"/>
  <c r="CF63" i="28"/>
  <c r="CE63" i="28"/>
  <c r="CD63" i="28"/>
  <c r="CA63" i="28"/>
  <c r="BY63" i="28"/>
  <c r="BW63" i="28"/>
  <c r="BT63" i="28"/>
  <c r="CD62" i="28"/>
  <c r="CB62" i="28"/>
  <c r="CA62" i="28"/>
  <c r="BZ62" i="28"/>
  <c r="BX62" i="28"/>
  <c r="BW28" i="28"/>
  <c r="BU62" i="28"/>
  <c r="CC61" i="28"/>
  <c r="CA61" i="28"/>
  <c r="BX61" i="28"/>
  <c r="CA20" i="28"/>
  <c r="BX20" i="28"/>
  <c r="CF20" i="28"/>
  <c r="CB20" i="28"/>
  <c r="BW20" i="28"/>
  <c r="BT6" i="28"/>
  <c r="BZ20" i="28"/>
  <c r="BU20" i="28"/>
  <c r="BT10" i="28"/>
  <c r="BU10" i="28" s="1"/>
  <c r="BV10" i="28" s="1"/>
  <c r="BW10" i="28" s="1"/>
  <c r="BX10" i="28" s="1"/>
  <c r="BY10" i="28" s="1"/>
  <c r="BZ10" i="28" s="1"/>
  <c r="CA10" i="28" s="1"/>
  <c r="CB10" i="28" s="1"/>
  <c r="CC10" i="28" s="1"/>
  <c r="CD10" i="28" s="1"/>
  <c r="CE10" i="28" s="1"/>
  <c r="CF10" i="28" s="1"/>
  <c r="CG10" i="28" s="1"/>
  <c r="BT9" i="28"/>
  <c r="BV85" i="27"/>
  <c r="BW85" i="27"/>
  <c r="BX85" i="27"/>
  <c r="CE74" i="28" l="1"/>
  <c r="CH74" i="28"/>
  <c r="BZ35" i="28"/>
  <c r="BZ33" i="28"/>
  <c r="BZ74" i="28"/>
  <c r="BZ34" i="28"/>
  <c r="BU6" i="28"/>
  <c r="BU9" i="28"/>
  <c r="BV5" i="28"/>
  <c r="BW5" i="28" s="1"/>
  <c r="CH10" i="28"/>
  <c r="BX74" i="28"/>
  <c r="CD74" i="28"/>
  <c r="CC66" i="28"/>
  <c r="CC20" i="28"/>
  <c r="BW33" i="28"/>
  <c r="BT8" i="28"/>
  <c r="CD28" i="28"/>
  <c r="CD32" i="28" s="1"/>
  <c r="CD35" i="28"/>
  <c r="CD20" i="28"/>
  <c r="CE20" i="28"/>
  <c r="BW32" i="28"/>
  <c r="BT7" i="28"/>
  <c r="BT20" i="28"/>
  <c r="BZ31" i="28"/>
  <c r="CF66" i="28"/>
  <c r="BU28" i="28"/>
  <c r="BU35" i="28" s="1"/>
  <c r="BU61" i="28"/>
  <c r="BU66" i="28" s="1"/>
  <c r="CG28" i="28"/>
  <c r="CG34" i="28" s="1"/>
  <c r="CG61" i="28"/>
  <c r="CG20" i="28"/>
  <c r="BT66" i="28"/>
  <c r="BV31" i="28"/>
  <c r="BV20" i="28"/>
  <c r="CH20" i="28"/>
  <c r="BX66" i="28"/>
  <c r="CG62" i="28"/>
  <c r="BX28" i="28"/>
  <c r="BX35" i="28" s="1"/>
  <c r="BY28" i="28"/>
  <c r="BY33" i="28" s="1"/>
  <c r="BY61" i="28"/>
  <c r="BV62" i="28"/>
  <c r="BV32" i="28"/>
  <c r="CH62" i="28"/>
  <c r="CH28" i="28"/>
  <c r="CH33" i="28" s="1"/>
  <c r="CB64" i="28"/>
  <c r="CB66" i="28" s="1"/>
  <c r="CB34" i="28"/>
  <c r="BW74" i="28"/>
  <c r="BZ66" i="28"/>
  <c r="BW34" i="28"/>
  <c r="BW35" i="28"/>
  <c r="BW31" i="28"/>
  <c r="CA66" i="28"/>
  <c r="CD66" i="28"/>
  <c r="CA28" i="28"/>
  <c r="CA31" i="28" s="1"/>
  <c r="CB33" i="28"/>
  <c r="BV35" i="28"/>
  <c r="CC28" i="28"/>
  <c r="CC33" i="28" s="1"/>
  <c r="CB74" i="28"/>
  <c r="CE61" i="28"/>
  <c r="CE28" i="28"/>
  <c r="CE34" i="28" s="1"/>
  <c r="CC74" i="28"/>
  <c r="BT28" i="28"/>
  <c r="BT35" i="28" s="1"/>
  <c r="CF28" i="28"/>
  <c r="CF35" i="28" s="1"/>
  <c r="CF74" i="28"/>
  <c r="CB31" i="28"/>
  <c r="BY20" i="28"/>
  <c r="BV33" i="28"/>
  <c r="CB35" i="28"/>
  <c r="CG74" i="28"/>
  <c r="BW62" i="28"/>
  <c r="BX34" i="28" l="1"/>
  <c r="CG31" i="28"/>
  <c r="CG32" i="28"/>
  <c r="BZ36" i="28"/>
  <c r="CD34" i="28"/>
  <c r="CA32" i="28"/>
  <c r="BX33" i="28"/>
  <c r="CG33" i="28"/>
  <c r="BU33" i="28"/>
  <c r="CD31" i="28"/>
  <c r="BY32" i="28"/>
  <c r="CC32" i="28"/>
  <c r="CD33" i="28"/>
  <c r="CC34" i="28"/>
  <c r="CC31" i="28"/>
  <c r="BT31" i="28"/>
  <c r="BU8" i="28"/>
  <c r="BV9" i="28"/>
  <c r="BV6" i="28"/>
  <c r="CB36" i="28"/>
  <c r="BV66" i="28"/>
  <c r="BV43" i="28"/>
  <c r="CF33" i="28"/>
  <c r="CF32" i="28"/>
  <c r="BW36" i="28"/>
  <c r="CH32" i="28"/>
  <c r="CH34" i="28"/>
  <c r="BT33" i="28"/>
  <c r="BX31" i="28"/>
  <c r="CG66" i="28"/>
  <c r="BU7" i="28"/>
  <c r="BT11" i="28"/>
  <c r="CE35" i="28"/>
  <c r="CE31" i="28"/>
  <c r="BX32" i="28"/>
  <c r="CH66" i="28"/>
  <c r="CE66" i="28"/>
  <c r="CH35" i="28"/>
  <c r="BY66" i="28"/>
  <c r="BW66" i="28"/>
  <c r="BY31" i="28"/>
  <c r="BY35" i="28"/>
  <c r="CE33" i="28"/>
  <c r="BU34" i="28"/>
  <c r="BU31" i="28"/>
  <c r="BT32" i="28"/>
  <c r="BY34" i="28"/>
  <c r="BU32" i="28"/>
  <c r="CE32" i="28"/>
  <c r="CG35" i="28"/>
  <c r="CC35" i="28"/>
  <c r="CA35" i="28"/>
  <c r="CF31" i="28"/>
  <c r="CF34" i="28"/>
  <c r="CA34" i="28"/>
  <c r="CH31" i="28"/>
  <c r="CA33" i="28"/>
  <c r="BT34" i="28"/>
  <c r="BX5" i="28"/>
  <c r="BV36" i="28"/>
  <c r="CD36" i="28" l="1"/>
  <c r="BV39" i="28"/>
  <c r="BV41" i="28"/>
  <c r="CG36" i="28"/>
  <c r="CC36" i="28"/>
  <c r="BW6" i="28"/>
  <c r="BX6" i="28" s="1"/>
  <c r="BY6" i="28" s="1"/>
  <c r="BZ6" i="28" s="1"/>
  <c r="CA6" i="28" s="1"/>
  <c r="CB6" i="28" s="1"/>
  <c r="CC6" i="28" s="1"/>
  <c r="CD6" i="28" s="1"/>
  <c r="CE6" i="28" s="1"/>
  <c r="CF6" i="28" s="1"/>
  <c r="CG6" i="28" s="1"/>
  <c r="CH6" i="28" s="1"/>
  <c r="BW9" i="28"/>
  <c r="BX9" i="28" s="1"/>
  <c r="BY9" i="28" s="1"/>
  <c r="BZ9" i="28" s="1"/>
  <c r="CA9" i="28" s="1"/>
  <c r="CB9" i="28" s="1"/>
  <c r="CC9" i="28" s="1"/>
  <c r="CD9" i="28" s="1"/>
  <c r="CE9" i="28" s="1"/>
  <c r="CF9" i="28" s="1"/>
  <c r="CG9" i="28" s="1"/>
  <c r="CH9" i="28" s="1"/>
  <c r="BV8" i="28"/>
  <c r="CH36" i="28"/>
  <c r="CH39" i="28"/>
  <c r="BY36" i="28"/>
  <c r="CA36" i="28"/>
  <c r="BT36" i="28"/>
  <c r="CF36" i="28"/>
  <c r="CH40" i="28"/>
  <c r="CH42" i="28"/>
  <c r="CE36" i="28"/>
  <c r="CH41" i="28"/>
  <c r="CH43" i="28"/>
  <c r="BV40" i="28"/>
  <c r="BU36" i="28"/>
  <c r="BX36" i="28"/>
  <c r="BY5" i="28"/>
  <c r="BV42" i="28"/>
  <c r="BV7" i="28"/>
  <c r="BU11" i="28"/>
  <c r="D16" i="34" l="1"/>
  <c r="C16" i="34"/>
  <c r="BW8" i="28"/>
  <c r="BX8" i="28" s="1"/>
  <c r="BY8" i="28" s="1"/>
  <c r="BZ8" i="28" s="1"/>
  <c r="CA8" i="28" s="1"/>
  <c r="CB8" i="28" s="1"/>
  <c r="CC8" i="28" s="1"/>
  <c r="CD8" i="28" s="1"/>
  <c r="CE8" i="28" s="1"/>
  <c r="CF8" i="28" s="1"/>
  <c r="CG8" i="28" s="1"/>
  <c r="CH8" i="28" s="1"/>
  <c r="BV44" i="28"/>
  <c r="CH44" i="28"/>
  <c r="BZ5" i="28"/>
  <c r="BW7" i="28"/>
  <c r="BV11" i="28"/>
  <c r="C18" i="34" l="1"/>
  <c r="E16" i="34"/>
  <c r="CA5" i="28"/>
  <c r="BX7" i="28"/>
  <c r="BW11" i="28"/>
  <c r="D18" i="34" l="1"/>
  <c r="E18" i="34"/>
  <c r="BY7" i="28"/>
  <c r="BX11" i="28"/>
  <c r="CB5" i="28"/>
  <c r="BZ7" i="28" l="1"/>
  <c r="BY11" i="28"/>
  <c r="CC5" i="28"/>
  <c r="CA7" i="28" l="1"/>
  <c r="BZ11" i="28"/>
  <c r="CD5" i="28"/>
  <c r="CB7" i="28" l="1"/>
  <c r="CA11" i="28"/>
  <c r="CE5" i="28"/>
  <c r="CC7" i="28" l="1"/>
  <c r="CB11" i="28"/>
  <c r="CF5" i="28"/>
  <c r="CD7" i="28" l="1"/>
  <c r="CC11" i="28"/>
  <c r="CG5" i="28"/>
  <c r="CE7" i="28" l="1"/>
  <c r="CD11" i="28"/>
  <c r="CH5" i="28"/>
  <c r="CF7" i="28" l="1"/>
  <c r="CE11" i="28"/>
  <c r="CG7" i="28" l="1"/>
  <c r="CF11" i="28"/>
  <c r="CH7" i="28" l="1"/>
  <c r="CH11" i="28" s="1"/>
  <c r="CG11" i="28"/>
  <c r="BO22" i="29" l="1"/>
  <c r="BS10" i="28" l="1"/>
  <c r="BS9" i="28"/>
  <c r="BS8" i="28"/>
  <c r="BS7" i="28"/>
  <c r="BS6" i="28"/>
  <c r="BS5" i="28"/>
  <c r="BU6" i="27"/>
  <c r="BV37" i="27" l="1"/>
  <c r="BV47" i="27"/>
  <c r="BV57" i="27"/>
  <c r="BV27" i="27"/>
  <c r="BV67" i="27"/>
  <c r="BG31" i="30"/>
  <c r="BG24" i="30"/>
  <c r="BG17" i="30"/>
  <c r="BG10" i="30"/>
  <c r="BG3" i="30"/>
  <c r="BS65" i="28"/>
  <c r="BS64" i="28"/>
  <c r="BS63" i="28"/>
  <c r="BS62" i="28"/>
  <c r="BS61" i="28"/>
  <c r="BS56" i="28"/>
  <c r="BS28" i="28"/>
  <c r="BV16" i="27" l="1"/>
  <c r="BW67" i="27"/>
  <c r="BW27" i="27"/>
  <c r="BW47" i="27"/>
  <c r="BW57" i="27"/>
  <c r="BW37" i="27"/>
  <c r="BS66" i="28"/>
  <c r="BS69" i="28" s="1"/>
  <c r="BS11" i="28"/>
  <c r="BX47" i="27" l="1"/>
  <c r="BX27" i="27"/>
  <c r="BW16" i="27"/>
  <c r="BX37" i="27"/>
  <c r="BX67" i="27"/>
  <c r="BX57" i="27"/>
  <c r="BS73" i="28"/>
  <c r="BS72" i="28"/>
  <c r="BS71" i="28"/>
  <c r="BS70" i="28"/>
  <c r="BX16" i="27" l="1"/>
  <c r="BS74" i="28"/>
  <c r="BU8" i="27"/>
  <c r="BU85" i="27"/>
  <c r="BU87" i="27" s="1"/>
  <c r="BU88" i="27" s="1"/>
  <c r="BU78" i="27"/>
  <c r="BU68" i="27"/>
  <c r="BU58" i="27"/>
  <c r="BU48" i="27"/>
  <c r="BU38" i="27"/>
  <c r="BU28" i="27"/>
  <c r="BT87" i="27"/>
  <c r="BT88" i="27" s="1"/>
  <c r="BQ87" i="27"/>
  <c r="BQ88" i="27" s="1"/>
  <c r="BT84" i="27"/>
  <c r="BU17" i="27" l="1"/>
  <c r="BR10" i="28"/>
  <c r="BS19" i="28" s="1"/>
  <c r="BR9" i="28"/>
  <c r="BS18" i="28" s="1"/>
  <c r="BR8" i="28"/>
  <c r="BS17" i="28" s="1"/>
  <c r="BR7" i="28"/>
  <c r="BS16" i="28" s="1"/>
  <c r="BS33" i="28" s="1"/>
  <c r="BU47" i="27" s="1"/>
  <c r="BR6" i="28"/>
  <c r="BS15" i="28" s="1"/>
  <c r="BR5" i="28"/>
  <c r="BS14" i="28" s="1"/>
  <c r="BT6" i="27"/>
  <c r="BS32" i="28" l="1"/>
  <c r="BU37" i="27" s="1"/>
  <c r="BS34" i="28"/>
  <c r="BU57" i="27" s="1"/>
  <c r="BS31" i="28"/>
  <c r="BS20" i="28"/>
  <c r="BS35" i="28"/>
  <c r="BU67" i="27" s="1"/>
  <c r="BF31" i="30"/>
  <c r="BF24" i="30"/>
  <c r="BF17" i="30"/>
  <c r="BF10" i="30"/>
  <c r="BF3" i="30"/>
  <c r="BR65" i="28"/>
  <c r="BR64" i="28"/>
  <c r="BR63" i="28"/>
  <c r="BR62" i="28"/>
  <c r="BR61" i="28"/>
  <c r="BR56" i="28"/>
  <c r="BR28" i="28"/>
  <c r="BS36" i="28" l="1"/>
  <c r="BU27" i="27"/>
  <c r="BU16" i="27" s="1"/>
  <c r="BR66" i="28"/>
  <c r="BR70" i="28" s="1"/>
  <c r="BR11" i="28"/>
  <c r="BR69" i="28" l="1"/>
  <c r="BR73" i="28"/>
  <c r="BR72" i="28"/>
  <c r="BR71" i="28"/>
  <c r="BR74" i="28" l="1"/>
  <c r="BT85" i="27"/>
  <c r="BT78" i="27"/>
  <c r="BT68" i="27"/>
  <c r="BT58" i="27"/>
  <c r="BT48" i="27"/>
  <c r="BT38" i="27"/>
  <c r="BT28" i="27"/>
  <c r="BT8" i="27"/>
  <c r="BQ10" i="28"/>
  <c r="BQ9" i="28"/>
  <c r="BQ8" i="28"/>
  <c r="BQ7" i="28"/>
  <c r="BQ6" i="28"/>
  <c r="BQ5" i="28"/>
  <c r="BR14" i="28" s="1"/>
  <c r="BS6" i="27"/>
  <c r="BS8" i="27" s="1"/>
  <c r="BE3" i="30"/>
  <c r="BE31" i="30"/>
  <c r="BE24" i="30"/>
  <c r="BE17" i="30"/>
  <c r="BE10" i="30"/>
  <c r="BQ65" i="28"/>
  <c r="BQ64" i="28"/>
  <c r="BQ63" i="28"/>
  <c r="BQ62" i="28"/>
  <c r="BQ61" i="28"/>
  <c r="BQ56" i="28"/>
  <c r="BQ28" i="28"/>
  <c r="BS85" i="27"/>
  <c r="BS87" i="27" s="1"/>
  <c r="BS88" i="27" s="1"/>
  <c r="BS78" i="27"/>
  <c r="BP10" i="28"/>
  <c r="BP9" i="28"/>
  <c r="BP8" i="28"/>
  <c r="BP7" i="28"/>
  <c r="BP6" i="28"/>
  <c r="BP5" i="28"/>
  <c r="BR6" i="27"/>
  <c r="BD31" i="30"/>
  <c r="BD24" i="30"/>
  <c r="BD17" i="30"/>
  <c r="BD10" i="30"/>
  <c r="BD3" i="30"/>
  <c r="BP65" i="28"/>
  <c r="BP64" i="28"/>
  <c r="BP63" i="28"/>
  <c r="BP62" i="28"/>
  <c r="BP61" i="28"/>
  <c r="BP56" i="28"/>
  <c r="BP28" i="28"/>
  <c r="BR87" i="27"/>
  <c r="BR88" i="27" s="1"/>
  <c r="BR85" i="27"/>
  <c r="BR78" i="27"/>
  <c r="BR8" i="27"/>
  <c r="BQ84" i="27"/>
  <c r="BQ17" i="28" l="1"/>
  <c r="BR17" i="28"/>
  <c r="BQ18" i="28"/>
  <c r="BR18" i="28"/>
  <c r="BQ19" i="28"/>
  <c r="BR19" i="28"/>
  <c r="BR31" i="28" s="1"/>
  <c r="BS39" i="28" s="1"/>
  <c r="BQ15" i="28"/>
  <c r="BR15" i="28"/>
  <c r="BQ16" i="28"/>
  <c r="BQ33" i="28" s="1"/>
  <c r="BS47" i="27" s="1"/>
  <c r="BR16" i="28"/>
  <c r="BP17" i="28"/>
  <c r="BP18" i="28"/>
  <c r="BT17" i="27"/>
  <c r="BQ66" i="28"/>
  <c r="BQ69" i="28" s="1"/>
  <c r="BQ11" i="28"/>
  <c r="BQ14" i="28"/>
  <c r="BP66" i="28"/>
  <c r="BP69" i="28" s="1"/>
  <c r="BP11" i="28"/>
  <c r="BF87" i="27"/>
  <c r="BQ6" i="27"/>
  <c r="BQ8" i="27"/>
  <c r="BO10" i="28"/>
  <c r="BO9" i="28"/>
  <c r="BO8" i="28"/>
  <c r="BO7" i="28"/>
  <c r="BO6" i="28"/>
  <c r="BP15" i="28" s="1"/>
  <c r="BO5" i="28"/>
  <c r="BO14" i="28" s="1"/>
  <c r="BC31" i="30"/>
  <c r="BC24" i="30"/>
  <c r="BC17" i="30"/>
  <c r="BC10" i="30"/>
  <c r="BC3" i="30"/>
  <c r="BO65" i="28"/>
  <c r="BO64" i="28"/>
  <c r="BO63" i="28"/>
  <c r="BO62" i="28"/>
  <c r="BO61" i="28"/>
  <c r="BO56" i="28"/>
  <c r="BO28" i="28"/>
  <c r="BO15" i="28"/>
  <c r="BQ85" i="27"/>
  <c r="BQ78" i="27"/>
  <c r="BN10" i="28"/>
  <c r="BN9" i="28"/>
  <c r="BO18" i="28" s="1"/>
  <c r="BN8" i="28"/>
  <c r="BN7" i="28"/>
  <c r="BN6" i="28"/>
  <c r="BN5" i="28"/>
  <c r="BP6" i="27"/>
  <c r="BO17" i="28" l="1"/>
  <c r="BQ32" i="28"/>
  <c r="BS37" i="27" s="1"/>
  <c r="BQ35" i="28"/>
  <c r="BS67" i="27" s="1"/>
  <c r="BT27" i="27"/>
  <c r="BR34" i="28"/>
  <c r="BR33" i="28"/>
  <c r="BO16" i="28"/>
  <c r="BO33" i="28" s="1"/>
  <c r="BQ47" i="27" s="1"/>
  <c r="BP16" i="28"/>
  <c r="BP33" i="28" s="1"/>
  <c r="BR47" i="27" s="1"/>
  <c r="BQ34" i="28"/>
  <c r="BS57" i="27" s="1"/>
  <c r="BR32" i="28"/>
  <c r="BR20" i="28"/>
  <c r="BR35" i="28"/>
  <c r="BP14" i="28"/>
  <c r="BO19" i="28"/>
  <c r="BO34" i="28" s="1"/>
  <c r="BQ57" i="27" s="1"/>
  <c r="BP19" i="28"/>
  <c r="BP32" i="28" s="1"/>
  <c r="BR37" i="27" s="1"/>
  <c r="BS28" i="27"/>
  <c r="BQ31" i="28"/>
  <c r="BQ20" i="28"/>
  <c r="BQ73" i="28"/>
  <c r="BS68" i="27" s="1"/>
  <c r="BQ72" i="28"/>
  <c r="BS58" i="27" s="1"/>
  <c r="BQ71" i="28"/>
  <c r="BS48" i="27" s="1"/>
  <c r="BQ70" i="28"/>
  <c r="BS38" i="27" s="1"/>
  <c r="BP72" i="28"/>
  <c r="BR58" i="27" s="1"/>
  <c r="BR28" i="27"/>
  <c r="BP73" i="28"/>
  <c r="BR68" i="27" s="1"/>
  <c r="BP71" i="28"/>
  <c r="BR48" i="27" s="1"/>
  <c r="BP70" i="28"/>
  <c r="BR38" i="27" s="1"/>
  <c r="BO35" i="28"/>
  <c r="BQ67" i="27" s="1"/>
  <c r="BO31" i="28"/>
  <c r="BO20" i="28"/>
  <c r="BO66" i="28"/>
  <c r="BO69" i="28" s="1"/>
  <c r="BO11" i="28"/>
  <c r="BB3" i="30"/>
  <c r="BB31" i="30"/>
  <c r="BB24" i="30"/>
  <c r="BB17" i="30"/>
  <c r="BB10" i="30"/>
  <c r="BN65" i="28"/>
  <c r="BN64" i="28"/>
  <c r="BN63" i="28"/>
  <c r="BN62" i="28"/>
  <c r="BN61" i="28"/>
  <c r="BN56" i="28"/>
  <c r="BN28" i="28"/>
  <c r="BP8" i="27"/>
  <c r="BP87" i="27"/>
  <c r="BP88" i="27" s="1"/>
  <c r="BP85" i="27"/>
  <c r="BP78" i="27"/>
  <c r="BM10" i="28"/>
  <c r="BN19" i="28" s="1"/>
  <c r="BM9" i="28"/>
  <c r="BN18" i="28" s="1"/>
  <c r="BM8" i="28"/>
  <c r="BN17" i="28" s="1"/>
  <c r="BM7" i="28"/>
  <c r="BN16" i="28" s="1"/>
  <c r="BM6" i="28"/>
  <c r="BN15" i="28" s="1"/>
  <c r="BM5" i="28"/>
  <c r="BT67" i="27" l="1"/>
  <c r="BS43" i="28"/>
  <c r="BT37" i="27"/>
  <c r="BS40" i="28"/>
  <c r="BT47" i="27"/>
  <c r="BS41" i="28"/>
  <c r="BT57" i="27"/>
  <c r="BS42" i="28"/>
  <c r="BP31" i="28"/>
  <c r="BP20" i="28"/>
  <c r="BO32" i="28"/>
  <c r="BQ37" i="27" s="1"/>
  <c r="BR36" i="28"/>
  <c r="BS44" i="28" s="1"/>
  <c r="BP34" i="28"/>
  <c r="BR57" i="27" s="1"/>
  <c r="BN66" i="28"/>
  <c r="BN71" i="28" s="1"/>
  <c r="BP48" i="27" s="1"/>
  <c r="BP35" i="28"/>
  <c r="BR67" i="27" s="1"/>
  <c r="BS17" i="27"/>
  <c r="BQ36" i="28"/>
  <c r="BS27" i="27"/>
  <c r="BS16" i="27" s="1"/>
  <c r="BQ74" i="28"/>
  <c r="BR17" i="27"/>
  <c r="BR27" i="27"/>
  <c r="BP74" i="28"/>
  <c r="BQ28" i="27"/>
  <c r="BO72" i="28"/>
  <c r="BQ58" i="27" s="1"/>
  <c r="BQ27" i="27"/>
  <c r="BQ16" i="27" s="1"/>
  <c r="BO71" i="28"/>
  <c r="BQ48" i="27" s="1"/>
  <c r="BO70" i="28"/>
  <c r="BQ38" i="27" s="1"/>
  <c r="BO73" i="28"/>
  <c r="BQ68" i="27" s="1"/>
  <c r="BN35" i="28"/>
  <c r="BP67" i="27" s="1"/>
  <c r="BN32" i="28"/>
  <c r="BP37" i="27" s="1"/>
  <c r="BN33" i="28"/>
  <c r="BP47" i="27" s="1"/>
  <c r="BN34" i="28"/>
  <c r="BP57" i="27" s="1"/>
  <c r="BN11" i="28"/>
  <c r="BN14" i="28"/>
  <c r="BN31" i="28" s="1"/>
  <c r="BO6" i="27"/>
  <c r="BT16" i="27" l="1"/>
  <c r="BN69" i="28"/>
  <c r="BN72" i="28"/>
  <c r="BP58" i="27" s="1"/>
  <c r="BR16" i="27"/>
  <c r="BN73" i="28"/>
  <c r="BP68" i="27" s="1"/>
  <c r="BP36" i="28"/>
  <c r="BO36" i="28"/>
  <c r="BN70" i="28"/>
  <c r="BP38" i="27" s="1"/>
  <c r="BQ17" i="27"/>
  <c r="BO74" i="28"/>
  <c r="BN20" i="28"/>
  <c r="BN36" i="28"/>
  <c r="BP27" i="27"/>
  <c r="BP16" i="27" s="1"/>
  <c r="BP28" i="27"/>
  <c r="BA31" i="30"/>
  <c r="BA24" i="30"/>
  <c r="BA17" i="30"/>
  <c r="BA10" i="30"/>
  <c r="BA3" i="30"/>
  <c r="BM65" i="28"/>
  <c r="BM64" i="28"/>
  <c r="BM63" i="28"/>
  <c r="BM62" i="28"/>
  <c r="BM61" i="28"/>
  <c r="BM56" i="28"/>
  <c r="BM28" i="28"/>
  <c r="BO87" i="27"/>
  <c r="BO88" i="27" s="1"/>
  <c r="BM87" i="27"/>
  <c r="BO8" i="27"/>
  <c r="BO85" i="27"/>
  <c r="BO78" i="27"/>
  <c r="BN74" i="28" l="1"/>
  <c r="BM66" i="28"/>
  <c r="BM73" i="28" s="1"/>
  <c r="BO68" i="27" s="1"/>
  <c r="BP17" i="27"/>
  <c r="BM71" i="28"/>
  <c r="BO48" i="27" s="1"/>
  <c r="BM72" i="28"/>
  <c r="BO58" i="27" s="1"/>
  <c r="BM69" i="28"/>
  <c r="BM70" i="28"/>
  <c r="BO38" i="27" s="1"/>
  <c r="BM11" i="28"/>
  <c r="BN88" i="27"/>
  <c r="BK88" i="27"/>
  <c r="BN87" i="27"/>
  <c r="BK87" i="27"/>
  <c r="BN84" i="27"/>
  <c r="BL10" i="28"/>
  <c r="BL9" i="28"/>
  <c r="BL8" i="28"/>
  <c r="BM17" i="28" s="1"/>
  <c r="BL7" i="28"/>
  <c r="BL6" i="28"/>
  <c r="BL5" i="28"/>
  <c r="BM14" i="28" s="1"/>
  <c r="BN6" i="27"/>
  <c r="BN8" i="27" s="1"/>
  <c r="AZ31" i="30"/>
  <c r="AZ32" i="30" s="1"/>
  <c r="AZ33" i="30" s="1"/>
  <c r="AZ24" i="30"/>
  <c r="AZ25" i="30" s="1"/>
  <c r="AZ26" i="30" s="1"/>
  <c r="AZ17" i="30"/>
  <c r="AZ18" i="30" s="1"/>
  <c r="AZ19" i="30" s="1"/>
  <c r="AZ20" i="30" s="1"/>
  <c r="AZ21" i="30" s="1"/>
  <c r="AZ10" i="30"/>
  <c r="AZ11" i="30" s="1"/>
  <c r="AZ12" i="30" s="1"/>
  <c r="AZ3" i="30"/>
  <c r="AZ4" i="30" s="1"/>
  <c r="AZ5" i="30" s="1"/>
  <c r="BL65" i="28"/>
  <c r="BL64" i="28"/>
  <c r="BL63" i="28"/>
  <c r="BL62" i="28"/>
  <c r="BL61" i="28"/>
  <c r="BL56" i="28"/>
  <c r="BL28" i="28"/>
  <c r="BN85" i="27"/>
  <c r="BN78" i="27"/>
  <c r="BM6" i="27"/>
  <c r="BM15" i="27"/>
  <c r="BA4" i="30" l="1"/>
  <c r="BA11" i="30"/>
  <c r="BA25" i="30"/>
  <c r="BL66" i="28"/>
  <c r="BL69" i="28" s="1"/>
  <c r="BN28" i="27" s="1"/>
  <c r="BA18" i="30"/>
  <c r="BA19" i="30" s="1"/>
  <c r="BA20" i="30" s="1"/>
  <c r="BA21" i="30" s="1"/>
  <c r="BA22" i="30" s="1"/>
  <c r="BO49" i="27" s="1"/>
  <c r="BO50" i="27" s="1"/>
  <c r="BM18" i="28"/>
  <c r="BM19" i="28"/>
  <c r="BM31" i="28" s="1"/>
  <c r="BM15" i="28"/>
  <c r="BM32" i="28" s="1"/>
  <c r="BO37" i="27" s="1"/>
  <c r="BA32" i="30"/>
  <c r="BB32" i="30" s="1"/>
  <c r="BM16" i="28"/>
  <c r="BA12" i="30"/>
  <c r="BA13" i="30" s="1"/>
  <c r="BA14" i="30" s="1"/>
  <c r="BA15" i="30" s="1"/>
  <c r="BO39" i="27" s="1"/>
  <c r="BO40" i="27" s="1"/>
  <c r="BB11" i="30"/>
  <c r="BM74" i="28"/>
  <c r="BO28" i="27"/>
  <c r="BL73" i="28"/>
  <c r="BN68" i="27" s="1"/>
  <c r="BL71" i="28"/>
  <c r="BN48" i="27" s="1"/>
  <c r="BL72" i="28"/>
  <c r="BN58" i="27" s="1"/>
  <c r="BL70" i="28"/>
  <c r="BN38" i="27" s="1"/>
  <c r="AZ27" i="30"/>
  <c r="AZ28" i="30" s="1"/>
  <c r="AZ29" i="30" s="1"/>
  <c r="BN59" i="27" s="1"/>
  <c r="BN60" i="27" s="1"/>
  <c r="AZ22" i="30"/>
  <c r="BN49" i="27" s="1"/>
  <c r="BN50" i="27" s="1"/>
  <c r="AZ13" i="30"/>
  <c r="AZ14" i="30" s="1"/>
  <c r="AZ15" i="30" s="1"/>
  <c r="AZ6" i="30"/>
  <c r="AZ7" i="30" s="1"/>
  <c r="AZ8" i="30" s="1"/>
  <c r="AZ34" i="30"/>
  <c r="AZ35" i="30" s="1"/>
  <c r="AZ36" i="30" s="1"/>
  <c r="BL11" i="28"/>
  <c r="AY33" i="30"/>
  <c r="AY26" i="30"/>
  <c r="AY19" i="30"/>
  <c r="AY12" i="30"/>
  <c r="AY5" i="30"/>
  <c r="AY32" i="30"/>
  <c r="AY25" i="30"/>
  <c r="AY18" i="30"/>
  <c r="AY11" i="30"/>
  <c r="AY4" i="30"/>
  <c r="BM85" i="27"/>
  <c r="BM88" i="27" s="1"/>
  <c r="BM8" i="27"/>
  <c r="BM78" i="27"/>
  <c r="AY3" i="30"/>
  <c r="BM20" i="28" l="1"/>
  <c r="BM34" i="28"/>
  <c r="BO57" i="27" s="1"/>
  <c r="BB25" i="30"/>
  <c r="BA26" i="30"/>
  <c r="BA27" i="30" s="1"/>
  <c r="BA28" i="30" s="1"/>
  <c r="BA29" i="30" s="1"/>
  <c r="BO59" i="27" s="1"/>
  <c r="BO60" i="27" s="1"/>
  <c r="BO61" i="27" s="1"/>
  <c r="BB18" i="30"/>
  <c r="BB19" i="30" s="1"/>
  <c r="BB20" i="30" s="1"/>
  <c r="BA33" i="30"/>
  <c r="BB4" i="30"/>
  <c r="BA5" i="30"/>
  <c r="BA6" i="30"/>
  <c r="BO27" i="27"/>
  <c r="BC32" i="30"/>
  <c r="BB33" i="30"/>
  <c r="BB12" i="30"/>
  <c r="BB13" i="30" s="1"/>
  <c r="BC11" i="30"/>
  <c r="BO41" i="27"/>
  <c r="BM35" i="28"/>
  <c r="BO67" i="27" s="1"/>
  <c r="BM33" i="28"/>
  <c r="BO47" i="27" s="1"/>
  <c r="BO51" i="27" s="1"/>
  <c r="BO17" i="27"/>
  <c r="BA34" i="30"/>
  <c r="BA35" i="30" s="1"/>
  <c r="BA36" i="30" s="1"/>
  <c r="BO69" i="27" s="1"/>
  <c r="BN17" i="27"/>
  <c r="BN69" i="27"/>
  <c r="BN70" i="27" s="1"/>
  <c r="BL74" i="28"/>
  <c r="BN39" i="27"/>
  <c r="BN40" i="27" s="1"/>
  <c r="BN29" i="27"/>
  <c r="BN30" i="27" s="1"/>
  <c r="BC18" i="30" l="1"/>
  <c r="BA7" i="30"/>
  <c r="BA8" i="30" s="1"/>
  <c r="BO29" i="27" s="1"/>
  <c r="BO30" i="27" s="1"/>
  <c r="BO31" i="27" s="1"/>
  <c r="BC4" i="30"/>
  <c r="BB5" i="30"/>
  <c r="BB26" i="30"/>
  <c r="BC25" i="30"/>
  <c r="BC12" i="30"/>
  <c r="BD11" i="30"/>
  <c r="BC13" i="30"/>
  <c r="BB34" i="30"/>
  <c r="BB35" i="30" s="1"/>
  <c r="BB36" i="30" s="1"/>
  <c r="BP69" i="27" s="1"/>
  <c r="BD18" i="30"/>
  <c r="BC19" i="30"/>
  <c r="BC20" i="30" s="1"/>
  <c r="BB14" i="30"/>
  <c r="BB15" i="30" s="1"/>
  <c r="BP39" i="27" s="1"/>
  <c r="BP40" i="27" s="1"/>
  <c r="BP41" i="27" s="1"/>
  <c r="BD32" i="30"/>
  <c r="BC33" i="30"/>
  <c r="BC34" i="30"/>
  <c r="BM36" i="28"/>
  <c r="BO16" i="27"/>
  <c r="BB21" i="30"/>
  <c r="BB22" i="30" s="1"/>
  <c r="BP49" i="27" s="1"/>
  <c r="BP50" i="27" s="1"/>
  <c r="BP51" i="27" s="1"/>
  <c r="BO70" i="27"/>
  <c r="BO18" i="27"/>
  <c r="BN19" i="27"/>
  <c r="BN18" i="27"/>
  <c r="BB27" i="30" l="1"/>
  <c r="BB28" i="30" s="1"/>
  <c r="BB29" i="30" s="1"/>
  <c r="BP59" i="27" s="1"/>
  <c r="BB6" i="30"/>
  <c r="BB7" i="30" s="1"/>
  <c r="BB8" i="30" s="1"/>
  <c r="BP29" i="27" s="1"/>
  <c r="BP30" i="27" s="1"/>
  <c r="BP31" i="27" s="1"/>
  <c r="BC5" i="30"/>
  <c r="BC6" i="30" s="1"/>
  <c r="BD4" i="30"/>
  <c r="BC26" i="30"/>
  <c r="BD25" i="30"/>
  <c r="BC27" i="30"/>
  <c r="BC28" i="30" s="1"/>
  <c r="BC29" i="30" s="1"/>
  <c r="BQ59" i="27" s="1"/>
  <c r="BQ60" i="27" s="1"/>
  <c r="BQ61" i="27" s="1"/>
  <c r="BP70" i="27"/>
  <c r="BD12" i="30"/>
  <c r="BD13" i="30"/>
  <c r="BD14" i="30" s="1"/>
  <c r="BD15" i="30" s="1"/>
  <c r="BR39" i="27" s="1"/>
  <c r="BR40" i="27" s="1"/>
  <c r="BR41" i="27" s="1"/>
  <c r="BE11" i="30"/>
  <c r="BC14" i="30"/>
  <c r="BC15" i="30" s="1"/>
  <c r="BQ39" i="27" s="1"/>
  <c r="BQ40" i="27" s="1"/>
  <c r="BQ41" i="27" s="1"/>
  <c r="BC21" i="30"/>
  <c r="BC22" i="30" s="1"/>
  <c r="BQ49" i="27" s="1"/>
  <c r="BQ50" i="27" s="1"/>
  <c r="BQ51" i="27" s="1"/>
  <c r="BD19" i="30"/>
  <c r="BD20" i="30" s="1"/>
  <c r="BD21" i="30" s="1"/>
  <c r="BD22" i="30" s="1"/>
  <c r="BR49" i="27" s="1"/>
  <c r="BR50" i="27" s="1"/>
  <c r="BR51" i="27" s="1"/>
  <c r="BE18" i="30"/>
  <c r="BC35" i="30"/>
  <c r="BC36" i="30" s="1"/>
  <c r="BQ69" i="27" s="1"/>
  <c r="BD33" i="30"/>
  <c r="BE32" i="30"/>
  <c r="BD34" i="30"/>
  <c r="BD35" i="30" s="1"/>
  <c r="BD36" i="30" s="1"/>
  <c r="BR69" i="27" s="1"/>
  <c r="BO71" i="27"/>
  <c r="BO19" i="27"/>
  <c r="BP60" i="27" l="1"/>
  <c r="BP61" i="27" s="1"/>
  <c r="BP18" i="27"/>
  <c r="BD5" i="30"/>
  <c r="BD6" i="30"/>
  <c r="BD7" i="30" s="1"/>
  <c r="BD8" i="30" s="1"/>
  <c r="BR29" i="27" s="1"/>
  <c r="BR30" i="27" s="1"/>
  <c r="BR31" i="27" s="1"/>
  <c r="BE4" i="30"/>
  <c r="BC7" i="30"/>
  <c r="BC8" i="30" s="1"/>
  <c r="BQ29" i="27" s="1"/>
  <c r="BQ30" i="27" s="1"/>
  <c r="BQ31" i="27" s="1"/>
  <c r="BE25" i="30"/>
  <c r="BD26" i="30"/>
  <c r="BD27" i="30" s="1"/>
  <c r="BD28" i="30" s="1"/>
  <c r="BD29" i="30" s="1"/>
  <c r="BR59" i="27" s="1"/>
  <c r="BE19" i="30"/>
  <c r="BE20" i="30" s="1"/>
  <c r="BE21" i="30" s="1"/>
  <c r="BE22" i="30" s="1"/>
  <c r="BS49" i="27" s="1"/>
  <c r="BS50" i="27" s="1"/>
  <c r="BS51" i="27" s="1"/>
  <c r="BF18" i="30"/>
  <c r="BE12" i="30"/>
  <c r="BE13" i="30" s="1"/>
  <c r="BE14" i="30" s="1"/>
  <c r="BE15" i="30" s="1"/>
  <c r="BS39" i="27" s="1"/>
  <c r="BS40" i="27" s="1"/>
  <c r="BS41" i="27" s="1"/>
  <c r="BF11" i="30"/>
  <c r="BR70" i="27"/>
  <c r="BQ70" i="27"/>
  <c r="BE33" i="30"/>
  <c r="BE34" i="30" s="1"/>
  <c r="BE35" i="30" s="1"/>
  <c r="BE36" i="30" s="1"/>
  <c r="BS69" i="27" s="1"/>
  <c r="BF32" i="30"/>
  <c r="BP19" i="27"/>
  <c r="BP71" i="27"/>
  <c r="BP20" i="27" s="1"/>
  <c r="BO20" i="27"/>
  <c r="BR60" i="27" l="1"/>
  <c r="BR61" i="27" s="1"/>
  <c r="BR18" i="27"/>
  <c r="BQ18" i="27"/>
  <c r="BE26" i="30"/>
  <c r="BE27" i="30" s="1"/>
  <c r="BE28" i="30" s="1"/>
  <c r="BE29" i="30" s="1"/>
  <c r="BS59" i="27" s="1"/>
  <c r="BS60" i="27" s="1"/>
  <c r="BS61" i="27" s="1"/>
  <c r="BF25" i="30"/>
  <c r="BF4" i="30"/>
  <c r="BE5" i="30"/>
  <c r="BE6" i="30" s="1"/>
  <c r="BE7" i="30" s="1"/>
  <c r="BE8" i="30" s="1"/>
  <c r="BS29" i="27" s="1"/>
  <c r="BS30" i="27" s="1"/>
  <c r="BS31" i="27" s="1"/>
  <c r="BS70" i="27"/>
  <c r="BF33" i="30"/>
  <c r="BF34" i="30" s="1"/>
  <c r="BG32" i="30"/>
  <c r="BR19" i="27"/>
  <c r="BR71" i="27"/>
  <c r="BR20" i="27" s="1"/>
  <c r="BF12" i="30"/>
  <c r="BF13" i="30" s="1"/>
  <c r="BF14" i="30" s="1"/>
  <c r="BF15" i="30" s="1"/>
  <c r="BT39" i="27" s="1"/>
  <c r="BT40" i="27" s="1"/>
  <c r="BT41" i="27" s="1"/>
  <c r="BG11" i="30"/>
  <c r="BQ71" i="27"/>
  <c r="BQ20" i="27" s="1"/>
  <c r="BQ19" i="27"/>
  <c r="BF19" i="30"/>
  <c r="BF20" i="30" s="1"/>
  <c r="BF21" i="30" s="1"/>
  <c r="BF22" i="30" s="1"/>
  <c r="BT49" i="27" s="1"/>
  <c r="BT50" i="27" s="1"/>
  <c r="BT51" i="27" s="1"/>
  <c r="BG18" i="30"/>
  <c r="BS18" i="27" l="1"/>
  <c r="BG25" i="30"/>
  <c r="BF26" i="30"/>
  <c r="BF27" i="30" s="1"/>
  <c r="BF28" i="30" s="1"/>
  <c r="BF29" i="30" s="1"/>
  <c r="BT59" i="27" s="1"/>
  <c r="BT60" i="27" s="1"/>
  <c r="BT61" i="27" s="1"/>
  <c r="BF5" i="30"/>
  <c r="BF6" i="30" s="1"/>
  <c r="BF7" i="30" s="1"/>
  <c r="BF8" i="30" s="1"/>
  <c r="BT29" i="27" s="1"/>
  <c r="BT30" i="27" s="1"/>
  <c r="BT31" i="27" s="1"/>
  <c r="BG4" i="30"/>
  <c r="BG33" i="30"/>
  <c r="BG34" i="30" s="1"/>
  <c r="BG35" i="30" s="1"/>
  <c r="BG36" i="30" s="1"/>
  <c r="BU69" i="27" s="1"/>
  <c r="BF35" i="30"/>
  <c r="BF36" i="30" s="1"/>
  <c r="BT69" i="27" s="1"/>
  <c r="BG12" i="30"/>
  <c r="BG13" i="30" s="1"/>
  <c r="BG14" i="30" s="1"/>
  <c r="BG15" i="30" s="1"/>
  <c r="BU39" i="27" s="1"/>
  <c r="BU40" i="27" s="1"/>
  <c r="BU41" i="27" s="1"/>
  <c r="BG19" i="30"/>
  <c r="BG20" i="30" s="1"/>
  <c r="BG21" i="30" s="1"/>
  <c r="BG22" i="30" s="1"/>
  <c r="BU49" i="27" s="1"/>
  <c r="BU50" i="27" s="1"/>
  <c r="BU51" i="27" s="1"/>
  <c r="BS19" i="27"/>
  <c r="BS71" i="27"/>
  <c r="BS20" i="27" s="1"/>
  <c r="AY31" i="30"/>
  <c r="AY24" i="30"/>
  <c r="AY17" i="30"/>
  <c r="AY10" i="30"/>
  <c r="BK10" i="28"/>
  <c r="BL19" i="28" s="1"/>
  <c r="BK9" i="28"/>
  <c r="BK8" i="28"/>
  <c r="BK7" i="28"/>
  <c r="BK6" i="28"/>
  <c r="BK5" i="28"/>
  <c r="BK65" i="28"/>
  <c r="BK64" i="28"/>
  <c r="BK63" i="28"/>
  <c r="BK62" i="28"/>
  <c r="BK61" i="28"/>
  <c r="BK56" i="28"/>
  <c r="BK28" i="28"/>
  <c r="BG5" i="30" l="1"/>
  <c r="BG6" i="30"/>
  <c r="BG7" i="30" s="1"/>
  <c r="BG8" i="30" s="1"/>
  <c r="BU29" i="27" s="1"/>
  <c r="BU30" i="27" s="1"/>
  <c r="BU31" i="27" s="1"/>
  <c r="BK66" i="28"/>
  <c r="BK72" i="28" s="1"/>
  <c r="BM58" i="27" s="1"/>
  <c r="BG26" i="30"/>
  <c r="BG27" i="30" s="1"/>
  <c r="BG28" i="30" s="1"/>
  <c r="BG29" i="30" s="1"/>
  <c r="BU59" i="27" s="1"/>
  <c r="BU60" i="27" s="1"/>
  <c r="BU61" i="27" s="1"/>
  <c r="BU70" i="27"/>
  <c r="BL15" i="28"/>
  <c r="BL32" i="28" s="1"/>
  <c r="BN37" i="27" s="1"/>
  <c r="BN41" i="27" s="1"/>
  <c r="BL16" i="28"/>
  <c r="BL33" i="28" s="1"/>
  <c r="BN47" i="27" s="1"/>
  <c r="BN51" i="27" s="1"/>
  <c r="BL17" i="28"/>
  <c r="BL34" i="28" s="1"/>
  <c r="BN57" i="27" s="1"/>
  <c r="BN61" i="27" s="1"/>
  <c r="BL18" i="28"/>
  <c r="BL35" i="28" s="1"/>
  <c r="BN67" i="27" s="1"/>
  <c r="BT18" i="27"/>
  <c r="BT70" i="27"/>
  <c r="BL14" i="28"/>
  <c r="AY13" i="30"/>
  <c r="AY14" i="30" s="1"/>
  <c r="AY15" i="30" s="1"/>
  <c r="AY34" i="30"/>
  <c r="AY27" i="30"/>
  <c r="AY28" i="30" s="1"/>
  <c r="AY29" i="30" s="1"/>
  <c r="BK11" i="28"/>
  <c r="BK69" i="28"/>
  <c r="BM59" i="27" l="1"/>
  <c r="BM60" i="27" s="1"/>
  <c r="BK71" i="28"/>
  <c r="BM48" i="27" s="1"/>
  <c r="BK70" i="28"/>
  <c r="BM38" i="27" s="1"/>
  <c r="BM39" i="27" s="1"/>
  <c r="BM40" i="27" s="1"/>
  <c r="BU18" i="27"/>
  <c r="BK73" i="28"/>
  <c r="BM68" i="27" s="1"/>
  <c r="BL31" i="28"/>
  <c r="BL20" i="28"/>
  <c r="BN71" i="27"/>
  <c r="BM28" i="27"/>
  <c r="BM29" i="27" s="1"/>
  <c r="BM30" i="27" s="1"/>
  <c r="BT71" i="27"/>
  <c r="BT20" i="27" s="1"/>
  <c r="BT19" i="27"/>
  <c r="BU19" i="27"/>
  <c r="BU71" i="27"/>
  <c r="BU20" i="27" s="1"/>
  <c r="AY35" i="30"/>
  <c r="AY36" i="30" s="1"/>
  <c r="AY6" i="30"/>
  <c r="AY7" i="30" s="1"/>
  <c r="AY8" i="30" s="1"/>
  <c r="AY20" i="30"/>
  <c r="AY21" i="30" s="1"/>
  <c r="AY22" i="30" s="1"/>
  <c r="BM49" i="27" s="1"/>
  <c r="BM50" i="27" s="1"/>
  <c r="BK74" i="28" l="1"/>
  <c r="BM69" i="27"/>
  <c r="BM70" i="27" s="1"/>
  <c r="BN27" i="27"/>
  <c r="BL36" i="28"/>
  <c r="BM17" i="27"/>
  <c r="BM18" i="27"/>
  <c r="BJ10" i="28"/>
  <c r="BK19" i="28" s="1"/>
  <c r="BJ9" i="28"/>
  <c r="BK18" i="28" s="1"/>
  <c r="BK35" i="28" s="1"/>
  <c r="BM67" i="27" s="1"/>
  <c r="BJ8" i="28"/>
  <c r="BK17" i="28" s="1"/>
  <c r="BK34" i="28" s="1"/>
  <c r="BM57" i="27" s="1"/>
  <c r="BM61" i="27" s="1"/>
  <c r="BJ7" i="28"/>
  <c r="BJ6" i="28"/>
  <c r="BK15" i="28" s="1"/>
  <c r="BJ5" i="28"/>
  <c r="BM71" i="27" l="1"/>
  <c r="BN31" i="27"/>
  <c r="BN20" i="27" s="1"/>
  <c r="BN16" i="27"/>
  <c r="BK14" i="28"/>
  <c r="BK16" i="28"/>
  <c r="BK33" i="28" s="1"/>
  <c r="BM47" i="27" s="1"/>
  <c r="BM51" i="27" s="1"/>
  <c r="BK32" i="28"/>
  <c r="BM37" i="27" s="1"/>
  <c r="BM41" i="27" s="1"/>
  <c r="BM19" i="27"/>
  <c r="BL6" i="27"/>
  <c r="BK31" i="28" l="1"/>
  <c r="BK20" i="28"/>
  <c r="CI31" i="22"/>
  <c r="CI24" i="22"/>
  <c r="CI17" i="22"/>
  <c r="CI10" i="22"/>
  <c r="CI3" i="22"/>
  <c r="CT64" i="11"/>
  <c r="CT63" i="11"/>
  <c r="CT62" i="11"/>
  <c r="CT61" i="11"/>
  <c r="CT60" i="11"/>
  <c r="CT55" i="11"/>
  <c r="CT28" i="11"/>
  <c r="CT10" i="11"/>
  <c r="CT9" i="11"/>
  <c r="CT8" i="11"/>
  <c r="CT7" i="11"/>
  <c r="CT6" i="11"/>
  <c r="CT5" i="11"/>
  <c r="CU104" i="1"/>
  <c r="CU98" i="1"/>
  <c r="CU99" i="1" s="1"/>
  <c r="CU78" i="1"/>
  <c r="CU79" i="1" s="1"/>
  <c r="CU8" i="1"/>
  <c r="AX31" i="30"/>
  <c r="AX24" i="30"/>
  <c r="AX17" i="30"/>
  <c r="AX10" i="30"/>
  <c r="AX3" i="30"/>
  <c r="BJ65" i="28"/>
  <c r="BJ64" i="28"/>
  <c r="BJ63" i="28"/>
  <c r="BJ62" i="28"/>
  <c r="BJ61" i="28"/>
  <c r="BJ56" i="28"/>
  <c r="BJ28" i="28"/>
  <c r="BM27" i="27" l="1"/>
  <c r="BK36" i="28"/>
  <c r="BJ66" i="28"/>
  <c r="BJ73" i="28" s="1"/>
  <c r="BJ69" i="28"/>
  <c r="BJ70" i="28"/>
  <c r="BJ71" i="28"/>
  <c r="CT65" i="11"/>
  <c r="CT11" i="11"/>
  <c r="CU81" i="1"/>
  <c r="BJ11" i="28"/>
  <c r="BJ72" i="28" l="1"/>
  <c r="BM31" i="27"/>
  <c r="BM20" i="27" s="1"/>
  <c r="BM16" i="27"/>
  <c r="BJ74" i="28"/>
  <c r="CT72" i="11"/>
  <c r="CU68" i="1" s="1"/>
  <c r="CT68" i="11"/>
  <c r="CT71" i="11"/>
  <c r="CU58" i="1" s="1"/>
  <c r="CT70" i="11"/>
  <c r="CU48" i="1" s="1"/>
  <c r="CT69" i="11"/>
  <c r="CU38" i="1" s="1"/>
  <c r="CT73" i="11" l="1"/>
  <c r="CU28" i="1"/>
  <c r="BL8" i="27"/>
  <c r="BL85" i="27"/>
  <c r="BL87" i="27" s="1"/>
  <c r="BL88" i="27" s="1"/>
  <c r="BL78" i="27"/>
  <c r="BL68" i="27"/>
  <c r="BL58" i="27"/>
  <c r="BL48" i="27"/>
  <c r="BL38" i="27"/>
  <c r="BL28" i="27"/>
  <c r="BK84" i="27"/>
  <c r="CU17" i="1" l="1"/>
  <c r="BL17" i="27"/>
  <c r="BK6" i="27"/>
  <c r="BI10" i="28" l="1"/>
  <c r="BI9" i="28"/>
  <c r="BI8" i="28"/>
  <c r="BI7" i="28"/>
  <c r="BI6" i="28"/>
  <c r="BI5" i="28"/>
  <c r="CH31" i="22"/>
  <c r="CH24" i="22"/>
  <c r="CH17" i="22"/>
  <c r="CH10" i="22"/>
  <c r="CH3" i="22"/>
  <c r="CS64" i="11"/>
  <c r="CS63" i="11"/>
  <c r="CS62" i="11"/>
  <c r="CS61" i="11"/>
  <c r="CS60" i="11"/>
  <c r="CS55" i="11"/>
  <c r="CS28" i="11"/>
  <c r="CS10" i="11"/>
  <c r="CS9" i="11"/>
  <c r="CT18" i="11" s="1"/>
  <c r="CS8" i="11"/>
  <c r="CT17" i="11" s="1"/>
  <c r="CS7" i="11"/>
  <c r="CS6" i="11"/>
  <c r="CS5" i="11"/>
  <c r="CT104" i="1"/>
  <c r="CT98" i="1"/>
  <c r="CT99" i="1" s="1"/>
  <c r="CT78" i="1"/>
  <c r="CT79" i="1" s="1"/>
  <c r="CT81" i="1" s="1"/>
  <c r="CT8" i="1"/>
  <c r="AW31" i="30"/>
  <c r="AW24" i="30"/>
  <c r="AW17" i="30"/>
  <c r="AW10" i="30"/>
  <c r="AW3" i="30"/>
  <c r="BI65" i="28"/>
  <c r="BI64" i="28"/>
  <c r="BI63" i="28"/>
  <c r="BI62" i="28"/>
  <c r="BI61" i="28"/>
  <c r="BI56" i="28"/>
  <c r="BI28" i="28"/>
  <c r="BK85" i="27"/>
  <c r="BK78" i="27"/>
  <c r="BK8" i="27"/>
  <c r="BH10" i="28"/>
  <c r="BH9" i="28"/>
  <c r="BH8" i="28"/>
  <c r="BH7" i="28"/>
  <c r="BH6" i="28"/>
  <c r="BH5" i="28"/>
  <c r="BJ6" i="27"/>
  <c r="CT19" i="11" l="1"/>
  <c r="CT34" i="11" s="1"/>
  <c r="CU57" i="1" s="1"/>
  <c r="CT14" i="11"/>
  <c r="CT15" i="11"/>
  <c r="CT32" i="11" s="1"/>
  <c r="CU37" i="1" s="1"/>
  <c r="CS16" i="11"/>
  <c r="CT16" i="11"/>
  <c r="CT33" i="11" s="1"/>
  <c r="CU47" i="1" s="1"/>
  <c r="CT35" i="11"/>
  <c r="CU67" i="1" s="1"/>
  <c r="BI16" i="28"/>
  <c r="BJ16" i="28"/>
  <c r="BI18" i="28"/>
  <c r="BJ18" i="28"/>
  <c r="BI17" i="28"/>
  <c r="BJ17" i="28"/>
  <c r="BI19" i="28"/>
  <c r="BI35" i="28" s="1"/>
  <c r="BK67" i="27" s="1"/>
  <c r="BJ19" i="28"/>
  <c r="BI14" i="28"/>
  <c r="BJ14" i="28"/>
  <c r="BI15" i="28"/>
  <c r="BI32" i="28" s="1"/>
  <c r="BK37" i="27" s="1"/>
  <c r="BJ15" i="28"/>
  <c r="CS65" i="11"/>
  <c r="CS68" i="11" s="1"/>
  <c r="CS11" i="11"/>
  <c r="BI66" i="28"/>
  <c r="BI11" i="28"/>
  <c r="CG31" i="22"/>
  <c r="CG24" i="22"/>
  <c r="CG17" i="22"/>
  <c r="CG10" i="22"/>
  <c r="CG3" i="22"/>
  <c r="CR64" i="11"/>
  <c r="CR63" i="11"/>
  <c r="CR62" i="11"/>
  <c r="CR61" i="11"/>
  <c r="CR60" i="11"/>
  <c r="CR55" i="11"/>
  <c r="CR28" i="11"/>
  <c r="CR10" i="11"/>
  <c r="CS19" i="11" s="1"/>
  <c r="CR9" i="11"/>
  <c r="CR8" i="11"/>
  <c r="CS17" i="11" s="1"/>
  <c r="CR7" i="11"/>
  <c r="CR6" i="11"/>
  <c r="CR5" i="11"/>
  <c r="AV31" i="30"/>
  <c r="AV24" i="30"/>
  <c r="AV17" i="30"/>
  <c r="AV10" i="30"/>
  <c r="AV3" i="30"/>
  <c r="BH65" i="28"/>
  <c r="BH64" i="28"/>
  <c r="BH63" i="28"/>
  <c r="BH62" i="28"/>
  <c r="BH61" i="28"/>
  <c r="BH56" i="28"/>
  <c r="BH28" i="28"/>
  <c r="CS104" i="1"/>
  <c r="CS98" i="1"/>
  <c r="CS99" i="1" s="1"/>
  <c r="CS78" i="1"/>
  <c r="CS79" i="1" s="1"/>
  <c r="CS8" i="1"/>
  <c r="BJ85" i="27"/>
  <c r="BJ87" i="27" s="1"/>
  <c r="BJ88" i="27" s="1"/>
  <c r="BJ78" i="27"/>
  <c r="BJ8" i="27"/>
  <c r="CS33" i="11" l="1"/>
  <c r="CT47" i="1" s="1"/>
  <c r="CS34" i="11"/>
  <c r="CT57" i="1" s="1"/>
  <c r="CS14" i="11"/>
  <c r="CS18" i="11"/>
  <c r="CS35" i="11" s="1"/>
  <c r="CT67" i="1" s="1"/>
  <c r="CS15" i="11"/>
  <c r="CS32" i="11" s="1"/>
  <c r="CT37" i="1" s="1"/>
  <c r="CT31" i="11"/>
  <c r="CT20" i="11"/>
  <c r="BI33" i="28"/>
  <c r="BK47" i="27" s="1"/>
  <c r="BI31" i="28"/>
  <c r="BI34" i="28"/>
  <c r="BK57" i="27" s="1"/>
  <c r="BI20" i="28"/>
  <c r="BJ34" i="28"/>
  <c r="BL57" i="27" s="1"/>
  <c r="BJ32" i="28"/>
  <c r="BL37" i="27" s="1"/>
  <c r="BJ35" i="28"/>
  <c r="BL67" i="27" s="1"/>
  <c r="BJ20" i="28"/>
  <c r="BJ31" i="28"/>
  <c r="BL27" i="27" s="1"/>
  <c r="BJ33" i="28"/>
  <c r="BL47" i="27" s="1"/>
  <c r="CT28" i="1"/>
  <c r="CS71" i="11"/>
  <c r="CT58" i="1" s="1"/>
  <c r="CS69" i="11"/>
  <c r="CT38" i="1" s="1"/>
  <c r="CS70" i="11"/>
  <c r="CT48" i="1" s="1"/>
  <c r="CS72" i="11"/>
  <c r="CT68" i="1" s="1"/>
  <c r="BI73" i="28"/>
  <c r="BK68" i="27" s="1"/>
  <c r="BI72" i="28"/>
  <c r="BK58" i="27" s="1"/>
  <c r="BI69" i="28"/>
  <c r="BI71" i="28"/>
  <c r="BK48" i="27" s="1"/>
  <c r="BI70" i="28"/>
  <c r="BK38" i="27" s="1"/>
  <c r="BK27" i="27"/>
  <c r="CR65" i="11"/>
  <c r="CR68" i="11" s="1"/>
  <c r="CR11" i="11"/>
  <c r="BH66" i="28"/>
  <c r="BH11" i="28"/>
  <c r="CS81" i="1"/>
  <c r="AL6" i="27"/>
  <c r="AL8" i="27" s="1"/>
  <c r="CT36" i="11" l="1"/>
  <c r="CU27" i="1"/>
  <c r="CU16" i="1" s="1"/>
  <c r="CR72" i="11"/>
  <c r="CS68" i="1" s="1"/>
  <c r="CS31" i="11"/>
  <c r="CS20" i="11"/>
  <c r="BK16" i="27"/>
  <c r="BI36" i="28"/>
  <c r="BJ36" i="28"/>
  <c r="BL16" i="27"/>
  <c r="CT17" i="1"/>
  <c r="CS73" i="11"/>
  <c r="BK28" i="27"/>
  <c r="BI74" i="28"/>
  <c r="CR70" i="11"/>
  <c r="CS48" i="1" s="1"/>
  <c r="CR71" i="11"/>
  <c r="CS58" i="1" s="1"/>
  <c r="CR69" i="11"/>
  <c r="CS38" i="1" s="1"/>
  <c r="CS28" i="1"/>
  <c r="BH73" i="28"/>
  <c r="BJ68" i="27" s="1"/>
  <c r="BH70" i="28"/>
  <c r="BJ38" i="27" s="1"/>
  <c r="BH69" i="28"/>
  <c r="BH72" i="28"/>
  <c r="BJ58" i="27" s="1"/>
  <c r="BH71" i="28"/>
  <c r="BJ48" i="27" s="1"/>
  <c r="BI6" i="27"/>
  <c r="BI8" i="27" s="1"/>
  <c r="CS36" i="11" l="1"/>
  <c r="CT27" i="1"/>
  <c r="CT16" i="1" s="1"/>
  <c r="BK17" i="27"/>
  <c r="CR73" i="11"/>
  <c r="CS17" i="1"/>
  <c r="BH74" i="28"/>
  <c r="BJ28" i="27"/>
  <c r="BG10" i="28"/>
  <c r="BH19" i="28" s="1"/>
  <c r="BG9" i="28"/>
  <c r="BH18" i="28" s="1"/>
  <c r="BG8" i="28"/>
  <c r="BH17" i="28" s="1"/>
  <c r="BG7" i="28"/>
  <c r="BH16" i="28" s="1"/>
  <c r="BG6" i="28"/>
  <c r="BH15" i="28" s="1"/>
  <c r="BG5" i="28"/>
  <c r="BH14" i="28" s="1"/>
  <c r="BH34" i="28" l="1"/>
  <c r="BJ57" i="27" s="1"/>
  <c r="BH33" i="28"/>
  <c r="BJ47" i="27" s="1"/>
  <c r="BH32" i="28"/>
  <c r="BJ37" i="27" s="1"/>
  <c r="BH35" i="28"/>
  <c r="BJ67" i="27" s="1"/>
  <c r="BH20" i="28"/>
  <c r="BH31" i="28"/>
  <c r="BJ17" i="27"/>
  <c r="CF31" i="22"/>
  <c r="CF24" i="22"/>
  <c r="CF17" i="22"/>
  <c r="CF10" i="22"/>
  <c r="CF3" i="22"/>
  <c r="CQ64" i="11"/>
  <c r="CQ63" i="11"/>
  <c r="CQ62" i="11"/>
  <c r="CQ61" i="11"/>
  <c r="CQ60" i="11"/>
  <c r="CQ55" i="11"/>
  <c r="CQ28" i="11"/>
  <c r="CQ10" i="11"/>
  <c r="CR19" i="11" s="1"/>
  <c r="CQ9" i="11"/>
  <c r="CR18" i="11" s="1"/>
  <c r="CQ8" i="11"/>
  <c r="CR17" i="11" s="1"/>
  <c r="CQ7" i="11"/>
  <c r="CR16" i="11" s="1"/>
  <c r="CQ6" i="11"/>
  <c r="CR15" i="11" s="1"/>
  <c r="CQ5" i="11"/>
  <c r="CR14" i="11" s="1"/>
  <c r="AU31" i="30"/>
  <c r="AU24" i="30"/>
  <c r="AU17" i="30"/>
  <c r="AU10" i="30"/>
  <c r="AU3" i="30"/>
  <c r="BG65" i="28"/>
  <c r="BG64" i="28"/>
  <c r="BG63" i="28"/>
  <c r="BG62" i="28"/>
  <c r="BG61" i="28"/>
  <c r="BG56" i="28"/>
  <c r="BG28" i="28"/>
  <c r="CR104" i="1"/>
  <c r="CR98" i="1"/>
  <c r="CR99" i="1" s="1"/>
  <c r="CR78" i="1"/>
  <c r="CR79" i="1" s="1"/>
  <c r="CR8" i="1"/>
  <c r="BI85" i="27"/>
  <c r="BI87" i="27" s="1"/>
  <c r="BI88" i="27" s="1"/>
  <c r="BI78" i="27"/>
  <c r="CR31" i="11" l="1"/>
  <c r="CR20" i="11"/>
  <c r="CR33" i="11"/>
  <c r="CS47" i="1" s="1"/>
  <c r="CR34" i="11"/>
  <c r="CS57" i="1" s="1"/>
  <c r="CR32" i="11"/>
  <c r="CS37" i="1" s="1"/>
  <c r="CR35" i="11"/>
  <c r="CS67" i="1" s="1"/>
  <c r="BH36" i="28"/>
  <c r="BJ27" i="27"/>
  <c r="BJ16" i="27" s="1"/>
  <c r="CQ65" i="11"/>
  <c r="CQ71" i="11" s="1"/>
  <c r="CR58" i="1" s="1"/>
  <c r="BG66" i="28"/>
  <c r="BG73" i="28" s="1"/>
  <c r="BI68" i="27" s="1"/>
  <c r="BG72" i="28"/>
  <c r="BI58" i="27" s="1"/>
  <c r="CQ11" i="11"/>
  <c r="BG70" i="28"/>
  <c r="BI38" i="27" s="1"/>
  <c r="BG69" i="28"/>
  <c r="BG11" i="28"/>
  <c r="CR81" i="1"/>
  <c r="BH84" i="27"/>
  <c r="CQ72" i="11" l="1"/>
  <c r="CR68" i="1" s="1"/>
  <c r="CR36" i="11"/>
  <c r="CS27" i="1"/>
  <c r="CS16" i="1" s="1"/>
  <c r="BG71" i="28"/>
  <c r="BI48" i="27" s="1"/>
  <c r="CQ70" i="11"/>
  <c r="CR48" i="1" s="1"/>
  <c r="CQ69" i="11"/>
  <c r="CR38" i="1" s="1"/>
  <c r="CQ68" i="11"/>
  <c r="CR28" i="1" s="1"/>
  <c r="BI28" i="27"/>
  <c r="BG74" i="28"/>
  <c r="BH6" i="27"/>
  <c r="BH8" i="27" s="1"/>
  <c r="CQ73" i="11" l="1"/>
  <c r="CR17" i="1"/>
  <c r="BI17" i="27"/>
  <c r="BF10" i="28"/>
  <c r="BG19" i="28" s="1"/>
  <c r="BF9" i="28"/>
  <c r="BG18" i="28" s="1"/>
  <c r="BF8" i="28"/>
  <c r="BG17" i="28" s="1"/>
  <c r="BF7" i="28"/>
  <c r="BG16" i="28" s="1"/>
  <c r="BF6" i="28"/>
  <c r="BG15" i="28" s="1"/>
  <c r="BG32" i="28" s="1"/>
  <c r="BI37" i="27" s="1"/>
  <c r="BF5" i="28"/>
  <c r="BG14" i="28" s="1"/>
  <c r="BG35" i="28" l="1"/>
  <c r="BI67" i="27" s="1"/>
  <c r="BG33" i="28"/>
  <c r="BI47" i="27" s="1"/>
  <c r="BG34" i="28"/>
  <c r="BI57" i="27" s="1"/>
  <c r="BG31" i="28"/>
  <c r="BG20" i="28"/>
  <c r="BG36" i="28" l="1"/>
  <c r="BI27" i="27"/>
  <c r="BI16" i="27" s="1"/>
  <c r="CE31" i="22"/>
  <c r="CE24" i="22"/>
  <c r="CE17" i="22"/>
  <c r="CE10" i="22"/>
  <c r="CE3" i="22"/>
  <c r="CP64" i="11"/>
  <c r="CP63" i="11"/>
  <c r="CP62" i="11"/>
  <c r="CP61" i="11"/>
  <c r="CP60" i="11"/>
  <c r="CP55" i="11"/>
  <c r="CP28" i="11"/>
  <c r="CP10" i="11"/>
  <c r="CQ19" i="11" s="1"/>
  <c r="CP9" i="11"/>
  <c r="CQ18" i="11" s="1"/>
  <c r="CP8" i="11"/>
  <c r="CQ17" i="11" s="1"/>
  <c r="CQ34" i="11" s="1"/>
  <c r="CR57" i="1" s="1"/>
  <c r="CP7" i="11"/>
  <c r="CP6" i="11"/>
  <c r="CQ15" i="11" s="1"/>
  <c r="CP5" i="11"/>
  <c r="AT31" i="30"/>
  <c r="AT24" i="30"/>
  <c r="AT17" i="30"/>
  <c r="AT10" i="30"/>
  <c r="AT3" i="30"/>
  <c r="CQ104" i="1"/>
  <c r="CQ98" i="1"/>
  <c r="CQ99" i="1" s="1"/>
  <c r="CQ78" i="1"/>
  <c r="CQ79" i="1" s="1"/>
  <c r="CQ8" i="1"/>
  <c r="BF65" i="28"/>
  <c r="BF64" i="28"/>
  <c r="BF63" i="28"/>
  <c r="BF62" i="28"/>
  <c r="BF61" i="28"/>
  <c r="BF56" i="28"/>
  <c r="BF28" i="28"/>
  <c r="BH85" i="27"/>
  <c r="BH87" i="27" s="1"/>
  <c r="BH88" i="27" s="1"/>
  <c r="BH78" i="27"/>
  <c r="CQ16" i="11" l="1"/>
  <c r="CQ33" i="11" s="1"/>
  <c r="CR47" i="1" s="1"/>
  <c r="CQ35" i="11"/>
  <c r="CR67" i="1" s="1"/>
  <c r="CQ14" i="11"/>
  <c r="CQ32" i="11"/>
  <c r="CR37" i="1" s="1"/>
  <c r="CP65" i="11"/>
  <c r="CP71" i="11" s="1"/>
  <c r="CQ58" i="1" s="1"/>
  <c r="CP72" i="11"/>
  <c r="CQ68" i="1" s="1"/>
  <c r="CP69" i="11"/>
  <c r="CQ38" i="1" s="1"/>
  <c r="CP68" i="11"/>
  <c r="CP70" i="11"/>
  <c r="CQ48" i="1" s="1"/>
  <c r="CP11" i="11"/>
  <c r="CQ81" i="1"/>
  <c r="BF66" i="28"/>
  <c r="BF71" i="28" s="1"/>
  <c r="BH48" i="27" s="1"/>
  <c r="BF11" i="28"/>
  <c r="BG6" i="27"/>
  <c r="CQ31" i="11" l="1"/>
  <c r="CQ20" i="11"/>
  <c r="BF73" i="28"/>
  <c r="BH68" i="27" s="1"/>
  <c r="CP73" i="11"/>
  <c r="CQ28" i="1"/>
  <c r="CQ17" i="1" s="1"/>
  <c r="BF72" i="28"/>
  <c r="BH58" i="27" s="1"/>
  <c r="BF70" i="28"/>
  <c r="BH38" i="27" s="1"/>
  <c r="BF69" i="28"/>
  <c r="BE10" i="28"/>
  <c r="BF19" i="28" s="1"/>
  <c r="BE9" i="28"/>
  <c r="BF18" i="28" s="1"/>
  <c r="BE8" i="28"/>
  <c r="BF17" i="28" s="1"/>
  <c r="BE7" i="28"/>
  <c r="BF16" i="28" s="1"/>
  <c r="BE6" i="28"/>
  <c r="BF15" i="28" s="1"/>
  <c r="BE5" i="28"/>
  <c r="BF14" i="28" s="1"/>
  <c r="BF33" i="28" l="1"/>
  <c r="BH47" i="27" s="1"/>
  <c r="BF35" i="28"/>
  <c r="BH67" i="27" s="1"/>
  <c r="BF34" i="28"/>
  <c r="BH57" i="27" s="1"/>
  <c r="BF32" i="28"/>
  <c r="BH37" i="27" s="1"/>
  <c r="CQ36" i="11"/>
  <c r="CR27" i="1"/>
  <c r="CR16" i="1" s="1"/>
  <c r="BF20" i="28"/>
  <c r="BF31" i="28"/>
  <c r="BF74" i="28"/>
  <c r="BH28" i="27"/>
  <c r="CD31" i="22"/>
  <c r="CD24" i="22"/>
  <c r="CD17" i="22"/>
  <c r="CD10" i="22"/>
  <c r="CD3" i="22"/>
  <c r="CO64" i="11"/>
  <c r="CO63" i="11"/>
  <c r="CO62" i="11"/>
  <c r="CO61" i="11"/>
  <c r="CO60" i="11"/>
  <c r="CO55" i="11"/>
  <c r="CO28" i="11"/>
  <c r="CO10" i="11"/>
  <c r="CP19" i="11" s="1"/>
  <c r="CO9" i="11"/>
  <c r="CP18" i="11" s="1"/>
  <c r="CP35" i="11" s="1"/>
  <c r="CQ67" i="1" s="1"/>
  <c r="CO8" i="11"/>
  <c r="CP17" i="11" s="1"/>
  <c r="CO7" i="11"/>
  <c r="CO6" i="11"/>
  <c r="CP15" i="11" s="1"/>
  <c r="CO5" i="11"/>
  <c r="CP104" i="1"/>
  <c r="CP98" i="1"/>
  <c r="CP99" i="1" s="1"/>
  <c r="CP78" i="1"/>
  <c r="CP79" i="1" s="1"/>
  <c r="CP8" i="1"/>
  <c r="AS31" i="30"/>
  <c r="AS24" i="30"/>
  <c r="AS17" i="30"/>
  <c r="AS10" i="30"/>
  <c r="AS3" i="30"/>
  <c r="BE65" i="28"/>
  <c r="BE64" i="28"/>
  <c r="BE63" i="28"/>
  <c r="BE62" i="28"/>
  <c r="BE61" i="28"/>
  <c r="BE56" i="28"/>
  <c r="BE28" i="28"/>
  <c r="BG85" i="27"/>
  <c r="BG87" i="27" s="1"/>
  <c r="BG88" i="27" s="1"/>
  <c r="BG78" i="27"/>
  <c r="BG8" i="27"/>
  <c r="CP34" i="11" l="1"/>
  <c r="CQ57" i="1" s="1"/>
  <c r="BF36" i="28"/>
  <c r="BH27" i="27"/>
  <c r="BH16" i="27" s="1"/>
  <c r="CO11" i="11"/>
  <c r="CP14" i="11"/>
  <c r="CP32" i="11"/>
  <c r="CQ37" i="1" s="1"/>
  <c r="CO65" i="11"/>
  <c r="CO69" i="11" s="1"/>
  <c r="CP38" i="1" s="1"/>
  <c r="CP16" i="11"/>
  <c r="CP33" i="11" s="1"/>
  <c r="CQ47" i="1" s="1"/>
  <c r="BH17" i="27"/>
  <c r="CO71" i="11"/>
  <c r="CP58" i="1" s="1"/>
  <c r="CO68" i="11"/>
  <c r="CO70" i="11"/>
  <c r="CP48" i="1" s="1"/>
  <c r="CP81" i="1"/>
  <c r="BE66" i="28"/>
  <c r="BE72" i="28" s="1"/>
  <c r="BG58" i="27" s="1"/>
  <c r="BE11" i="28"/>
  <c r="BF6" i="27"/>
  <c r="FQ6" i="29" s="1"/>
  <c r="FR6" i="29" s="1"/>
  <c r="CO72" i="11" l="1"/>
  <c r="CP68" i="1" s="1"/>
  <c r="BE69" i="28"/>
  <c r="CP31" i="11"/>
  <c r="CP20" i="11"/>
  <c r="BE73" i="28"/>
  <c r="BG68" i="27" s="1"/>
  <c r="CO73" i="11"/>
  <c r="CP28" i="1"/>
  <c r="BG28" i="27"/>
  <c r="BE71" i="28"/>
  <c r="BG48" i="27" s="1"/>
  <c r="BE70" i="28"/>
  <c r="BG38" i="27" s="1"/>
  <c r="BE85" i="27"/>
  <c r="BE87" i="27" s="1"/>
  <c r="CQ27" i="1" l="1"/>
  <c r="CQ16" i="1" s="1"/>
  <c r="CP36" i="11"/>
  <c r="CP17" i="1"/>
  <c r="BG17" i="27"/>
  <c r="BE74" i="28"/>
  <c r="BD10" i="28"/>
  <c r="BE19" i="28" s="1"/>
  <c r="BD9" i="28"/>
  <c r="BE18" i="28" s="1"/>
  <c r="BE35" i="28" s="1"/>
  <c r="BG67" i="27" s="1"/>
  <c r="BD8" i="28"/>
  <c r="BE17" i="28" s="1"/>
  <c r="BD7" i="28"/>
  <c r="BE16" i="28" s="1"/>
  <c r="BD6" i="28"/>
  <c r="BE15" i="28" s="1"/>
  <c r="BD5" i="28"/>
  <c r="BE14" i="28" s="1"/>
  <c r="BE34" i="28" l="1"/>
  <c r="BG57" i="27" s="1"/>
  <c r="BE32" i="28"/>
  <c r="BG37" i="27" s="1"/>
  <c r="BE33" i="28"/>
  <c r="BG47" i="27" s="1"/>
  <c r="BE31" i="28"/>
  <c r="BE20" i="28"/>
  <c r="BD28" i="28"/>
  <c r="BE36" i="28" l="1"/>
  <c r="BG27" i="27"/>
  <c r="BG16" i="27" s="1"/>
  <c r="BF8" i="27"/>
  <c r="CC31" i="22"/>
  <c r="CC24" i="22"/>
  <c r="CC17" i="22"/>
  <c r="CC10" i="22"/>
  <c r="CC3" i="22"/>
  <c r="CN64" i="11"/>
  <c r="CN63" i="11"/>
  <c r="CN62" i="11"/>
  <c r="CN61" i="11"/>
  <c r="CN60" i="11"/>
  <c r="CN55" i="11"/>
  <c r="CN28" i="11"/>
  <c r="CN10" i="11"/>
  <c r="CN9" i="11"/>
  <c r="CO18" i="11" s="1"/>
  <c r="CN8" i="11"/>
  <c r="CO17" i="11" s="1"/>
  <c r="CN7" i="11"/>
  <c r="CO16" i="11" s="1"/>
  <c r="CN6" i="11"/>
  <c r="CO15" i="11" s="1"/>
  <c r="CN5" i="11"/>
  <c r="AR31" i="30"/>
  <c r="AR24" i="30"/>
  <c r="AR17" i="30"/>
  <c r="AR10" i="30"/>
  <c r="AR3" i="30"/>
  <c r="BD65" i="28"/>
  <c r="BD64" i="28"/>
  <c r="BD63" i="28"/>
  <c r="BD62" i="28"/>
  <c r="BD61" i="28"/>
  <c r="BD56" i="28"/>
  <c r="CO104" i="1"/>
  <c r="CO98" i="1"/>
  <c r="CO99" i="1" s="1"/>
  <c r="CO78" i="1"/>
  <c r="CO79" i="1" s="1"/>
  <c r="CO8" i="1"/>
  <c r="BF85" i="27"/>
  <c r="BF88" i="27" s="1"/>
  <c r="BF78" i="27"/>
  <c r="CO19" i="11" l="1"/>
  <c r="CN11" i="11"/>
  <c r="CO14" i="11"/>
  <c r="CO32" i="11"/>
  <c r="CP37" i="1" s="1"/>
  <c r="CO33" i="11"/>
  <c r="CP47" i="1" s="1"/>
  <c r="CO34" i="11"/>
  <c r="CP57" i="1" s="1"/>
  <c r="CO35" i="11"/>
  <c r="CP67" i="1" s="1"/>
  <c r="CN65" i="11"/>
  <c r="CN70" i="11" s="1"/>
  <c r="CO48" i="1" s="1"/>
  <c r="BD66" i="28"/>
  <c r="BD11" i="28"/>
  <c r="CO81" i="1"/>
  <c r="CN69" i="11" l="1"/>
  <c r="CO38" i="1" s="1"/>
  <c r="CO31" i="11"/>
  <c r="CO20" i="11"/>
  <c r="CN72" i="11"/>
  <c r="CO68" i="1" s="1"/>
  <c r="CN71" i="11"/>
  <c r="CO58" i="1" s="1"/>
  <c r="CN68" i="11"/>
  <c r="BD73" i="28"/>
  <c r="BF68" i="27" s="1"/>
  <c r="BD70" i="28"/>
  <c r="BF38" i="27" s="1"/>
  <c r="BD71" i="28"/>
  <c r="BF48" i="27" s="1"/>
  <c r="BD69" i="28"/>
  <c r="BD72" i="28"/>
  <c r="BF58" i="27" s="1"/>
  <c r="BC10" i="28"/>
  <c r="BD19" i="28" s="1"/>
  <c r="BC9" i="28"/>
  <c r="BD18" i="28" s="1"/>
  <c r="BC8" i="28"/>
  <c r="BD17" i="28" s="1"/>
  <c r="BC7" i="28"/>
  <c r="BD16" i="28" s="1"/>
  <c r="BC6" i="28"/>
  <c r="BD15" i="28" s="1"/>
  <c r="BC5" i="28"/>
  <c r="BD14" i="28" s="1"/>
  <c r="BD35" i="28" l="1"/>
  <c r="BF67" i="27" s="1"/>
  <c r="BD32" i="28"/>
  <c r="BF37" i="27" s="1"/>
  <c r="BD33" i="28"/>
  <c r="BF47" i="27" s="1"/>
  <c r="BD34" i="28"/>
  <c r="BF57" i="27" s="1"/>
  <c r="BD31" i="28"/>
  <c r="BD20" i="28"/>
  <c r="CO36" i="11"/>
  <c r="CP27" i="1"/>
  <c r="CP16" i="1" s="1"/>
  <c r="CN73" i="11"/>
  <c r="CO28" i="1"/>
  <c r="BD74" i="28"/>
  <c r="BF28" i="27"/>
  <c r="BE6" i="27"/>
  <c r="BF27" i="27" l="1"/>
  <c r="BF16" i="27" s="1"/>
  <c r="BD36" i="28"/>
  <c r="CO17" i="1"/>
  <c r="BF17" i="27"/>
  <c r="CB31" i="22"/>
  <c r="CB24" i="22"/>
  <c r="CB17" i="22"/>
  <c r="CB10" i="22"/>
  <c r="CB3" i="22"/>
  <c r="CM64" i="11"/>
  <c r="CM63" i="11"/>
  <c r="CM62" i="11"/>
  <c r="CM61" i="11"/>
  <c r="CM60" i="11"/>
  <c r="CM55" i="11"/>
  <c r="CM28" i="11"/>
  <c r="CM10" i="11"/>
  <c r="CN19" i="11" s="1"/>
  <c r="CM9" i="11"/>
  <c r="CM8" i="11"/>
  <c r="CN17" i="11" s="1"/>
  <c r="CM7" i="11"/>
  <c r="CN16" i="11" s="1"/>
  <c r="CN33" i="11" s="1"/>
  <c r="CO47" i="1" s="1"/>
  <c r="CM6" i="11"/>
  <c r="CN15" i="11" s="1"/>
  <c r="CN32" i="11" s="1"/>
  <c r="CO37" i="1" s="1"/>
  <c r="CM5" i="11"/>
  <c r="CN104" i="1"/>
  <c r="CN98" i="1"/>
  <c r="CN99" i="1" s="1"/>
  <c r="CN78" i="1"/>
  <c r="CN79" i="1" s="1"/>
  <c r="CN8" i="1"/>
  <c r="AQ31" i="30"/>
  <c r="AQ24" i="30"/>
  <c r="AQ17" i="30"/>
  <c r="AQ10" i="30"/>
  <c r="AQ3" i="30"/>
  <c r="BC65" i="28"/>
  <c r="BC64" i="28"/>
  <c r="BC63" i="28"/>
  <c r="BC62" i="28"/>
  <c r="BC61" i="28"/>
  <c r="BC56" i="28"/>
  <c r="BC28" i="28"/>
  <c r="BC11" i="28"/>
  <c r="BE88" i="27"/>
  <c r="BE78" i="27"/>
  <c r="BE8" i="27"/>
  <c r="CN34" i="11" l="1"/>
  <c r="CO57" i="1" s="1"/>
  <c r="CN14" i="11"/>
  <c r="CN18" i="11"/>
  <c r="CN35" i="11" s="1"/>
  <c r="CO67" i="1" s="1"/>
  <c r="CM65" i="11"/>
  <c r="CM70" i="11" s="1"/>
  <c r="CN48" i="1" s="1"/>
  <c r="CN81" i="1"/>
  <c r="CM68" i="11"/>
  <c r="CM11" i="11"/>
  <c r="BC66" i="28"/>
  <c r="BC71" i="28" s="1"/>
  <c r="BE48" i="27" s="1"/>
  <c r="BB10" i="28"/>
  <c r="BC19" i="28" s="1"/>
  <c r="BB9" i="28"/>
  <c r="BC18" i="28" s="1"/>
  <c r="BC35" i="28" s="1"/>
  <c r="BE67" i="27" s="1"/>
  <c r="BB8" i="28"/>
  <c r="BC17" i="28" s="1"/>
  <c r="BC34" i="28" s="1"/>
  <c r="BE57" i="27" s="1"/>
  <c r="BB7" i="28"/>
  <c r="BC16" i="28" s="1"/>
  <c r="BB6" i="28"/>
  <c r="BC15" i="28" s="1"/>
  <c r="BB5" i="28"/>
  <c r="BC14" i="28" s="1"/>
  <c r="CM69" i="11" l="1"/>
  <c r="CN38" i="1" s="1"/>
  <c r="CM72" i="11"/>
  <c r="CN68" i="1" s="1"/>
  <c r="BC31" i="28"/>
  <c r="BE27" i="27" s="1"/>
  <c r="BC32" i="28"/>
  <c r="BE37" i="27" s="1"/>
  <c r="BC33" i="28"/>
  <c r="BE47" i="27" s="1"/>
  <c r="BE16" i="27" s="1"/>
  <c r="BC20" i="28"/>
  <c r="CN20" i="11"/>
  <c r="CN31" i="11"/>
  <c r="CM71" i="11"/>
  <c r="CN58" i="1" s="1"/>
  <c r="CN28" i="1"/>
  <c r="BC73" i="28"/>
  <c r="BE68" i="27" s="1"/>
  <c r="BC72" i="28"/>
  <c r="BE58" i="27" s="1"/>
  <c r="BC69" i="28"/>
  <c r="BC70" i="28"/>
  <c r="BE38" i="27" s="1"/>
  <c r="BD6" i="27"/>
  <c r="CM73" i="11" l="1"/>
  <c r="BC36" i="28"/>
  <c r="CN36" i="11"/>
  <c r="CO27" i="1"/>
  <c r="CO16" i="1" s="1"/>
  <c r="CN17" i="1"/>
  <c r="BE28" i="27"/>
  <c r="BC74" i="28"/>
  <c r="CA31" i="22"/>
  <c r="CA24" i="22"/>
  <c r="CA17" i="22"/>
  <c r="CA10" i="22"/>
  <c r="CA3" i="22"/>
  <c r="CL64" i="11"/>
  <c r="CL63" i="11"/>
  <c r="CL62" i="11"/>
  <c r="CL61" i="11"/>
  <c r="CL60" i="11"/>
  <c r="CL55" i="11"/>
  <c r="CL28" i="11"/>
  <c r="CL10" i="11"/>
  <c r="CM19" i="11" s="1"/>
  <c r="CL9" i="11"/>
  <c r="CM18" i="11" s="1"/>
  <c r="CL8" i="11"/>
  <c r="CL7" i="11"/>
  <c r="CL6" i="11"/>
  <c r="CM15" i="11" s="1"/>
  <c r="CL5" i="11"/>
  <c r="AP31" i="30"/>
  <c r="AP24" i="30"/>
  <c r="AP17" i="30"/>
  <c r="AP10" i="30"/>
  <c r="AP3" i="30"/>
  <c r="BB65" i="28"/>
  <c r="BB64" i="28"/>
  <c r="BB63" i="28"/>
  <c r="BB62" i="28"/>
  <c r="BB61" i="28"/>
  <c r="BB56" i="28"/>
  <c r="BB28" i="28"/>
  <c r="CM104" i="1"/>
  <c r="CM98" i="1"/>
  <c r="CM99" i="1" s="1"/>
  <c r="CM78" i="1"/>
  <c r="CM79" i="1" s="1"/>
  <c r="CM81" i="1" s="1"/>
  <c r="CM8" i="1"/>
  <c r="CM35" i="11" l="1"/>
  <c r="CN67" i="1" s="1"/>
  <c r="CM17" i="11"/>
  <c r="CM34" i="11" s="1"/>
  <c r="CN57" i="1" s="1"/>
  <c r="CM14" i="11"/>
  <c r="CM32" i="11"/>
  <c r="CN37" i="1" s="1"/>
  <c r="CM16" i="11"/>
  <c r="CM33" i="11" s="1"/>
  <c r="CN47" i="1" s="1"/>
  <c r="BE17" i="27"/>
  <c r="BB66" i="28"/>
  <c r="BB70" i="28" s="1"/>
  <c r="BB71" i="28"/>
  <c r="BB72" i="28"/>
  <c r="CL65" i="11"/>
  <c r="CL72" i="11" s="1"/>
  <c r="CM68" i="1" s="1"/>
  <c r="CL11" i="11"/>
  <c r="BB11" i="28"/>
  <c r="BB73" i="28" l="1"/>
  <c r="BB69" i="28"/>
  <c r="BB74" i="28" s="1"/>
  <c r="CM31" i="11"/>
  <c r="CM20" i="11"/>
  <c r="CL70" i="11"/>
  <c r="CM48" i="1" s="1"/>
  <c r="CL69" i="11"/>
  <c r="CM38" i="1" s="1"/>
  <c r="CL68" i="11"/>
  <c r="CL71" i="11"/>
  <c r="CM58" i="1" s="1"/>
  <c r="CM36" i="11" l="1"/>
  <c r="CN27" i="1"/>
  <c r="CN16" i="1" s="1"/>
  <c r="CL73" i="11"/>
  <c r="CM28" i="1"/>
  <c r="CM17" i="1" l="1"/>
  <c r="BD85" i="27"/>
  <c r="BD78" i="27"/>
  <c r="BD68" i="27"/>
  <c r="BD58" i="27"/>
  <c r="BD48" i="27"/>
  <c r="BD38" i="27"/>
  <c r="BD28" i="27"/>
  <c r="BD8" i="27"/>
  <c r="BD87" i="27" l="1"/>
  <c r="BD88" i="27" s="1"/>
  <c r="BD17" i="27"/>
  <c r="BA10" i="28"/>
  <c r="BB19" i="28" s="1"/>
  <c r="BA9" i="28"/>
  <c r="BB18" i="28" s="1"/>
  <c r="BA8" i="28"/>
  <c r="BB17" i="28" s="1"/>
  <c r="BB34" i="28" s="1"/>
  <c r="BD57" i="27" s="1"/>
  <c r="BA7" i="28"/>
  <c r="BB16" i="28" s="1"/>
  <c r="BB33" i="28" s="1"/>
  <c r="BD47" i="27" s="1"/>
  <c r="BA6" i="28"/>
  <c r="BB15" i="28" s="1"/>
  <c r="BB32" i="28" s="1"/>
  <c r="BD37" i="27" s="1"/>
  <c r="BA5" i="28"/>
  <c r="BB14" i="28" s="1"/>
  <c r="BB35" i="28" l="1"/>
  <c r="BD67" i="27" s="1"/>
  <c r="BB31" i="28"/>
  <c r="BB20" i="28"/>
  <c r="BC6" i="27"/>
  <c r="BB36" i="28" l="1"/>
  <c r="BD27" i="27"/>
  <c r="BD16" i="27" s="1"/>
  <c r="BZ31" i="22"/>
  <c r="BZ24" i="22"/>
  <c r="BZ17" i="22"/>
  <c r="BZ10" i="22"/>
  <c r="BZ3" i="22"/>
  <c r="CK64" i="11"/>
  <c r="CK63" i="11"/>
  <c r="CK62" i="11"/>
  <c r="CK61" i="11"/>
  <c r="CK60" i="11"/>
  <c r="CK55" i="11"/>
  <c r="CK28" i="11"/>
  <c r="CK10" i="11"/>
  <c r="CL19" i="11" s="1"/>
  <c r="CK9" i="11"/>
  <c r="CK8" i="11"/>
  <c r="CL17" i="11" s="1"/>
  <c r="CK7" i="11"/>
  <c r="CL16" i="11" s="1"/>
  <c r="CK6" i="11"/>
  <c r="CL15" i="11" s="1"/>
  <c r="CK5" i="11"/>
  <c r="CL104" i="1"/>
  <c r="CL98" i="1"/>
  <c r="CL99" i="1" s="1"/>
  <c r="CL78" i="1"/>
  <c r="CL79" i="1" s="1"/>
  <c r="CL8" i="1"/>
  <c r="BC8" i="27"/>
  <c r="AO31" i="30"/>
  <c r="AO24" i="30"/>
  <c r="AO17" i="30"/>
  <c r="AO10" i="30"/>
  <c r="AO3" i="30"/>
  <c r="BA65" i="28"/>
  <c r="BA64" i="28"/>
  <c r="BA63" i="28"/>
  <c r="BA62" i="28"/>
  <c r="BA61" i="28"/>
  <c r="BA56" i="28"/>
  <c r="BA28" i="28"/>
  <c r="BC85" i="27"/>
  <c r="BC87" i="27" s="1"/>
  <c r="BC78" i="27"/>
  <c r="CL34" i="11" l="1"/>
  <c r="CM57" i="1" s="1"/>
  <c r="CL18" i="11"/>
  <c r="CL35" i="11" s="1"/>
  <c r="CM67" i="1" s="1"/>
  <c r="CL14" i="11"/>
  <c r="CL32" i="11"/>
  <c r="CM37" i="1" s="1"/>
  <c r="CL33" i="11"/>
  <c r="CM47" i="1" s="1"/>
  <c r="CK65" i="11"/>
  <c r="CK71" i="11" s="1"/>
  <c r="CL58" i="1" s="1"/>
  <c r="CK11" i="11"/>
  <c r="CL81" i="1"/>
  <c r="BA66" i="28"/>
  <c r="BA11" i="28"/>
  <c r="BC88" i="27"/>
  <c r="CK70" i="11" l="1"/>
  <c r="CL48" i="1" s="1"/>
  <c r="CL31" i="11"/>
  <c r="CL20" i="11"/>
  <c r="CK69" i="11"/>
  <c r="CL38" i="1" s="1"/>
  <c r="CK68" i="11"/>
  <c r="CK72" i="11"/>
  <c r="CL68" i="1" s="1"/>
  <c r="BA70" i="28"/>
  <c r="BC38" i="27" s="1"/>
  <c r="BA69" i="28"/>
  <c r="BA73" i="28"/>
  <c r="BC68" i="27" s="1"/>
  <c r="BA71" i="28"/>
  <c r="BC48" i="27" s="1"/>
  <c r="BA72" i="28"/>
  <c r="BC58" i="27" s="1"/>
  <c r="AZ10" i="28"/>
  <c r="BA19" i="28" s="1"/>
  <c r="AZ9" i="28"/>
  <c r="BA18" i="28" s="1"/>
  <c r="AZ8" i="28"/>
  <c r="BA17" i="28" s="1"/>
  <c r="AZ7" i="28"/>
  <c r="BA16" i="28" s="1"/>
  <c r="AZ6" i="28"/>
  <c r="BA15" i="28" s="1"/>
  <c r="AZ5" i="28"/>
  <c r="BA14" i="28" s="1"/>
  <c r="BA32" i="28" l="1"/>
  <c r="BC37" i="27" s="1"/>
  <c r="BA31" i="28"/>
  <c r="BA33" i="28"/>
  <c r="BC47" i="27" s="1"/>
  <c r="BA34" i="28"/>
  <c r="BC57" i="27" s="1"/>
  <c r="BA35" i="28"/>
  <c r="BC67" i="27" s="1"/>
  <c r="BA20" i="28"/>
  <c r="CL36" i="11"/>
  <c r="CM27" i="1"/>
  <c r="CM16" i="1" s="1"/>
  <c r="BC27" i="27"/>
  <c r="CL28" i="1"/>
  <c r="CK73" i="11"/>
  <c r="BA74" i="28"/>
  <c r="BC28" i="27"/>
  <c r="BB6" i="27"/>
  <c r="BC16" i="27" l="1"/>
  <c r="BA36" i="28"/>
  <c r="CL17" i="1"/>
  <c r="BC17" i="27"/>
  <c r="EP6" i="29"/>
  <c r="FE6" i="29"/>
  <c r="ER6" i="29"/>
  <c r="EZ6" i="29"/>
  <c r="EK6" i="29"/>
  <c r="EF6" i="29"/>
  <c r="EE6" i="29"/>
  <c r="ED6" i="29"/>
  <c r="CJ64" i="11" l="1"/>
  <c r="CJ63" i="11"/>
  <c r="CJ62" i="11"/>
  <c r="CJ61" i="11"/>
  <c r="CJ60" i="11"/>
  <c r="CJ55" i="11"/>
  <c r="CJ28" i="11"/>
  <c r="CJ10" i="11"/>
  <c r="CJ9" i="11"/>
  <c r="CJ8" i="11"/>
  <c r="CJ7" i="11"/>
  <c r="CK16" i="11" s="1"/>
  <c r="CJ6" i="11"/>
  <c r="CK15" i="11" s="1"/>
  <c r="CJ5" i="11"/>
  <c r="CK104" i="1"/>
  <c r="CK98" i="1"/>
  <c r="CK99" i="1" s="1"/>
  <c r="CK78" i="1"/>
  <c r="CK79" i="1" s="1"/>
  <c r="CK8" i="1"/>
  <c r="AZ65" i="28"/>
  <c r="AZ64" i="28"/>
  <c r="AZ63" i="28"/>
  <c r="AZ62" i="28"/>
  <c r="AZ61" i="28"/>
  <c r="AZ56" i="28"/>
  <c r="AZ28" i="28"/>
  <c r="BB85" i="27"/>
  <c r="BB87" i="27" s="1"/>
  <c r="BB78" i="27"/>
  <c r="BB8" i="27"/>
  <c r="CK17" i="11" l="1"/>
  <c r="CK18" i="11"/>
  <c r="CK19" i="11"/>
  <c r="CK32" i="11" s="1"/>
  <c r="CL37" i="1" s="1"/>
  <c r="BB88" i="27"/>
  <c r="CK14" i="11"/>
  <c r="CJ65" i="11"/>
  <c r="CJ71" i="11" s="1"/>
  <c r="CK58" i="1" s="1"/>
  <c r="CJ11" i="11"/>
  <c r="CK81" i="1"/>
  <c r="AZ66" i="28"/>
  <c r="AZ69" i="28" s="1"/>
  <c r="AZ11" i="28"/>
  <c r="AY10" i="28"/>
  <c r="AZ19" i="28" s="1"/>
  <c r="AY9" i="28"/>
  <c r="AZ18" i="28" s="1"/>
  <c r="AZ35" i="28" s="1"/>
  <c r="BB67" i="27" s="1"/>
  <c r="AY8" i="28"/>
  <c r="AZ17" i="28" s="1"/>
  <c r="AZ34" i="28" s="1"/>
  <c r="BB57" i="27" s="1"/>
  <c r="AY7" i="28"/>
  <c r="AZ16" i="28" s="1"/>
  <c r="AY6" i="28"/>
  <c r="AZ15" i="28" s="1"/>
  <c r="AY5" i="28"/>
  <c r="AZ14" i="28" s="1"/>
  <c r="CK33" i="11" l="1"/>
  <c r="CL47" i="1" s="1"/>
  <c r="CJ68" i="11"/>
  <c r="AZ32" i="28"/>
  <c r="BB37" i="27" s="1"/>
  <c r="AZ31" i="28"/>
  <c r="BB27" i="27" s="1"/>
  <c r="AZ33" i="28"/>
  <c r="BB47" i="27" s="1"/>
  <c r="BB16" i="27" s="1"/>
  <c r="AZ20" i="28"/>
  <c r="CK35" i="11"/>
  <c r="CL67" i="1" s="1"/>
  <c r="CK20" i="11"/>
  <c r="CK31" i="11"/>
  <c r="CK34" i="11"/>
  <c r="CL57" i="1" s="1"/>
  <c r="CJ69" i="11"/>
  <c r="CK38" i="1" s="1"/>
  <c r="CJ72" i="11"/>
  <c r="CK68" i="1" s="1"/>
  <c r="CJ70" i="11"/>
  <c r="CK48" i="1" s="1"/>
  <c r="CK28" i="1"/>
  <c r="BB28" i="27"/>
  <c r="AZ71" i="28"/>
  <c r="BB48" i="27" s="1"/>
  <c r="AZ73" i="28"/>
  <c r="BB68" i="27" s="1"/>
  <c r="AZ70" i="28"/>
  <c r="BB38" i="27" s="1"/>
  <c r="AZ72" i="28"/>
  <c r="BB58" i="27" s="1"/>
  <c r="BA6" i="27"/>
  <c r="AZ36" i="28" l="1"/>
  <c r="CK36" i="11"/>
  <c r="CL27" i="1"/>
  <c r="CL16" i="1" s="1"/>
  <c r="CK17" i="1"/>
  <c r="CJ73" i="11"/>
  <c r="BB17" i="27"/>
  <c r="AZ74" i="28"/>
  <c r="BA85" i="27"/>
  <c r="AN31" i="30" l="1"/>
  <c r="AN24" i="30"/>
  <c r="AN25" i="30" s="1"/>
  <c r="AN17" i="30"/>
  <c r="AN10" i="30"/>
  <c r="AN3" i="30"/>
  <c r="BY31" i="22"/>
  <c r="BY24" i="22"/>
  <c r="BY25" i="22" s="1"/>
  <c r="BZ25" i="22" s="1"/>
  <c r="BY17" i="22"/>
  <c r="BY10" i="22"/>
  <c r="BY3" i="22"/>
  <c r="BX31" i="22"/>
  <c r="BX24" i="22"/>
  <c r="BX17" i="22"/>
  <c r="BX10" i="22"/>
  <c r="BX3" i="22"/>
  <c r="CI64" i="11"/>
  <c r="CI63" i="11"/>
  <c r="CI62" i="11"/>
  <c r="CI61" i="11"/>
  <c r="CI60" i="11"/>
  <c r="CI55" i="11"/>
  <c r="CI28" i="11"/>
  <c r="CI10" i="11"/>
  <c r="CJ19" i="11" s="1"/>
  <c r="CI9" i="11"/>
  <c r="CI8" i="11"/>
  <c r="CJ17" i="11" s="1"/>
  <c r="CI7" i="11"/>
  <c r="CJ16" i="11" s="1"/>
  <c r="CI6" i="11"/>
  <c r="CJ15" i="11" s="1"/>
  <c r="CI5" i="11"/>
  <c r="CJ14" i="11" s="1"/>
  <c r="CJ104" i="1"/>
  <c r="CJ98" i="1"/>
  <c r="CJ99" i="1" s="1"/>
  <c r="CJ78" i="1"/>
  <c r="CJ79" i="1" s="1"/>
  <c r="CJ8" i="1"/>
  <c r="AM31" i="30"/>
  <c r="AM24" i="30"/>
  <c r="AM17" i="30"/>
  <c r="AM10" i="30"/>
  <c r="AM3" i="30"/>
  <c r="AY65" i="28"/>
  <c r="AY64" i="28"/>
  <c r="AY63" i="28"/>
  <c r="AY62" i="28"/>
  <c r="AY61" i="28"/>
  <c r="AY56" i="28"/>
  <c r="AY28" i="28"/>
  <c r="AY11" i="28"/>
  <c r="CJ33" i="11" l="1"/>
  <c r="CK47" i="1" s="1"/>
  <c r="CJ34" i="11"/>
  <c r="CK57" i="1" s="1"/>
  <c r="CJ18" i="11"/>
  <c r="CJ35" i="11" s="1"/>
  <c r="CK67" i="1" s="1"/>
  <c r="CI11" i="11"/>
  <c r="CA25" i="22"/>
  <c r="CJ31" i="11"/>
  <c r="AN26" i="30"/>
  <c r="AN27" i="30" s="1"/>
  <c r="AN28" i="30" s="1"/>
  <c r="AN29" i="30" s="1"/>
  <c r="BB59" i="27" s="1"/>
  <c r="BB60" i="27" s="1"/>
  <c r="BB61" i="27" s="1"/>
  <c r="AO25" i="30"/>
  <c r="CJ32" i="11"/>
  <c r="CK37" i="1" s="1"/>
  <c r="BY26" i="22"/>
  <c r="BY12" i="22"/>
  <c r="BZ12" i="22" s="1"/>
  <c r="CA12" i="22" s="1"/>
  <c r="BY32" i="22"/>
  <c r="BZ32" i="22" s="1"/>
  <c r="BY4" i="22"/>
  <c r="BZ4" i="22" s="1"/>
  <c r="AN4" i="30"/>
  <c r="AN32" i="30"/>
  <c r="AM20" i="30"/>
  <c r="AM21" i="30" s="1"/>
  <c r="AM22" i="30" s="1"/>
  <c r="AN18" i="30"/>
  <c r="AN11" i="30"/>
  <c r="BY18" i="22"/>
  <c r="BZ18" i="22" s="1"/>
  <c r="BY19" i="22"/>
  <c r="BZ19" i="22" s="1"/>
  <c r="BY11" i="22"/>
  <c r="BZ11" i="22" s="1"/>
  <c r="BY5" i="22"/>
  <c r="BZ5" i="22" s="1"/>
  <c r="BY33" i="22"/>
  <c r="BZ33" i="22" s="1"/>
  <c r="CA33" i="22" s="1"/>
  <c r="BX13" i="22"/>
  <c r="BX14" i="22" s="1"/>
  <c r="BX15" i="22" s="1"/>
  <c r="BX20" i="22"/>
  <c r="BX21" i="22" s="1"/>
  <c r="BX22" i="22" s="1"/>
  <c r="BX6" i="22"/>
  <c r="BX7" i="22" s="1"/>
  <c r="BX8" i="22" s="1"/>
  <c r="BX27" i="22"/>
  <c r="BX34" i="22"/>
  <c r="CI65" i="11"/>
  <c r="CI69" i="11" s="1"/>
  <c r="CJ38" i="1" s="1"/>
  <c r="CJ81" i="1"/>
  <c r="AM27" i="30"/>
  <c r="AM28" i="30" s="1"/>
  <c r="AM29" i="30" s="1"/>
  <c r="AY66" i="28"/>
  <c r="CA19" i="22" l="1"/>
  <c r="BY27" i="22"/>
  <c r="BZ26" i="22"/>
  <c r="AN12" i="30"/>
  <c r="AN13" i="30" s="1"/>
  <c r="AN14" i="30" s="1"/>
  <c r="AN15" i="30" s="1"/>
  <c r="BB39" i="27" s="1"/>
  <c r="BB40" i="27" s="1"/>
  <c r="BB41" i="27" s="1"/>
  <c r="AO11" i="30"/>
  <c r="AN33" i="30"/>
  <c r="AO32" i="30"/>
  <c r="CB25" i="22"/>
  <c r="CC25" i="22" s="1"/>
  <c r="AN5" i="30"/>
  <c r="AO4" i="30"/>
  <c r="AO26" i="30"/>
  <c r="AO27" i="30" s="1"/>
  <c r="AO28" i="30" s="1"/>
  <c r="AO29" i="30" s="1"/>
  <c r="BC59" i="27" s="1"/>
  <c r="BC60" i="27" s="1"/>
  <c r="BC61" i="27" s="1"/>
  <c r="AP25" i="30"/>
  <c r="CB33" i="22"/>
  <c r="CA5" i="22"/>
  <c r="BZ6" i="22"/>
  <c r="BZ7" i="22" s="1"/>
  <c r="BZ8" i="22" s="1"/>
  <c r="CL29" i="1" s="1"/>
  <c r="CL30" i="1" s="1"/>
  <c r="CL31" i="1" s="1"/>
  <c r="CA4" i="22"/>
  <c r="CA11" i="22"/>
  <c r="CB11" i="22" s="1"/>
  <c r="BZ13" i="22"/>
  <c r="BZ14" i="22" s="1"/>
  <c r="BZ15" i="22" s="1"/>
  <c r="CL39" i="1" s="1"/>
  <c r="CL40" i="1" s="1"/>
  <c r="CL41" i="1" s="1"/>
  <c r="CA32" i="22"/>
  <c r="BZ34" i="22"/>
  <c r="BZ35" i="22" s="1"/>
  <c r="BZ36" i="22" s="1"/>
  <c r="CL69" i="1" s="1"/>
  <c r="CJ20" i="11"/>
  <c r="CA18" i="22"/>
  <c r="BZ20" i="22"/>
  <c r="BZ21" i="22" s="1"/>
  <c r="BZ22" i="22" s="1"/>
  <c r="CL49" i="1" s="1"/>
  <c r="CL50" i="1" s="1"/>
  <c r="CL51" i="1" s="1"/>
  <c r="AN19" i="30"/>
  <c r="AN20" i="30" s="1"/>
  <c r="AN21" i="30" s="1"/>
  <c r="AN22" i="30" s="1"/>
  <c r="BB49" i="27" s="1"/>
  <c r="BB50" i="27" s="1"/>
  <c r="BB51" i="27" s="1"/>
  <c r="AO18" i="30"/>
  <c r="BY28" i="22"/>
  <c r="BY29" i="22" s="1"/>
  <c r="CK59" i="1" s="1"/>
  <c r="CK60" i="1" s="1"/>
  <c r="CK61" i="1" s="1"/>
  <c r="CB12" i="22"/>
  <c r="CC12" i="22" s="1"/>
  <c r="CD12" i="22" s="1"/>
  <c r="CE12" i="22" s="1"/>
  <c r="CF12" i="22" s="1"/>
  <c r="CG12" i="22" s="1"/>
  <c r="CH12" i="22" s="1"/>
  <c r="CI12" i="22" s="1"/>
  <c r="CJ36" i="11"/>
  <c r="CK27" i="1"/>
  <c r="CK16" i="1" s="1"/>
  <c r="BY13" i="22"/>
  <c r="BY14" i="22" s="1"/>
  <c r="BY15" i="22" s="1"/>
  <c r="CK39" i="1" s="1"/>
  <c r="CK40" i="1" s="1"/>
  <c r="CK41" i="1" s="1"/>
  <c r="BY6" i="22"/>
  <c r="BY7" i="22" s="1"/>
  <c r="BY8" i="22" s="1"/>
  <c r="CK29" i="1" s="1"/>
  <c r="CK30" i="1" s="1"/>
  <c r="BY34" i="22"/>
  <c r="BY20" i="22"/>
  <c r="BY21" i="22" s="1"/>
  <c r="BY22" i="22" s="1"/>
  <c r="CK49" i="1" s="1"/>
  <c r="CK50" i="1" s="1"/>
  <c r="CK51" i="1" s="1"/>
  <c r="AN6" i="30"/>
  <c r="AN7" i="30" s="1"/>
  <c r="AN8" i="30" s="1"/>
  <c r="BB29" i="27" s="1"/>
  <c r="BB30" i="27" s="1"/>
  <c r="BB31" i="27" s="1"/>
  <c r="BY35" i="22"/>
  <c r="BY36" i="22" s="1"/>
  <c r="CK69" i="1" s="1"/>
  <c r="AN34" i="30"/>
  <c r="AN35" i="30" s="1"/>
  <c r="AN36" i="30" s="1"/>
  <c r="BB69" i="27" s="1"/>
  <c r="BX35" i="22"/>
  <c r="BX36" i="22" s="1"/>
  <c r="BX28" i="22"/>
  <c r="BX29" i="22" s="1"/>
  <c r="CJ39" i="1"/>
  <c r="CJ40" i="1" s="1"/>
  <c r="CI70" i="11"/>
  <c r="CJ48" i="1" s="1"/>
  <c r="CJ49" i="1" s="1"/>
  <c r="CJ50" i="1" s="1"/>
  <c r="CI72" i="11"/>
  <c r="CJ68" i="1" s="1"/>
  <c r="CI71" i="11"/>
  <c r="CJ58" i="1" s="1"/>
  <c r="CI68" i="11"/>
  <c r="AM34" i="30"/>
  <c r="AM35" i="30" s="1"/>
  <c r="AM36" i="30" s="1"/>
  <c r="AM6" i="30"/>
  <c r="AM7" i="30" s="1"/>
  <c r="AM8" i="30" s="1"/>
  <c r="AM13" i="30"/>
  <c r="AM14" i="30" s="1"/>
  <c r="AM15" i="30" s="1"/>
  <c r="AY72" i="28"/>
  <c r="AY73" i="28"/>
  <c r="AY71" i="28"/>
  <c r="AY70" i="28"/>
  <c r="AY69" i="28"/>
  <c r="CK31" i="1" l="1"/>
  <c r="AO19" i="30"/>
  <c r="AP18" i="30"/>
  <c r="AO20" i="30"/>
  <c r="AO21" i="30" s="1"/>
  <c r="AO22" i="30" s="1"/>
  <c r="BC49" i="27" s="1"/>
  <c r="BC50" i="27" s="1"/>
  <c r="BC51" i="27" s="1"/>
  <c r="CB13" i="22"/>
  <c r="CB14" i="22" s="1"/>
  <c r="CB15" i="22" s="1"/>
  <c r="CN39" i="1" s="1"/>
  <c r="CN40" i="1" s="1"/>
  <c r="CN41" i="1" s="1"/>
  <c r="CC11" i="22"/>
  <c r="AP32" i="30"/>
  <c r="AO33" i="30"/>
  <c r="AO34" i="30" s="1"/>
  <c r="AO35" i="30" s="1"/>
  <c r="AO36" i="30" s="1"/>
  <c r="BC69" i="27" s="1"/>
  <c r="CA6" i="22"/>
  <c r="CB4" i="22"/>
  <c r="AQ25" i="30"/>
  <c r="AP26" i="30"/>
  <c r="AO12" i="30"/>
  <c r="AP11" i="30"/>
  <c r="AO13" i="30"/>
  <c r="AO14" i="30" s="1"/>
  <c r="AO15" i="30" s="1"/>
  <c r="BC39" i="27" s="1"/>
  <c r="BC40" i="27" s="1"/>
  <c r="BC41" i="27" s="1"/>
  <c r="CA20" i="22"/>
  <c r="CB18" i="22"/>
  <c r="AP4" i="30"/>
  <c r="AO5" i="30"/>
  <c r="AO6" i="30" s="1"/>
  <c r="AO7" i="30" s="1"/>
  <c r="AO8" i="30" s="1"/>
  <c r="BC29" i="27" s="1"/>
  <c r="BC30" i="27" s="1"/>
  <c r="BC31" i="27" s="1"/>
  <c r="CA26" i="22"/>
  <c r="BZ27" i="22"/>
  <c r="BZ28" i="22" s="1"/>
  <c r="BZ29" i="22" s="1"/>
  <c r="CL59" i="1" s="1"/>
  <c r="CL60" i="1" s="1"/>
  <c r="CL61" i="1" s="1"/>
  <c r="CL70" i="1"/>
  <c r="CB5" i="22"/>
  <c r="CC5" i="22" s="1"/>
  <c r="CA7" i="22"/>
  <c r="CA8" i="22" s="1"/>
  <c r="CM29" i="1" s="1"/>
  <c r="CM30" i="1" s="1"/>
  <c r="CM31" i="1" s="1"/>
  <c r="CA13" i="22"/>
  <c r="CA14" i="22" s="1"/>
  <c r="CA15" i="22" s="1"/>
  <c r="CM39" i="1" s="1"/>
  <c r="CM40" i="1" s="1"/>
  <c r="CM41" i="1" s="1"/>
  <c r="CA34" i="22"/>
  <c r="CA35" i="22" s="1"/>
  <c r="CA36" i="22" s="1"/>
  <c r="CM69" i="1" s="1"/>
  <c r="CB32" i="22"/>
  <c r="CD25" i="22"/>
  <c r="CC33" i="22"/>
  <c r="CD33" i="22" s="1"/>
  <c r="CE33" i="22" s="1"/>
  <c r="CF33" i="22" s="1"/>
  <c r="CG33" i="22" s="1"/>
  <c r="CH33" i="22" s="1"/>
  <c r="CI33" i="22" s="1"/>
  <c r="CB19" i="22"/>
  <c r="CC19" i="22" s="1"/>
  <c r="CA21" i="22"/>
  <c r="CA22" i="22" s="1"/>
  <c r="CM49" i="1" s="1"/>
  <c r="CM50" i="1" s="1"/>
  <c r="CM51" i="1" s="1"/>
  <c r="CK18" i="1"/>
  <c r="CK70" i="1"/>
  <c r="BB70" i="27"/>
  <c r="BB18" i="27"/>
  <c r="CJ59" i="1"/>
  <c r="CJ60" i="1" s="1"/>
  <c r="CJ28" i="1"/>
  <c r="CJ29" i="1" s="1"/>
  <c r="CJ30" i="1" s="1"/>
  <c r="CI73" i="11"/>
  <c r="CJ69" i="1"/>
  <c r="AY74" i="28"/>
  <c r="AP27" i="30" l="1"/>
  <c r="AP28" i="30" s="1"/>
  <c r="AP29" i="30" s="1"/>
  <c r="BD59" i="27" s="1"/>
  <c r="BD60" i="27" s="1"/>
  <c r="BD61" i="27" s="1"/>
  <c r="CC13" i="22"/>
  <c r="CC14" i="22" s="1"/>
  <c r="CC15" i="22" s="1"/>
  <c r="CO39" i="1" s="1"/>
  <c r="CO40" i="1" s="1"/>
  <c r="CO41" i="1" s="1"/>
  <c r="CD11" i="22"/>
  <c r="CD5" i="22"/>
  <c r="CE5" i="22" s="1"/>
  <c r="AP5" i="30"/>
  <c r="AP6" i="30" s="1"/>
  <c r="AP7" i="30" s="1"/>
  <c r="AP8" i="30" s="1"/>
  <c r="BD29" i="27" s="1"/>
  <c r="BD30" i="27" s="1"/>
  <c r="BD31" i="27" s="1"/>
  <c r="AQ4" i="30"/>
  <c r="AR25" i="30"/>
  <c r="AQ26" i="30"/>
  <c r="AQ27" i="30" s="1"/>
  <c r="CB20" i="22"/>
  <c r="CB21" i="22" s="1"/>
  <c r="CB22" i="22" s="1"/>
  <c r="CN49" i="1" s="1"/>
  <c r="CN50" i="1" s="1"/>
  <c r="CN51" i="1" s="1"/>
  <c r="CC18" i="22"/>
  <c r="CL18" i="1"/>
  <c r="CC4" i="22"/>
  <c r="CB6" i="22"/>
  <c r="CB7" i="22" s="1"/>
  <c r="CB8" i="22" s="1"/>
  <c r="CN29" i="1" s="1"/>
  <c r="CN30" i="1" s="1"/>
  <c r="CN31" i="1" s="1"/>
  <c r="CL71" i="1"/>
  <c r="CL19" i="1"/>
  <c r="AQ18" i="30"/>
  <c r="AP19" i="30"/>
  <c r="AP20" i="30" s="1"/>
  <c r="AP21" i="30" s="1"/>
  <c r="AP22" i="30" s="1"/>
  <c r="BD49" i="27" s="1"/>
  <c r="BD50" i="27" s="1"/>
  <c r="BD51" i="27" s="1"/>
  <c r="CE25" i="22"/>
  <c r="CD19" i="22"/>
  <c r="CE19" i="22" s="1"/>
  <c r="CC32" i="22"/>
  <c r="CB34" i="22"/>
  <c r="CB35" i="22" s="1"/>
  <c r="CB36" i="22" s="1"/>
  <c r="CN69" i="1" s="1"/>
  <c r="BC70" i="27"/>
  <c r="BC18" i="27"/>
  <c r="CM70" i="1"/>
  <c r="CB26" i="22"/>
  <c r="CA27" i="22"/>
  <c r="CA28" i="22" s="1"/>
  <c r="CA29" i="22" s="1"/>
  <c r="CM59" i="1" s="1"/>
  <c r="CM60" i="1" s="1"/>
  <c r="CM61" i="1" s="1"/>
  <c r="AQ11" i="30"/>
  <c r="AP12" i="30"/>
  <c r="AQ32" i="30"/>
  <c r="AP33" i="30"/>
  <c r="AP34" i="30" s="1"/>
  <c r="AP35" i="30" s="1"/>
  <c r="AP36" i="30" s="1"/>
  <c r="BD69" i="27" s="1"/>
  <c r="CK19" i="1"/>
  <c r="CK71" i="1"/>
  <c r="BB71" i="27"/>
  <c r="BB19" i="27"/>
  <c r="CJ17" i="1"/>
  <c r="CJ18" i="1"/>
  <c r="CJ70" i="1"/>
  <c r="AY78" i="27"/>
  <c r="BA78" i="27"/>
  <c r="BA87" i="27"/>
  <c r="BA88" i="27" s="1"/>
  <c r="BA68" i="27"/>
  <c r="BA69" i="27" s="1"/>
  <c r="BA58" i="27"/>
  <c r="BA59" i="27" s="1"/>
  <c r="BA60" i="27" s="1"/>
  <c r="BA48" i="27"/>
  <c r="BA49" i="27" s="1"/>
  <c r="BA50" i="27" s="1"/>
  <c r="BA38" i="27"/>
  <c r="BA39" i="27" s="1"/>
  <c r="BA40" i="27" s="1"/>
  <c r="BA28" i="27"/>
  <c r="BA29" i="27" s="1"/>
  <c r="BA8" i="27"/>
  <c r="CN70" i="1" l="1"/>
  <c r="CC20" i="22"/>
  <c r="CC21" i="22" s="1"/>
  <c r="CC22" i="22" s="1"/>
  <c r="CO49" i="1" s="1"/>
  <c r="CO50" i="1" s="1"/>
  <c r="CO51" i="1" s="1"/>
  <c r="CD18" i="22"/>
  <c r="CB27" i="22"/>
  <c r="CB28" i="22" s="1"/>
  <c r="CB29" i="22" s="1"/>
  <c r="CN59" i="1" s="1"/>
  <c r="CN60" i="1" s="1"/>
  <c r="CN61" i="1" s="1"/>
  <c r="CC26" i="22"/>
  <c r="CD32" i="22"/>
  <c r="CC34" i="22"/>
  <c r="CC35" i="22" s="1"/>
  <c r="CC36" i="22" s="1"/>
  <c r="CO69" i="1" s="1"/>
  <c r="AQ19" i="30"/>
  <c r="AQ20" i="30" s="1"/>
  <c r="AR18" i="30"/>
  <c r="CF5" i="22"/>
  <c r="CG5" i="22" s="1"/>
  <c r="CH5" i="22" s="1"/>
  <c r="CI5" i="22" s="1"/>
  <c r="AQ33" i="30"/>
  <c r="AQ34" i="30" s="1"/>
  <c r="AR32" i="30"/>
  <c r="CM18" i="1"/>
  <c r="CE11" i="22"/>
  <c r="CD13" i="22"/>
  <c r="CD14" i="22" s="1"/>
  <c r="CD15" i="22" s="1"/>
  <c r="CP39" i="1" s="1"/>
  <c r="CP40" i="1" s="1"/>
  <c r="CP41" i="1" s="1"/>
  <c r="AQ28" i="30"/>
  <c r="AQ29" i="30" s="1"/>
  <c r="BE59" i="27" s="1"/>
  <c r="BE60" i="27" s="1"/>
  <c r="BE61" i="27" s="1"/>
  <c r="CF25" i="22"/>
  <c r="CG25" i="22" s="1"/>
  <c r="AR26" i="30"/>
  <c r="AR27" i="30" s="1"/>
  <c r="AR28" i="30" s="1"/>
  <c r="AR29" i="30" s="1"/>
  <c r="BF59" i="27" s="1"/>
  <c r="BF60" i="27" s="1"/>
  <c r="BF61" i="27" s="1"/>
  <c r="AS25" i="30"/>
  <c r="CD4" i="22"/>
  <c r="CC6" i="22"/>
  <c r="CC7" i="22" s="1"/>
  <c r="CC8" i="22" s="1"/>
  <c r="CO29" i="1" s="1"/>
  <c r="CO30" i="1" s="1"/>
  <c r="CO31" i="1" s="1"/>
  <c r="BD70" i="27"/>
  <c r="CF19" i="22"/>
  <c r="CG19" i="22" s="1"/>
  <c r="CH19" i="22" s="1"/>
  <c r="CI19" i="22" s="1"/>
  <c r="AP13" i="30"/>
  <c r="AP14" i="30" s="1"/>
  <c r="AP15" i="30" s="1"/>
  <c r="BD39" i="27" s="1"/>
  <c r="BD40" i="27" s="1"/>
  <c r="BD41" i="27" s="1"/>
  <c r="AQ5" i="30"/>
  <c r="AR4" i="30"/>
  <c r="CM71" i="1"/>
  <c r="CM19" i="1"/>
  <c r="CL20" i="1"/>
  <c r="AQ12" i="30"/>
  <c r="AQ13" i="30" s="1"/>
  <c r="AQ14" i="30" s="1"/>
  <c r="AQ15" i="30" s="1"/>
  <c r="BE39" i="27" s="1"/>
  <c r="BE40" i="27" s="1"/>
  <c r="BE41" i="27" s="1"/>
  <c r="AR11" i="30"/>
  <c r="BC19" i="27"/>
  <c r="BC71" i="27"/>
  <c r="BC20" i="27" s="1"/>
  <c r="CK20" i="1"/>
  <c r="BB20" i="27"/>
  <c r="BA17" i="27"/>
  <c r="CJ19" i="1"/>
  <c r="BA30" i="27"/>
  <c r="BA18" i="27"/>
  <c r="BA70" i="27"/>
  <c r="AX10" i="28"/>
  <c r="AY19" i="28" s="1"/>
  <c r="AX9" i="28"/>
  <c r="AY18" i="28" s="1"/>
  <c r="AX8" i="28"/>
  <c r="AY17" i="28" s="1"/>
  <c r="AX7" i="28"/>
  <c r="AY16" i="28" s="1"/>
  <c r="AX6" i="28"/>
  <c r="AY15" i="28" s="1"/>
  <c r="AX5" i="28"/>
  <c r="AY14" i="28" s="1"/>
  <c r="CH25" i="22" l="1"/>
  <c r="CI25" i="22" s="1"/>
  <c r="AY33" i="28"/>
  <c r="BA47" i="27" s="1"/>
  <c r="BA51" i="27" s="1"/>
  <c r="AY32" i="28"/>
  <c r="BA37" i="27" s="1"/>
  <c r="BA41" i="27" s="1"/>
  <c r="CE32" i="22"/>
  <c r="CD34" i="22"/>
  <c r="CD35" i="22" s="1"/>
  <c r="CD36" i="22" s="1"/>
  <c r="CP69" i="1" s="1"/>
  <c r="CE4" i="22"/>
  <c r="CD6" i="22"/>
  <c r="CD7" i="22" s="1"/>
  <c r="CD8" i="22" s="1"/>
  <c r="CP29" i="1" s="1"/>
  <c r="CP30" i="1" s="1"/>
  <c r="CP31" i="1" s="1"/>
  <c r="AY35" i="28"/>
  <c r="BA67" i="27" s="1"/>
  <c r="BA71" i="27" s="1"/>
  <c r="AT25" i="30"/>
  <c r="AS26" i="30"/>
  <c r="AS27" i="30" s="1"/>
  <c r="CE13" i="22"/>
  <c r="CE14" i="22" s="1"/>
  <c r="CE15" i="22" s="1"/>
  <c r="CQ39" i="1" s="1"/>
  <c r="CQ40" i="1" s="1"/>
  <c r="CQ41" i="1" s="1"/>
  <c r="CF11" i="22"/>
  <c r="CE18" i="22"/>
  <c r="CD20" i="22"/>
  <c r="CD21" i="22" s="1"/>
  <c r="CD22" i="22" s="1"/>
  <c r="CP49" i="1" s="1"/>
  <c r="CP50" i="1" s="1"/>
  <c r="CP51" i="1" s="1"/>
  <c r="AS11" i="30"/>
  <c r="AR12" i="30"/>
  <c r="CD26" i="22"/>
  <c r="CC27" i="22"/>
  <c r="CC28" i="22" s="1"/>
  <c r="CC29" i="22" s="1"/>
  <c r="CO59" i="1" s="1"/>
  <c r="CO60" i="1" s="1"/>
  <c r="CO61" i="1" s="1"/>
  <c r="AR19" i="30"/>
  <c r="AR20" i="30" s="1"/>
  <c r="AR21" i="30" s="1"/>
  <c r="AR22" i="30" s="1"/>
  <c r="BF49" i="27" s="1"/>
  <c r="BF50" i="27" s="1"/>
  <c r="BF51" i="27" s="1"/>
  <c r="AS18" i="30"/>
  <c r="CN18" i="1"/>
  <c r="AY34" i="28"/>
  <c r="BA57" i="27" s="1"/>
  <c r="BA61" i="27" s="1"/>
  <c r="CM20" i="1"/>
  <c r="BD19" i="27"/>
  <c r="BD71" i="27"/>
  <c r="BD20" i="27" s="1"/>
  <c r="AR33" i="30"/>
  <c r="AR34" i="30" s="1"/>
  <c r="AS32" i="30"/>
  <c r="AQ21" i="30"/>
  <c r="AQ22" i="30" s="1"/>
  <c r="BE49" i="27" s="1"/>
  <c r="BE50" i="27" s="1"/>
  <c r="BE51" i="27" s="1"/>
  <c r="CN71" i="1"/>
  <c r="CN19" i="1"/>
  <c r="AS4" i="30"/>
  <c r="AR5" i="30"/>
  <c r="AY31" i="28"/>
  <c r="AY20" i="28"/>
  <c r="AQ6" i="30"/>
  <c r="AQ7" i="30" s="1"/>
  <c r="AQ8" i="30" s="1"/>
  <c r="BE29" i="27" s="1"/>
  <c r="BE30" i="27" s="1"/>
  <c r="BE31" i="27" s="1"/>
  <c r="BD18" i="27"/>
  <c r="AQ35" i="30"/>
  <c r="AQ36" i="30" s="1"/>
  <c r="BE69" i="27" s="1"/>
  <c r="CO70" i="1"/>
  <c r="BA19" i="27"/>
  <c r="AZ6" i="27"/>
  <c r="CF13" i="22" l="1"/>
  <c r="CF14" i="22" s="1"/>
  <c r="CF15" i="22" s="1"/>
  <c r="CR39" i="1" s="1"/>
  <c r="CR40" i="1" s="1"/>
  <c r="CR41" i="1" s="1"/>
  <c r="CG11" i="22"/>
  <c r="CO18" i="1"/>
  <c r="AS12" i="30"/>
  <c r="AS13" i="30" s="1"/>
  <c r="AS14" i="30" s="1"/>
  <c r="AS15" i="30" s="1"/>
  <c r="BG39" i="27" s="1"/>
  <c r="BG40" i="27" s="1"/>
  <c r="BG41" i="27" s="1"/>
  <c r="AT11" i="30"/>
  <c r="BE70" i="27"/>
  <c r="BE18" i="27"/>
  <c r="CE6" i="22"/>
  <c r="CE7" i="22" s="1"/>
  <c r="CE8" i="22" s="1"/>
  <c r="CQ29" i="1" s="1"/>
  <c r="CQ30" i="1" s="1"/>
  <c r="CQ31" i="1" s="1"/>
  <c r="CF4" i="22"/>
  <c r="CO71" i="1"/>
  <c r="CO19" i="1"/>
  <c r="CF18" i="22"/>
  <c r="CE20" i="22"/>
  <c r="CE21" i="22" s="1"/>
  <c r="CE22" i="22" s="1"/>
  <c r="CQ49" i="1" s="1"/>
  <c r="CQ50" i="1" s="1"/>
  <c r="CQ51" i="1" s="1"/>
  <c r="CN20" i="1"/>
  <c r="CP70" i="1"/>
  <c r="AS19" i="30"/>
  <c r="AT18" i="30"/>
  <c r="AS20" i="30"/>
  <c r="AS21" i="30" s="1"/>
  <c r="AS22" i="30" s="1"/>
  <c r="BG49" i="27" s="1"/>
  <c r="BG50" i="27" s="1"/>
  <c r="BG51" i="27" s="1"/>
  <c r="AS33" i="30"/>
  <c r="AS34" i="30" s="1"/>
  <c r="AS35" i="30" s="1"/>
  <c r="AS36" i="30" s="1"/>
  <c r="BG69" i="27" s="1"/>
  <c r="AT32" i="30"/>
  <c r="AS28" i="30"/>
  <c r="AS29" i="30" s="1"/>
  <c r="BG59" i="27" s="1"/>
  <c r="BG60" i="27" s="1"/>
  <c r="BG61" i="27" s="1"/>
  <c r="CF32" i="22"/>
  <c r="CE34" i="22"/>
  <c r="CE35" i="22" s="1"/>
  <c r="CE36" i="22" s="1"/>
  <c r="CQ69" i="1" s="1"/>
  <c r="AR6" i="30"/>
  <c r="AR7" i="30"/>
  <c r="AR8" i="30" s="1"/>
  <c r="BF29" i="27" s="1"/>
  <c r="BF30" i="27" s="1"/>
  <c r="BF31" i="27" s="1"/>
  <c r="AS5" i="30"/>
  <c r="AS6" i="30" s="1"/>
  <c r="AS7" i="30" s="1"/>
  <c r="AS8" i="30" s="1"/>
  <c r="BG29" i="27" s="1"/>
  <c r="BG30" i="27" s="1"/>
  <c r="BG31" i="27" s="1"/>
  <c r="AT4" i="30"/>
  <c r="CE26" i="22"/>
  <c r="CD27" i="22"/>
  <c r="CD28" i="22" s="1"/>
  <c r="CD29" i="22" s="1"/>
  <c r="CP59" i="1" s="1"/>
  <c r="CP60" i="1" s="1"/>
  <c r="CP61" i="1" s="1"/>
  <c r="AY36" i="28"/>
  <c r="BA27" i="27"/>
  <c r="BA31" i="27" s="1"/>
  <c r="BA20" i="27" s="1"/>
  <c r="AR35" i="30"/>
  <c r="AR36" i="30" s="1"/>
  <c r="BF69" i="27" s="1"/>
  <c r="AR13" i="30"/>
  <c r="AR14" i="30"/>
  <c r="AR15" i="30" s="1"/>
  <c r="BF39" i="27" s="1"/>
  <c r="BF40" i="27" s="1"/>
  <c r="BF41" i="27" s="1"/>
  <c r="AT26" i="30"/>
  <c r="AT27" i="30" s="1"/>
  <c r="AU25" i="30"/>
  <c r="AV25" i="30" s="1"/>
  <c r="BW31" i="22"/>
  <c r="BW24" i="22"/>
  <c r="BW17" i="22"/>
  <c r="BW10" i="22"/>
  <c r="BW3" i="22"/>
  <c r="CH64" i="11"/>
  <c r="CH63" i="11"/>
  <c r="CH62" i="11"/>
  <c r="CH61" i="11"/>
  <c r="CH60" i="11"/>
  <c r="CH55" i="11"/>
  <c r="CH28" i="11"/>
  <c r="CH10" i="11"/>
  <c r="CH9" i="11"/>
  <c r="CH8" i="11"/>
  <c r="CI17" i="11" s="1"/>
  <c r="CH7" i="11"/>
  <c r="CI16" i="11" s="1"/>
  <c r="CH6" i="11"/>
  <c r="CI15" i="11" s="1"/>
  <c r="CH5" i="11"/>
  <c r="AL31" i="30"/>
  <c r="AL24" i="30"/>
  <c r="AL17" i="30"/>
  <c r="AL10" i="30"/>
  <c r="AL3" i="30"/>
  <c r="AX65" i="28"/>
  <c r="AX64" i="28"/>
  <c r="AX63" i="28"/>
  <c r="AX62" i="28"/>
  <c r="AX61" i="28"/>
  <c r="AX56" i="28"/>
  <c r="AX28" i="28"/>
  <c r="CF20" i="22" l="1"/>
  <c r="CF21" i="22" s="1"/>
  <c r="CF22" i="22" s="1"/>
  <c r="CR49" i="1" s="1"/>
  <c r="CR50" i="1" s="1"/>
  <c r="CR51" i="1" s="1"/>
  <c r="CG18" i="22"/>
  <c r="CF6" i="22"/>
  <c r="CF7" i="22" s="1"/>
  <c r="CF8" i="22" s="1"/>
  <c r="CR29" i="1" s="1"/>
  <c r="CR30" i="1" s="1"/>
  <c r="CR31" i="1" s="1"/>
  <c r="CG4" i="22"/>
  <c r="CF34" i="22"/>
  <c r="CF35" i="22" s="1"/>
  <c r="CF36" i="22" s="1"/>
  <c r="CR69" i="1" s="1"/>
  <c r="CR70" i="1" s="1"/>
  <c r="CG32" i="22"/>
  <c r="CH11" i="22"/>
  <c r="CG13" i="22"/>
  <c r="CG14" i="22" s="1"/>
  <c r="CG15" i="22" s="1"/>
  <c r="CS39" i="1" s="1"/>
  <c r="CS40" i="1" s="1"/>
  <c r="CS41" i="1" s="1"/>
  <c r="AW25" i="30"/>
  <c r="BE19" i="27"/>
  <c r="BE71" i="27"/>
  <c r="BE20" i="27" s="1"/>
  <c r="CQ70" i="1"/>
  <c r="AU26" i="30"/>
  <c r="AU27" i="30" s="1"/>
  <c r="AU28" i="30" s="1"/>
  <c r="AU29" i="30" s="1"/>
  <c r="BI59" i="27" s="1"/>
  <c r="BI60" i="27" s="1"/>
  <c r="BI61" i="27" s="1"/>
  <c r="CF26" i="22"/>
  <c r="CE27" i="22"/>
  <c r="CE28" i="22" s="1"/>
  <c r="CE29" i="22" s="1"/>
  <c r="CQ59" i="1" s="1"/>
  <c r="CP18" i="1"/>
  <c r="CO20" i="1"/>
  <c r="CI18" i="11"/>
  <c r="AT28" i="30"/>
  <c r="AT29" i="30" s="1"/>
  <c r="BH59" i="27" s="1"/>
  <c r="BH60" i="27" s="1"/>
  <c r="BH61" i="27" s="1"/>
  <c r="CP71" i="1"/>
  <c r="CP19" i="1"/>
  <c r="BA16" i="27"/>
  <c r="CH11" i="11"/>
  <c r="CI14" i="11"/>
  <c r="AU18" i="30"/>
  <c r="AV18" i="30" s="1"/>
  <c r="AT19" i="30"/>
  <c r="AT20" i="30" s="1"/>
  <c r="BG70" i="27"/>
  <c r="BG18" i="27"/>
  <c r="AT5" i="30"/>
  <c r="AT6" i="30" s="1"/>
  <c r="AT7" i="30" s="1"/>
  <c r="AT8" i="30" s="1"/>
  <c r="BH29" i="27" s="1"/>
  <c r="BH30" i="27" s="1"/>
  <c r="BH31" i="27" s="1"/>
  <c r="AU4" i="30"/>
  <c r="AV4" i="30" s="1"/>
  <c r="AT33" i="30"/>
  <c r="AT34" i="30" s="1"/>
  <c r="AT35" i="30" s="1"/>
  <c r="AT36" i="30" s="1"/>
  <c r="BH69" i="27" s="1"/>
  <c r="AU32" i="30"/>
  <c r="AV32" i="30" s="1"/>
  <c r="AT12" i="30"/>
  <c r="AT13" i="30" s="1"/>
  <c r="AT14" i="30" s="1"/>
  <c r="AT15" i="30" s="1"/>
  <c r="BH39" i="27" s="1"/>
  <c r="BH40" i="27" s="1"/>
  <c r="BH41" i="27" s="1"/>
  <c r="AU11" i="30"/>
  <c r="AV11" i="30" s="1"/>
  <c r="CI19" i="11"/>
  <c r="CI34" i="11" s="1"/>
  <c r="CJ57" i="1" s="1"/>
  <c r="CJ61" i="1" s="1"/>
  <c r="BF18" i="27"/>
  <c r="BF70" i="27"/>
  <c r="AX66" i="28"/>
  <c r="AX70" i="28" s="1"/>
  <c r="CH65" i="11"/>
  <c r="CH69" i="11" s="1"/>
  <c r="AX11" i="28"/>
  <c r="CI35" i="11" l="1"/>
  <c r="CJ67" i="1" s="1"/>
  <c r="CJ71" i="1" s="1"/>
  <c r="CI32" i="11"/>
  <c r="CJ37" i="1" s="1"/>
  <c r="CJ41" i="1" s="1"/>
  <c r="CI33" i="11"/>
  <c r="CJ47" i="1" s="1"/>
  <c r="CJ51" i="1" s="1"/>
  <c r="CI11" i="22"/>
  <c r="CI13" i="22" s="1"/>
  <c r="CI14" i="22" s="1"/>
  <c r="CI15" i="22" s="1"/>
  <c r="CU39" i="1" s="1"/>
  <c r="CU40" i="1" s="1"/>
  <c r="CU41" i="1" s="1"/>
  <c r="CH13" i="22"/>
  <c r="CH14" i="22" s="1"/>
  <c r="CH15" i="22" s="1"/>
  <c r="CT39" i="1" s="1"/>
  <c r="CT40" i="1" s="1"/>
  <c r="CT41" i="1" s="1"/>
  <c r="CH32" i="22"/>
  <c r="CG34" i="22"/>
  <c r="CG35" i="22" s="1"/>
  <c r="CG36" i="22" s="1"/>
  <c r="CS69" i="1" s="1"/>
  <c r="CH4" i="22"/>
  <c r="CG6" i="22"/>
  <c r="CG7" i="22" s="1"/>
  <c r="CG8" i="22" s="1"/>
  <c r="CS29" i="1" s="1"/>
  <c r="CS30" i="1" s="1"/>
  <c r="CS31" i="1" s="1"/>
  <c r="CF27" i="22"/>
  <c r="CF28" i="22" s="1"/>
  <c r="CF29" i="22" s="1"/>
  <c r="CR59" i="1" s="1"/>
  <c r="CR60" i="1" s="1"/>
  <c r="CR61" i="1" s="1"/>
  <c r="CG26" i="22"/>
  <c r="CH18" i="22"/>
  <c r="CG20" i="22"/>
  <c r="CG21" i="22" s="1"/>
  <c r="CG22" i="22" s="1"/>
  <c r="CS49" i="1" s="1"/>
  <c r="CS50" i="1" s="1"/>
  <c r="CS51" i="1" s="1"/>
  <c r="AW32" i="30"/>
  <c r="AW18" i="30"/>
  <c r="AW4" i="30"/>
  <c r="AW11" i="30"/>
  <c r="AX25" i="30"/>
  <c r="AV26" i="30"/>
  <c r="AV27" i="30" s="1"/>
  <c r="AV28" i="30" s="1"/>
  <c r="AV29" i="30" s="1"/>
  <c r="BJ59" i="27" s="1"/>
  <c r="BJ60" i="27" s="1"/>
  <c r="BJ61" i="27" s="1"/>
  <c r="CQ60" i="1"/>
  <c r="CQ61" i="1" s="1"/>
  <c r="CQ18" i="1"/>
  <c r="CR71" i="1"/>
  <c r="AU19" i="30"/>
  <c r="AU20" i="30" s="1"/>
  <c r="AU21" i="30" s="1"/>
  <c r="AU22" i="30" s="1"/>
  <c r="BI49" i="27" s="1"/>
  <c r="BI50" i="27" s="1"/>
  <c r="BI51" i="27" s="1"/>
  <c r="BF71" i="27"/>
  <c r="BF20" i="27" s="1"/>
  <c r="BF19" i="27"/>
  <c r="CQ71" i="1"/>
  <c r="CH68" i="11"/>
  <c r="AU33" i="30"/>
  <c r="AV33" i="30" s="1"/>
  <c r="AU34" i="30"/>
  <c r="BG71" i="27"/>
  <c r="BG20" i="27" s="1"/>
  <c r="BG19" i="27"/>
  <c r="CH70" i="11"/>
  <c r="AU12" i="30"/>
  <c r="AU13" i="30" s="1"/>
  <c r="CI31" i="11"/>
  <c r="CI20" i="11"/>
  <c r="AU5" i="30"/>
  <c r="AV5" i="30" s="1"/>
  <c r="AV6" i="30" s="1"/>
  <c r="AV7" i="30" s="1"/>
  <c r="AV8" i="30" s="1"/>
  <c r="BJ29" i="27" s="1"/>
  <c r="BJ30" i="27" s="1"/>
  <c r="BJ31" i="27" s="1"/>
  <c r="BH70" i="27"/>
  <c r="AT21" i="30"/>
  <c r="AT22" i="30" s="1"/>
  <c r="BH49" i="27" s="1"/>
  <c r="BH50" i="27" s="1"/>
  <c r="BH51" i="27" s="1"/>
  <c r="CP20" i="1"/>
  <c r="AX69" i="28"/>
  <c r="AX71" i="28"/>
  <c r="AX73" i="28"/>
  <c r="AX72" i="28"/>
  <c r="CH72" i="11"/>
  <c r="CH71" i="11"/>
  <c r="CI18" i="22" l="1"/>
  <c r="CI20" i="22" s="1"/>
  <c r="CI21" i="22" s="1"/>
  <c r="CI22" i="22" s="1"/>
  <c r="CU49" i="1" s="1"/>
  <c r="CU50" i="1" s="1"/>
  <c r="CU51" i="1" s="1"/>
  <c r="CH20" i="22"/>
  <c r="CH21" i="22" s="1"/>
  <c r="CH22" i="22" s="1"/>
  <c r="CT49" i="1" s="1"/>
  <c r="CT50" i="1" s="1"/>
  <c r="CT51" i="1" s="1"/>
  <c r="CI4" i="22"/>
  <c r="CI6" i="22" s="1"/>
  <c r="CI7" i="22" s="1"/>
  <c r="CI8" i="22" s="1"/>
  <c r="CU29" i="1" s="1"/>
  <c r="CU30" i="1" s="1"/>
  <c r="CU31" i="1" s="1"/>
  <c r="CH6" i="22"/>
  <c r="CH7" i="22" s="1"/>
  <c r="CH8" i="22" s="1"/>
  <c r="CT29" i="1" s="1"/>
  <c r="CT30" i="1" s="1"/>
  <c r="CT31" i="1" s="1"/>
  <c r="CR19" i="1"/>
  <c r="CS70" i="1"/>
  <c r="CI32" i="22"/>
  <c r="CI34" i="22" s="1"/>
  <c r="CI35" i="22" s="1"/>
  <c r="CI36" i="22" s="1"/>
  <c r="CU69" i="1" s="1"/>
  <c r="CH34" i="22"/>
  <c r="CH35" i="22" s="1"/>
  <c r="CH36" i="22" s="1"/>
  <c r="CT69" i="1" s="1"/>
  <c r="CH26" i="22"/>
  <c r="CG27" i="22"/>
  <c r="CG28" i="22" s="1"/>
  <c r="CG29" i="22" s="1"/>
  <c r="CS59" i="1" s="1"/>
  <c r="CS60" i="1" s="1"/>
  <c r="CS61" i="1" s="1"/>
  <c r="CR18" i="1"/>
  <c r="AU6" i="30"/>
  <c r="CQ19" i="1"/>
  <c r="AV34" i="30"/>
  <c r="AV35" i="30" s="1"/>
  <c r="AV36" i="30" s="1"/>
  <c r="BJ69" i="27" s="1"/>
  <c r="AW5" i="30"/>
  <c r="AW6" i="30" s="1"/>
  <c r="AW7" i="30" s="1"/>
  <c r="AW8" i="30" s="1"/>
  <c r="BK29" i="27" s="1"/>
  <c r="BK30" i="27" s="1"/>
  <c r="BK31" i="27" s="1"/>
  <c r="AX4" i="30"/>
  <c r="AW26" i="30"/>
  <c r="AW27" i="30" s="1"/>
  <c r="AW28" i="30" s="1"/>
  <c r="AW29" i="30" s="1"/>
  <c r="BK59" i="27" s="1"/>
  <c r="BK60" i="27" s="1"/>
  <c r="BK61" i="27" s="1"/>
  <c r="AV19" i="30"/>
  <c r="AV20" i="30" s="1"/>
  <c r="AV21" i="30" s="1"/>
  <c r="AV22" i="30" s="1"/>
  <c r="BJ49" i="27" s="1"/>
  <c r="BJ50" i="27" s="1"/>
  <c r="BJ51" i="27" s="1"/>
  <c r="AX18" i="30"/>
  <c r="AX11" i="30"/>
  <c r="AV12" i="30"/>
  <c r="AV13" i="30" s="1"/>
  <c r="AV14" i="30" s="1"/>
  <c r="AV15" i="30" s="1"/>
  <c r="BJ39" i="27" s="1"/>
  <c r="BJ40" i="27" s="1"/>
  <c r="BJ41" i="27" s="1"/>
  <c r="AW33" i="30"/>
  <c r="AW34" i="30" s="1"/>
  <c r="AW35" i="30" s="1"/>
  <c r="AW36" i="30" s="1"/>
  <c r="BK69" i="27" s="1"/>
  <c r="AX32" i="30"/>
  <c r="CI36" i="11"/>
  <c r="CJ27" i="1"/>
  <c r="AU35" i="30"/>
  <c r="AU36" i="30" s="1"/>
  <c r="BI69" i="27" s="1"/>
  <c r="AU14" i="30"/>
  <c r="AU15" i="30" s="1"/>
  <c r="BI39" i="27" s="1"/>
  <c r="BI40" i="27" s="1"/>
  <c r="BI41" i="27" s="1"/>
  <c r="CQ20" i="1"/>
  <c r="CR20" i="1"/>
  <c r="BH18" i="27"/>
  <c r="BH71" i="27"/>
  <c r="BH20" i="27" s="1"/>
  <c r="BH19" i="27"/>
  <c r="AU7" i="30"/>
  <c r="AU8" i="30" s="1"/>
  <c r="BI29" i="27" s="1"/>
  <c r="BI30" i="27" s="1"/>
  <c r="BI31" i="27" s="1"/>
  <c r="CH73" i="11"/>
  <c r="AX74" i="28"/>
  <c r="AM78" i="27"/>
  <c r="Y8" i="1"/>
  <c r="CI104" i="1"/>
  <c r="CI98" i="1"/>
  <c r="CI99" i="1" s="1"/>
  <c r="CI78" i="1"/>
  <c r="CI79" i="1" s="1"/>
  <c r="CI68" i="1"/>
  <c r="CI58" i="1"/>
  <c r="CI48" i="1"/>
  <c r="CI38" i="1"/>
  <c r="CI28" i="1"/>
  <c r="CI8" i="1"/>
  <c r="Z26" i="27"/>
  <c r="CU70" i="1" l="1"/>
  <c r="CS18" i="1"/>
  <c r="CS19" i="1"/>
  <c r="CS71" i="1"/>
  <c r="CS20" i="1" s="1"/>
  <c r="CT70" i="1"/>
  <c r="CH27" i="22"/>
  <c r="CI26" i="22"/>
  <c r="CI27" i="22" s="1"/>
  <c r="CI28" i="22" s="1"/>
  <c r="CI29" i="22" s="1"/>
  <c r="CU59" i="1" s="1"/>
  <c r="CU60" i="1" s="1"/>
  <c r="CU61" i="1" s="1"/>
  <c r="CH28" i="22"/>
  <c r="CH29" i="22" s="1"/>
  <c r="CT59" i="1" s="1"/>
  <c r="CT60" i="1" s="1"/>
  <c r="CT61" i="1" s="1"/>
  <c r="AW19" i="30"/>
  <c r="AW12" i="30"/>
  <c r="AW13" i="30" s="1"/>
  <c r="AW14" i="30" s="1"/>
  <c r="AW15" i="30" s="1"/>
  <c r="BK39" i="27" s="1"/>
  <c r="BK40" i="27" s="1"/>
  <c r="BK41" i="27" s="1"/>
  <c r="AX26" i="30"/>
  <c r="AX27" i="30" s="1"/>
  <c r="AX28" i="30" s="1"/>
  <c r="AX29" i="30" s="1"/>
  <c r="BL59" i="27" s="1"/>
  <c r="BL60" i="27" s="1"/>
  <c r="BL61" i="27" s="1"/>
  <c r="AX12" i="30"/>
  <c r="BK70" i="27"/>
  <c r="BJ70" i="27"/>
  <c r="BJ18" i="27"/>
  <c r="AX33" i="30"/>
  <c r="AX34" i="30" s="1"/>
  <c r="AX35" i="30" s="1"/>
  <c r="AX36" i="30" s="1"/>
  <c r="BL69" i="27" s="1"/>
  <c r="AX13" i="30"/>
  <c r="AX14" i="30" s="1"/>
  <c r="AX15" i="30" s="1"/>
  <c r="BL39" i="27" s="1"/>
  <c r="BL40" i="27" s="1"/>
  <c r="BL41" i="27" s="1"/>
  <c r="AX5" i="30"/>
  <c r="AX6" i="30" s="1"/>
  <c r="AX7" i="30" s="1"/>
  <c r="AX8" i="30" s="1"/>
  <c r="BL29" i="27" s="1"/>
  <c r="BL30" i="27" s="1"/>
  <c r="BL31" i="27" s="1"/>
  <c r="AW20" i="30"/>
  <c r="AW21" i="30" s="1"/>
  <c r="AW22" i="30" s="1"/>
  <c r="BK49" i="27" s="1"/>
  <c r="BK50" i="27" s="1"/>
  <c r="BK51" i="27" s="1"/>
  <c r="AX19" i="30"/>
  <c r="AX20" i="30" s="1"/>
  <c r="AX21" i="30" s="1"/>
  <c r="AX22" i="30" s="1"/>
  <c r="BL49" i="27" s="1"/>
  <c r="BL50" i="27" s="1"/>
  <c r="BL51" i="27" s="1"/>
  <c r="BI18" i="27"/>
  <c r="BI70" i="27"/>
  <c r="CJ16" i="1"/>
  <c r="CJ31" i="1"/>
  <c r="CI17" i="1"/>
  <c r="CI81" i="1"/>
  <c r="CT71" i="1" l="1"/>
  <c r="CT20" i="1" s="1"/>
  <c r="CT19" i="1"/>
  <c r="CT18" i="1"/>
  <c r="CU18" i="1"/>
  <c r="CU19" i="1"/>
  <c r="CU71" i="1"/>
  <c r="CU20" i="1" s="1"/>
  <c r="BL70" i="27"/>
  <c r="BL18" i="27"/>
  <c r="BJ19" i="27"/>
  <c r="BJ71" i="27"/>
  <c r="BJ20" i="27" s="1"/>
  <c r="BK18" i="27"/>
  <c r="BK71" i="27"/>
  <c r="BK20" i="27" s="1"/>
  <c r="BK19" i="27"/>
  <c r="BI19" i="27"/>
  <c r="BI71" i="27"/>
  <c r="BI20" i="27" s="1"/>
  <c r="CJ20" i="1"/>
  <c r="BL71" i="27" l="1"/>
  <c r="BL20" i="27" s="1"/>
  <c r="BL19" i="27"/>
  <c r="AY84" i="27"/>
  <c r="AY6" i="27" l="1"/>
  <c r="AY8" i="27" s="1"/>
  <c r="AW10" i="28" l="1"/>
  <c r="AX19" i="28" s="1"/>
  <c r="AW9" i="28"/>
  <c r="AX18" i="28" s="1"/>
  <c r="AX35" i="28" s="1"/>
  <c r="AW8" i="28"/>
  <c r="AX17" i="28" s="1"/>
  <c r="AX34" i="28" s="1"/>
  <c r="AW7" i="28"/>
  <c r="AX16" i="28" s="1"/>
  <c r="AX33" i="28" s="1"/>
  <c r="AW6" i="28"/>
  <c r="AX15" i="28" s="1"/>
  <c r="AX32" i="28" s="1"/>
  <c r="AW5" i="28"/>
  <c r="AX14" i="28" s="1"/>
  <c r="AX31" i="28" l="1"/>
  <c r="AX36" i="28" s="1"/>
  <c r="AX20" i="28"/>
  <c r="BV31" i="22"/>
  <c r="BV24" i="22"/>
  <c r="BV17" i="22"/>
  <c r="BV10" i="22"/>
  <c r="BV3" i="22"/>
  <c r="CG64" i="11"/>
  <c r="CG63" i="11"/>
  <c r="CG62" i="11"/>
  <c r="CG61" i="11"/>
  <c r="CG60" i="11"/>
  <c r="CG55" i="11"/>
  <c r="CG28" i="11"/>
  <c r="CG10" i="11"/>
  <c r="CH19" i="11" s="1"/>
  <c r="CG9" i="11"/>
  <c r="CH18" i="11" s="1"/>
  <c r="CG8" i="11"/>
  <c r="CH17" i="11" s="1"/>
  <c r="CH34" i="11" s="1"/>
  <c r="CI57" i="1" s="1"/>
  <c r="CG7" i="11"/>
  <c r="CG6" i="11"/>
  <c r="CH15" i="11" s="1"/>
  <c r="CH32" i="11" s="1"/>
  <c r="CI37" i="1" s="1"/>
  <c r="CG5" i="11"/>
  <c r="AK31" i="30"/>
  <c r="AK24" i="30"/>
  <c r="AK17" i="30"/>
  <c r="AK10" i="30"/>
  <c r="AK3" i="30"/>
  <c r="CH104" i="1"/>
  <c r="CH98" i="1"/>
  <c r="CH99" i="1" s="1"/>
  <c r="CH78" i="1"/>
  <c r="CH79" i="1" s="1"/>
  <c r="CH81" i="1" s="1"/>
  <c r="CH8" i="1"/>
  <c r="CH35" i="11" l="1"/>
  <c r="CI67" i="1" s="1"/>
  <c r="CH14" i="11"/>
  <c r="CH16" i="11"/>
  <c r="CH33" i="11" s="1"/>
  <c r="CI47" i="1" s="1"/>
  <c r="CG65" i="11"/>
  <c r="CG72" i="11" s="1"/>
  <c r="CH68" i="1" s="1"/>
  <c r="CG11" i="11"/>
  <c r="CH20" i="11" l="1"/>
  <c r="CH31" i="11"/>
  <c r="CG71" i="11"/>
  <c r="CH58" i="1" s="1"/>
  <c r="CG70" i="11"/>
  <c r="CH48" i="1" s="1"/>
  <c r="CG69" i="11"/>
  <c r="CH38" i="1" s="1"/>
  <c r="CG68" i="11"/>
  <c r="CH36" i="11" l="1"/>
  <c r="CI27" i="1"/>
  <c r="CI16" i="1" s="1"/>
  <c r="CG73" i="11"/>
  <c r="CH28" i="1"/>
  <c r="CH17" i="1" l="1"/>
  <c r="AV10" i="28" l="1"/>
  <c r="AV9" i="28"/>
  <c r="AV8" i="28"/>
  <c r="AV7" i="28"/>
  <c r="AV6" i="28"/>
  <c r="AV5" i="28"/>
  <c r="AX6" i="27" l="1"/>
  <c r="BU31" i="22" l="1"/>
  <c r="BU24" i="22"/>
  <c r="BU17" i="22"/>
  <c r="BU10" i="22"/>
  <c r="BU3" i="22"/>
  <c r="CF64" i="11"/>
  <c r="CF63" i="11"/>
  <c r="CF62" i="11"/>
  <c r="CF61" i="11"/>
  <c r="CF60" i="11"/>
  <c r="CF55" i="11"/>
  <c r="CF28" i="11"/>
  <c r="CF10" i="11"/>
  <c r="CF9" i="11"/>
  <c r="CG18" i="11" s="1"/>
  <c r="CF8" i="11"/>
  <c r="CG17" i="11" s="1"/>
  <c r="CF7" i="11"/>
  <c r="CG16" i="11" s="1"/>
  <c r="CF6" i="11"/>
  <c r="CG15" i="11" s="1"/>
  <c r="CF5" i="11"/>
  <c r="CG104" i="1"/>
  <c r="CG98" i="1"/>
  <c r="CG99" i="1" s="1"/>
  <c r="CG78" i="1"/>
  <c r="CG79" i="1" s="1"/>
  <c r="CG8" i="1"/>
  <c r="AJ31" i="30"/>
  <c r="AJ24" i="30"/>
  <c r="AJ17" i="30"/>
  <c r="AJ10" i="30"/>
  <c r="AJ3" i="30"/>
  <c r="AV65" i="28"/>
  <c r="AV64" i="28"/>
  <c r="AV63" i="28"/>
  <c r="AV62" i="28"/>
  <c r="AV61" i="28"/>
  <c r="AV56" i="28"/>
  <c r="AV28" i="28"/>
  <c r="AK78" i="27"/>
  <c r="CG14" i="11" l="1"/>
  <c r="CG19" i="11"/>
  <c r="CG35" i="11" s="1"/>
  <c r="CH67" i="1" s="1"/>
  <c r="CF65" i="11"/>
  <c r="CF72" i="11" s="1"/>
  <c r="CG68" i="1" s="1"/>
  <c r="CF11" i="11"/>
  <c r="CG81" i="1"/>
  <c r="AV66" i="28"/>
  <c r="AV71" i="28" s="1"/>
  <c r="AV11" i="28"/>
  <c r="CG34" i="11" l="1"/>
  <c r="CH57" i="1" s="1"/>
  <c r="CG33" i="11"/>
  <c r="CH47" i="1" s="1"/>
  <c r="CG32" i="11"/>
  <c r="CH37" i="1" s="1"/>
  <c r="CG31" i="11"/>
  <c r="CG20" i="11"/>
  <c r="CF71" i="11"/>
  <c r="CG58" i="1" s="1"/>
  <c r="CF69" i="11"/>
  <c r="CG38" i="1" s="1"/>
  <c r="CF68" i="11"/>
  <c r="CF70" i="11"/>
  <c r="CG48" i="1" s="1"/>
  <c r="AV73" i="28"/>
  <c r="AV69" i="28"/>
  <c r="AV70" i="28"/>
  <c r="AV72" i="28"/>
  <c r="CG36" i="11" l="1"/>
  <c r="CH27" i="1"/>
  <c r="CH16" i="1" s="1"/>
  <c r="CG28" i="1"/>
  <c r="CF73" i="11"/>
  <c r="AV74" i="28"/>
  <c r="CG17" i="1" l="1"/>
  <c r="CX60" i="26" l="1"/>
  <c r="CW60" i="26"/>
  <c r="CX50" i="26"/>
  <c r="CW50" i="26"/>
  <c r="CY50" i="26" s="1"/>
  <c r="CX40" i="26"/>
  <c r="CW40" i="26"/>
  <c r="CX30" i="26"/>
  <c r="CW30" i="26"/>
  <c r="CX20" i="26"/>
  <c r="CW20" i="26"/>
  <c r="CU60" i="29"/>
  <c r="CT60" i="29"/>
  <c r="CV60" i="29" s="1"/>
  <c r="CU50" i="29"/>
  <c r="CT50" i="29"/>
  <c r="CU40" i="29"/>
  <c r="CT40" i="29"/>
  <c r="CU30" i="29"/>
  <c r="CT30" i="29"/>
  <c r="CU20" i="29"/>
  <c r="CT20" i="29"/>
  <c r="CV20" i="29" s="1"/>
  <c r="CV50" i="29" l="1"/>
  <c r="CV40" i="29"/>
  <c r="CV30" i="29"/>
  <c r="CY60" i="26"/>
  <c r="CY40" i="26"/>
  <c r="CY30" i="26"/>
  <c r="CY20" i="26"/>
  <c r="AU10" i="28" l="1"/>
  <c r="AV19" i="28" s="1"/>
  <c r="AU9" i="28"/>
  <c r="AV18" i="28" s="1"/>
  <c r="AV35" i="28" s="1"/>
  <c r="AU8" i="28"/>
  <c r="AV17" i="28" s="1"/>
  <c r="AU7" i="28"/>
  <c r="AV16" i="28" s="1"/>
  <c r="AU6" i="28"/>
  <c r="AV15" i="28" s="1"/>
  <c r="AU5" i="28"/>
  <c r="AV14" i="28" s="1"/>
  <c r="AV33" i="28" l="1"/>
  <c r="AX47" i="27" s="1"/>
  <c r="AV32" i="28"/>
  <c r="AV34" i="28"/>
  <c r="AV31" i="28"/>
  <c r="AV36" i="28" s="1"/>
  <c r="AV20" i="28"/>
  <c r="AW6" i="27" l="1"/>
  <c r="AI31" i="30" l="1"/>
  <c r="AI24" i="30"/>
  <c r="AI17" i="30"/>
  <c r="AI10" i="30"/>
  <c r="AI3" i="30"/>
  <c r="BT31" i="22"/>
  <c r="BT24" i="22"/>
  <c r="BT17" i="22"/>
  <c r="BT10" i="22"/>
  <c r="BT3" i="22"/>
  <c r="CE64" i="11"/>
  <c r="CE63" i="11"/>
  <c r="CE62" i="11"/>
  <c r="CE61" i="11"/>
  <c r="CE60" i="11"/>
  <c r="CE55" i="11"/>
  <c r="CE28" i="11"/>
  <c r="CE10" i="11"/>
  <c r="CF19" i="11" s="1"/>
  <c r="CE9" i="11"/>
  <c r="CE8" i="11"/>
  <c r="CF17" i="11" s="1"/>
  <c r="CE7" i="11"/>
  <c r="CF16" i="11" s="1"/>
  <c r="CE6" i="11"/>
  <c r="CF15" i="11" s="1"/>
  <c r="CE5" i="11"/>
  <c r="CF104" i="1"/>
  <c r="CF98" i="1"/>
  <c r="CF99" i="1" s="1"/>
  <c r="CF78" i="1"/>
  <c r="CF79" i="1" s="1"/>
  <c r="CF8" i="1"/>
  <c r="CE65" i="11" l="1"/>
  <c r="CE11" i="11"/>
  <c r="CF14" i="11"/>
  <c r="CF32" i="11"/>
  <c r="CG37" i="1" s="1"/>
  <c r="CF18" i="11"/>
  <c r="CF35" i="11" s="1"/>
  <c r="CG67" i="1" s="1"/>
  <c r="CF33" i="11"/>
  <c r="CG47" i="1" s="1"/>
  <c r="CF34" i="11"/>
  <c r="CG57" i="1" s="1"/>
  <c r="CE72" i="11"/>
  <c r="CF68" i="1" s="1"/>
  <c r="CE71" i="11"/>
  <c r="CF58" i="1" s="1"/>
  <c r="CE68" i="11"/>
  <c r="CE69" i="11"/>
  <c r="CF38" i="1" s="1"/>
  <c r="CE70" i="11"/>
  <c r="CF48" i="1" s="1"/>
  <c r="CF81" i="1"/>
  <c r="CF31" i="11" l="1"/>
  <c r="CF20" i="11"/>
  <c r="CE73" i="11"/>
  <c r="CF28" i="1"/>
  <c r="CF17" i="1" s="1"/>
  <c r="AT10" i="28"/>
  <c r="AT9" i="28"/>
  <c r="AT8" i="28"/>
  <c r="AT7" i="28"/>
  <c r="AT6" i="28"/>
  <c r="AT5" i="28"/>
  <c r="CF36" i="11" l="1"/>
  <c r="CG27" i="1"/>
  <c r="CG16" i="1" s="1"/>
  <c r="AV6" i="27" l="1"/>
  <c r="BS31" i="22" l="1"/>
  <c r="BS24" i="22"/>
  <c r="BS17" i="22"/>
  <c r="BS10" i="22"/>
  <c r="BS3" i="22"/>
  <c r="CD64" i="11"/>
  <c r="CD63" i="11"/>
  <c r="CD62" i="11"/>
  <c r="CD61" i="11"/>
  <c r="CD60" i="11"/>
  <c r="CD55" i="11"/>
  <c r="CD28" i="11"/>
  <c r="CD10" i="11"/>
  <c r="CD9" i="11"/>
  <c r="CD8" i="11"/>
  <c r="CE17" i="11" s="1"/>
  <c r="CD7" i="11"/>
  <c r="CE16" i="11" s="1"/>
  <c r="CD6" i="11"/>
  <c r="CE15" i="11" s="1"/>
  <c r="CD5" i="11"/>
  <c r="CE104" i="1"/>
  <c r="CE98" i="1"/>
  <c r="CE99" i="1" s="1"/>
  <c r="CE78" i="1"/>
  <c r="CE79" i="1" s="1"/>
  <c r="CE8" i="1"/>
  <c r="AH31" i="30"/>
  <c r="AH24" i="30"/>
  <c r="AH17" i="30"/>
  <c r="AH10" i="30"/>
  <c r="AH3" i="30"/>
  <c r="CE14" i="11" l="1"/>
  <c r="CE18" i="11"/>
  <c r="CE19" i="11"/>
  <c r="CE32" i="11" s="1"/>
  <c r="CF37" i="1" s="1"/>
  <c r="CD65" i="11"/>
  <c r="CD70" i="11" s="1"/>
  <c r="CE48" i="1" s="1"/>
  <c r="CD11" i="11"/>
  <c r="CE81" i="1"/>
  <c r="AS10" i="28"/>
  <c r="AS9" i="28"/>
  <c r="AS8" i="28"/>
  <c r="AS7" i="28"/>
  <c r="AS6" i="28"/>
  <c r="AS5" i="28"/>
  <c r="CE35" i="11" l="1"/>
  <c r="CF67" i="1" s="1"/>
  <c r="CE34" i="11"/>
  <c r="CF57" i="1" s="1"/>
  <c r="CE31" i="11"/>
  <c r="CE20" i="11"/>
  <c r="CE33" i="11"/>
  <c r="CF47" i="1" s="1"/>
  <c r="CD71" i="11"/>
  <c r="CE58" i="1" s="1"/>
  <c r="CD69" i="11"/>
  <c r="CE38" i="1" s="1"/>
  <c r="CD72" i="11"/>
  <c r="CE68" i="1" s="1"/>
  <c r="CD68" i="11"/>
  <c r="AU6" i="27"/>
  <c r="CE36" i="11" l="1"/>
  <c r="CF27" i="1"/>
  <c r="CF16" i="1" s="1"/>
  <c r="CE28" i="1"/>
  <c r="CD73" i="11"/>
  <c r="AU84" i="27"/>
  <c r="CE17" i="1" l="1"/>
  <c r="AG31" i="30"/>
  <c r="AG24" i="30"/>
  <c r="AG17" i="30"/>
  <c r="AG10" i="30"/>
  <c r="AG3" i="30"/>
  <c r="AT6" i="27"/>
  <c r="BR31" i="22"/>
  <c r="BR24" i="22"/>
  <c r="BR17" i="22"/>
  <c r="BR10" i="22"/>
  <c r="BR3" i="22"/>
  <c r="CC64" i="11"/>
  <c r="CC63" i="11"/>
  <c r="CC62" i="11"/>
  <c r="CC61" i="11"/>
  <c r="CC60" i="11"/>
  <c r="CC55" i="11"/>
  <c r="CC28" i="11"/>
  <c r="CC10" i="11"/>
  <c r="CC9" i="11"/>
  <c r="CC8" i="11"/>
  <c r="CD17" i="11" s="1"/>
  <c r="CC7" i="11"/>
  <c r="CD16" i="11" s="1"/>
  <c r="CC6" i="11"/>
  <c r="CD15" i="11" s="1"/>
  <c r="CC5" i="11"/>
  <c r="CD14" i="11" s="1"/>
  <c r="CD104" i="1"/>
  <c r="CD98" i="1"/>
  <c r="CD99" i="1" s="1"/>
  <c r="CD78" i="1"/>
  <c r="CD79" i="1" s="1"/>
  <c r="CD8" i="1"/>
  <c r="CD18" i="11" l="1"/>
  <c r="CC11" i="11"/>
  <c r="CD19" i="11"/>
  <c r="CD31" i="11" s="1"/>
  <c r="CC65" i="11"/>
  <c r="CC68" i="11" s="1"/>
  <c r="CD81" i="1"/>
  <c r="AR10" i="28"/>
  <c r="AR9" i="28"/>
  <c r="AR8" i="28"/>
  <c r="AR7" i="28"/>
  <c r="AR6" i="28"/>
  <c r="AR5" i="28"/>
  <c r="CE27" i="1" l="1"/>
  <c r="CD32" i="11"/>
  <c r="CE37" i="1" s="1"/>
  <c r="CD33" i="11"/>
  <c r="CE47" i="1" s="1"/>
  <c r="CD34" i="11"/>
  <c r="CE57" i="1" s="1"/>
  <c r="CD35" i="11"/>
  <c r="CE67" i="1" s="1"/>
  <c r="CD20" i="11"/>
  <c r="CD28" i="1"/>
  <c r="CC71" i="11"/>
  <c r="CD58" i="1" s="1"/>
  <c r="CC72" i="11"/>
  <c r="CD68" i="1" s="1"/>
  <c r="CC70" i="11"/>
  <c r="CD48" i="1" s="1"/>
  <c r="CC69" i="11"/>
  <c r="CD38" i="1" s="1"/>
  <c r="CE16" i="1" l="1"/>
  <c r="CD36" i="11"/>
  <c r="CC73" i="11"/>
  <c r="CD17" i="1"/>
  <c r="BQ31" i="22"/>
  <c r="BQ24" i="22"/>
  <c r="BQ17" i="22"/>
  <c r="BQ10" i="22"/>
  <c r="BQ3" i="22"/>
  <c r="AF31" i="30"/>
  <c r="AF24" i="30"/>
  <c r="AF17" i="30"/>
  <c r="AF10" i="30"/>
  <c r="AF3" i="30"/>
  <c r="CB5" i="11" l="1"/>
  <c r="CB6" i="11"/>
  <c r="CB7" i="11"/>
  <c r="CB8" i="11"/>
  <c r="CB9" i="11"/>
  <c r="CB64" i="11"/>
  <c r="CB63" i="11"/>
  <c r="CB62" i="11"/>
  <c r="CB61" i="11"/>
  <c r="CB60" i="11"/>
  <c r="CB55" i="11"/>
  <c r="CB28" i="11"/>
  <c r="CB10" i="11"/>
  <c r="CC19" i="11" s="1"/>
  <c r="CC17" i="11" l="1"/>
  <c r="CC34" i="11" s="1"/>
  <c r="CD57" i="1" s="1"/>
  <c r="CC16" i="11"/>
  <c r="CC33" i="11" s="1"/>
  <c r="CD47" i="1" s="1"/>
  <c r="CC15" i="11"/>
  <c r="CC32" i="11" s="1"/>
  <c r="CD37" i="1" s="1"/>
  <c r="CC14" i="11"/>
  <c r="CC31" i="11" s="1"/>
  <c r="CC18" i="11"/>
  <c r="CC35" i="11" s="1"/>
  <c r="CD67" i="1" s="1"/>
  <c r="CB65" i="11"/>
  <c r="CB68" i="11" s="1"/>
  <c r="CB11" i="11"/>
  <c r="CD27" i="1" l="1"/>
  <c r="CD16" i="1" s="1"/>
  <c r="CC36" i="11"/>
  <c r="CC20" i="11"/>
  <c r="CB69" i="11"/>
  <c r="CB72" i="11"/>
  <c r="CB71" i="11"/>
  <c r="CB70" i="11"/>
  <c r="CB73" i="11" l="1"/>
  <c r="CC104" i="1"/>
  <c r="CC98" i="1"/>
  <c r="CC99" i="1" s="1"/>
  <c r="CC78" i="1"/>
  <c r="CC79" i="1" s="1"/>
  <c r="CC68" i="1"/>
  <c r="CC58" i="1"/>
  <c r="CC48" i="1"/>
  <c r="CC38" i="1"/>
  <c r="CC28" i="1"/>
  <c r="CC8" i="1"/>
  <c r="CC17" i="1" l="1"/>
  <c r="CC81" i="1"/>
  <c r="AS6" i="27"/>
  <c r="AQ10" i="28" l="1"/>
  <c r="AQ9" i="28"/>
  <c r="AQ8" i="28"/>
  <c r="AQ7" i="28"/>
  <c r="AQ6" i="28"/>
  <c r="AQ5" i="28"/>
  <c r="CA10" i="11" l="1"/>
  <c r="CB19" i="11" s="1"/>
  <c r="CA9" i="11"/>
  <c r="CB18" i="11" s="1"/>
  <c r="CA8" i="11"/>
  <c r="CB17" i="11" s="1"/>
  <c r="CA7" i="11"/>
  <c r="CB16" i="11" s="1"/>
  <c r="CA6" i="11"/>
  <c r="CB15" i="11" s="1"/>
  <c r="CA5" i="11"/>
  <c r="CB14" i="11" s="1"/>
  <c r="CB35" i="11" l="1"/>
  <c r="CB32" i="11"/>
  <c r="CC37" i="1" s="1"/>
  <c r="CB33" i="11"/>
  <c r="CC47" i="1" s="1"/>
  <c r="CB34" i="11"/>
  <c r="CC57" i="1" s="1"/>
  <c r="CC67" i="1"/>
  <c r="CB20" i="11"/>
  <c r="CB31" i="11"/>
  <c r="CC27" i="1" s="1"/>
  <c r="AE31" i="30"/>
  <c r="AE24" i="30"/>
  <c r="AE17" i="30"/>
  <c r="AE10" i="30"/>
  <c r="AE3" i="30"/>
  <c r="BP31" i="22"/>
  <c r="BP24" i="22"/>
  <c r="BP17" i="22"/>
  <c r="BP10" i="22"/>
  <c r="BP3" i="22"/>
  <c r="CA64" i="11"/>
  <c r="CA63" i="11"/>
  <c r="CA62" i="11"/>
  <c r="CA61" i="11"/>
  <c r="CA60" i="11"/>
  <c r="CA55" i="11"/>
  <c r="CA28" i="11"/>
  <c r="CB104" i="1"/>
  <c r="CB98" i="1"/>
  <c r="CB99" i="1" s="1"/>
  <c r="CB78" i="1"/>
  <c r="CB79" i="1" s="1"/>
  <c r="CB81" i="1" s="1"/>
  <c r="CB8" i="1"/>
  <c r="CC16" i="1" l="1"/>
  <c r="CB36" i="11"/>
  <c r="CA65" i="11"/>
  <c r="CA72" i="11" s="1"/>
  <c r="CB68" i="1" s="1"/>
  <c r="CA11" i="11"/>
  <c r="AP10" i="28"/>
  <c r="AP9" i="28"/>
  <c r="AP8" i="28"/>
  <c r="AP7" i="28"/>
  <c r="AP6" i="28"/>
  <c r="AP5" i="28"/>
  <c r="CA70" i="11" l="1"/>
  <c r="CB48" i="1" s="1"/>
  <c r="CA69" i="11"/>
  <c r="CB38" i="1" s="1"/>
  <c r="CA68" i="11"/>
  <c r="CA71" i="11"/>
  <c r="CB58" i="1" s="1"/>
  <c r="CA73" i="11" l="1"/>
  <c r="CB28" i="1"/>
  <c r="AR6" i="27"/>
  <c r="CB17" i="1" l="1"/>
  <c r="BO17" i="22"/>
  <c r="BO31" i="22"/>
  <c r="BO24" i="22"/>
  <c r="BO10" i="22"/>
  <c r="BO3" i="22"/>
  <c r="BZ64" i="11"/>
  <c r="BZ63" i="11"/>
  <c r="BZ62" i="11"/>
  <c r="BZ61" i="11"/>
  <c r="BZ60" i="11"/>
  <c r="BZ55" i="11"/>
  <c r="BZ28" i="11"/>
  <c r="BZ10" i="11"/>
  <c r="BZ9" i="11"/>
  <c r="BZ8" i="11"/>
  <c r="CA17" i="11" s="1"/>
  <c r="BZ7" i="11"/>
  <c r="CA16" i="11" s="1"/>
  <c r="BZ6" i="11"/>
  <c r="CA15" i="11" s="1"/>
  <c r="BZ5" i="11"/>
  <c r="AD31" i="30"/>
  <c r="AD24" i="30"/>
  <c r="AD17" i="30"/>
  <c r="AD10" i="30"/>
  <c r="AD3" i="30"/>
  <c r="CA104" i="1"/>
  <c r="CA98" i="1"/>
  <c r="CA99" i="1" s="1"/>
  <c r="CA78" i="1"/>
  <c r="CA79" i="1" s="1"/>
  <c r="CA8" i="1"/>
  <c r="CA18" i="11" l="1"/>
  <c r="CA14" i="11"/>
  <c r="CA19" i="11"/>
  <c r="CA34" i="11" s="1"/>
  <c r="CB57" i="1" s="1"/>
  <c r="CA33" i="11"/>
  <c r="CB47" i="1" s="1"/>
  <c r="BZ65" i="11"/>
  <c r="BZ70" i="11" s="1"/>
  <c r="CA48" i="1" s="1"/>
  <c r="BZ11" i="11"/>
  <c r="CA81" i="1"/>
  <c r="CA32" i="11" l="1"/>
  <c r="CB37" i="1" s="1"/>
  <c r="CA20" i="11"/>
  <c r="CA31" i="11"/>
  <c r="CA35" i="11"/>
  <c r="CB67" i="1" s="1"/>
  <c r="BZ68" i="11"/>
  <c r="BZ69" i="11"/>
  <c r="CA38" i="1" s="1"/>
  <c r="BZ72" i="11"/>
  <c r="CA68" i="1" s="1"/>
  <c r="BZ71" i="11"/>
  <c r="CA58" i="1" s="1"/>
  <c r="CA36" i="11" l="1"/>
  <c r="CB27" i="1"/>
  <c r="CB16" i="1" s="1"/>
  <c r="CA28" i="1"/>
  <c r="BZ73" i="11"/>
  <c r="CA17" i="1" l="1"/>
  <c r="AO10" i="28" l="1"/>
  <c r="AO9" i="28"/>
  <c r="AO8" i="28"/>
  <c r="AO7" i="28"/>
  <c r="AO6" i="28"/>
  <c r="AO5" i="28"/>
  <c r="AQ6" i="27" l="1"/>
  <c r="BN31" i="22" l="1"/>
  <c r="BN24" i="22"/>
  <c r="BN17" i="22"/>
  <c r="BN10" i="22"/>
  <c r="BN3" i="22"/>
  <c r="BY64" i="11"/>
  <c r="BY63" i="11"/>
  <c r="BY62" i="11"/>
  <c r="BY61" i="11"/>
  <c r="BY60" i="11"/>
  <c r="BY55" i="11"/>
  <c r="BY28" i="11"/>
  <c r="BY10" i="11"/>
  <c r="BY9" i="11"/>
  <c r="BY8" i="11"/>
  <c r="BZ17" i="11" s="1"/>
  <c r="BY7" i="11"/>
  <c r="BZ16" i="11" s="1"/>
  <c r="BY6" i="11"/>
  <c r="BZ15" i="11" s="1"/>
  <c r="BY5" i="11"/>
  <c r="BZ104" i="1"/>
  <c r="BZ98" i="1"/>
  <c r="BZ99" i="1" s="1"/>
  <c r="BZ78" i="1"/>
  <c r="BZ79" i="1" s="1"/>
  <c r="BZ8" i="1"/>
  <c r="AC31" i="30"/>
  <c r="AC24" i="30"/>
  <c r="AC17" i="30"/>
  <c r="AC10" i="30"/>
  <c r="AC3" i="30"/>
  <c r="BZ14" i="11" l="1"/>
  <c r="BZ19" i="11"/>
  <c r="BZ34" i="11" s="1"/>
  <c r="CA57" i="1" s="1"/>
  <c r="BZ18" i="11"/>
  <c r="BY65" i="11"/>
  <c r="BY11" i="11"/>
  <c r="BZ81" i="1"/>
  <c r="AN10" i="28"/>
  <c r="AN9" i="28"/>
  <c r="AN8" i="28"/>
  <c r="AN7" i="28"/>
  <c r="AN6" i="28"/>
  <c r="AN5" i="28"/>
  <c r="BX10" i="11"/>
  <c r="BY19" i="11" s="1"/>
  <c r="BX9" i="11"/>
  <c r="BY18" i="11" s="1"/>
  <c r="BX8" i="11"/>
  <c r="BY17" i="11" s="1"/>
  <c r="BX7" i="11"/>
  <c r="BY16" i="11" s="1"/>
  <c r="BX6" i="11"/>
  <c r="BY15" i="11" s="1"/>
  <c r="BX5" i="11"/>
  <c r="BY14" i="11" s="1"/>
  <c r="BY33" i="11" l="1"/>
  <c r="BZ47" i="1" s="1"/>
  <c r="BY34" i="11"/>
  <c r="BZ57" i="1" s="1"/>
  <c r="BY32" i="11"/>
  <c r="BZ37" i="1" s="1"/>
  <c r="BY35" i="11"/>
  <c r="BZ67" i="1" s="1"/>
  <c r="BY31" i="11"/>
  <c r="BZ27" i="1" s="1"/>
  <c r="BY20" i="11"/>
  <c r="BZ33" i="11"/>
  <c r="CA47" i="1" s="1"/>
  <c r="BZ35" i="11"/>
  <c r="CA67" i="1" s="1"/>
  <c r="BZ32" i="11"/>
  <c r="CA37" i="1" s="1"/>
  <c r="BZ20" i="11"/>
  <c r="BZ31" i="11"/>
  <c r="BY69" i="11"/>
  <c r="BZ38" i="1" s="1"/>
  <c r="BY72" i="11"/>
  <c r="BZ68" i="1" s="1"/>
  <c r="BY68" i="11"/>
  <c r="BY70" i="11"/>
  <c r="BZ48" i="1" s="1"/>
  <c r="BY71" i="11"/>
  <c r="BZ58" i="1" s="1"/>
  <c r="AP6" i="27"/>
  <c r="BZ16" i="1" l="1"/>
  <c r="BY36" i="11"/>
  <c r="CA27" i="1"/>
  <c r="CA16" i="1" s="1"/>
  <c r="BZ36" i="11"/>
  <c r="BZ28" i="1"/>
  <c r="BY73" i="11"/>
  <c r="BZ17" i="1"/>
  <c r="AB3" i="30"/>
  <c r="AB31" i="30"/>
  <c r="AB32" i="30" s="1"/>
  <c r="AB24" i="30"/>
  <c r="AB25" i="30" s="1"/>
  <c r="AB17" i="30"/>
  <c r="AB10" i="30"/>
  <c r="AB11" i="30" s="1"/>
  <c r="AZ85" i="27"/>
  <c r="AZ87" i="27" s="1"/>
  <c r="AZ88" i="27" s="1"/>
  <c r="AZ68" i="27"/>
  <c r="AZ67" i="27"/>
  <c r="AZ58" i="27"/>
  <c r="AZ57" i="27"/>
  <c r="AZ48" i="27"/>
  <c r="AZ47" i="27"/>
  <c r="AZ38" i="27"/>
  <c r="AZ37" i="27"/>
  <c r="AZ28" i="27"/>
  <c r="AZ27" i="27"/>
  <c r="AZ8" i="27"/>
  <c r="AY85" i="27"/>
  <c r="AX85" i="27"/>
  <c r="AX87" i="27" s="1"/>
  <c r="AX88" i="27" s="1"/>
  <c r="AX78" i="27"/>
  <c r="AX68" i="27"/>
  <c r="AX67" i="27"/>
  <c r="AX58" i="27"/>
  <c r="AX57" i="27"/>
  <c r="AX48" i="27"/>
  <c r="AX38" i="27"/>
  <c r="AX37" i="27"/>
  <c r="AX28" i="27"/>
  <c r="AX27" i="27"/>
  <c r="AX8" i="27"/>
  <c r="AW85" i="27"/>
  <c r="AW87" i="27" s="1"/>
  <c r="AW88" i="27" s="1"/>
  <c r="AV85" i="27"/>
  <c r="AU85" i="27"/>
  <c r="AU87" i="27" s="1"/>
  <c r="AU88" i="27" s="1"/>
  <c r="AT85" i="27"/>
  <c r="AS85" i="27"/>
  <c r="AR85" i="27"/>
  <c r="AQ85" i="27"/>
  <c r="AP85" i="27"/>
  <c r="AO85" i="27"/>
  <c r="AO87" i="27" s="1"/>
  <c r="AO88" i="27" s="1"/>
  <c r="BM3" i="22"/>
  <c r="BM31" i="22"/>
  <c r="BM32" i="22" s="1"/>
  <c r="BN32" i="22" s="1"/>
  <c r="BM24" i="22"/>
  <c r="BM17" i="22"/>
  <c r="BM19" i="22" s="1"/>
  <c r="BN19" i="22" s="1"/>
  <c r="BM10" i="22"/>
  <c r="BM12" i="22" s="1"/>
  <c r="BN12" i="22" s="1"/>
  <c r="BO12" i="22" s="1"/>
  <c r="BP12" i="22" s="1"/>
  <c r="BX64" i="11"/>
  <c r="BX63" i="11"/>
  <c r="BX62" i="11"/>
  <c r="BX61" i="11"/>
  <c r="BX60" i="11"/>
  <c r="BX55" i="11"/>
  <c r="BX28" i="11"/>
  <c r="BX11" i="11"/>
  <c r="BY104" i="1"/>
  <c r="BY98" i="1"/>
  <c r="BY99" i="1" s="1"/>
  <c r="BY78" i="1"/>
  <c r="BY79" i="1" s="1"/>
  <c r="BY8" i="1"/>
  <c r="AB12" i="30" l="1"/>
  <c r="AC11" i="30"/>
  <c r="BO19" i="22"/>
  <c r="BQ12" i="22"/>
  <c r="BR12" i="22" s="1"/>
  <c r="BS12" i="22" s="1"/>
  <c r="BO32" i="22"/>
  <c r="AB26" i="30"/>
  <c r="AB27" i="30" s="1"/>
  <c r="AB28" i="30" s="1"/>
  <c r="AB29" i="30" s="1"/>
  <c r="AC25" i="30"/>
  <c r="AY87" i="27"/>
  <c r="AY88" i="27" s="1"/>
  <c r="AB33" i="30"/>
  <c r="AB34" i="30" s="1"/>
  <c r="AB35" i="30" s="1"/>
  <c r="AB36" i="30" s="1"/>
  <c r="AC32" i="30"/>
  <c r="AZ17" i="27"/>
  <c r="AZ16" i="27"/>
  <c r="AX16" i="27"/>
  <c r="AX17" i="27"/>
  <c r="BM11" i="22"/>
  <c r="BM18" i="22"/>
  <c r="BN18" i="22" s="1"/>
  <c r="BM26" i="22"/>
  <c r="BN26" i="22" s="1"/>
  <c r="BO26" i="22" s="1"/>
  <c r="BP26" i="22" s="1"/>
  <c r="BM4" i="22"/>
  <c r="BM25" i="22"/>
  <c r="BN25" i="22" s="1"/>
  <c r="BM5" i="22"/>
  <c r="BN5" i="22" s="1"/>
  <c r="BO5" i="22" s="1"/>
  <c r="BP5" i="22" s="1"/>
  <c r="BM33" i="22"/>
  <c r="AB4" i="30"/>
  <c r="AB18" i="30"/>
  <c r="AB13" i="30"/>
  <c r="AB14" i="30" s="1"/>
  <c r="AB15" i="30" s="1"/>
  <c r="BX65" i="11"/>
  <c r="BX70" i="11" s="1"/>
  <c r="BY48" i="1" s="1"/>
  <c r="BY81" i="1"/>
  <c r="BX69" i="11" l="1"/>
  <c r="BY38" i="1" s="1"/>
  <c r="BQ26" i="22"/>
  <c r="BR26" i="22" s="1"/>
  <c r="AC33" i="30"/>
  <c r="AC34" i="30" s="1"/>
  <c r="AD32" i="30"/>
  <c r="BP32" i="22"/>
  <c r="AC12" i="30"/>
  <c r="AC13" i="30" s="1"/>
  <c r="AC14" i="30" s="1"/>
  <c r="AC15" i="30" s="1"/>
  <c r="AD11" i="30"/>
  <c r="BM13" i="22"/>
  <c r="BM14" i="22" s="1"/>
  <c r="BM15" i="22" s="1"/>
  <c r="BY39" i="1" s="1"/>
  <c r="BY40" i="1" s="1"/>
  <c r="BN11" i="22"/>
  <c r="BT12" i="22"/>
  <c r="BU12" i="22" s="1"/>
  <c r="BM20" i="22"/>
  <c r="BM21" i="22" s="1"/>
  <c r="BM22" i="22" s="1"/>
  <c r="BY49" i="1" s="1"/>
  <c r="BY50" i="1" s="1"/>
  <c r="BM34" i="22"/>
  <c r="BM35" i="22" s="1"/>
  <c r="BM36" i="22" s="1"/>
  <c r="BN33" i="22"/>
  <c r="BQ5" i="22"/>
  <c r="BR5" i="22" s="1"/>
  <c r="AC26" i="30"/>
  <c r="AD25" i="30"/>
  <c r="AB5" i="30"/>
  <c r="AB6" i="30" s="1"/>
  <c r="AB7" i="30" s="1"/>
  <c r="AB8" i="30" s="1"/>
  <c r="AC4" i="30"/>
  <c r="BO25" i="22"/>
  <c r="BN27" i="22"/>
  <c r="BN28" i="22" s="1"/>
  <c r="BN29" i="22" s="1"/>
  <c r="BZ59" i="1" s="1"/>
  <c r="BZ60" i="1" s="1"/>
  <c r="BZ61" i="1" s="1"/>
  <c r="BP19" i="22"/>
  <c r="BQ19" i="22" s="1"/>
  <c r="BO18" i="22"/>
  <c r="BN20" i="22"/>
  <c r="BN21" i="22" s="1"/>
  <c r="BN22" i="22" s="1"/>
  <c r="BZ49" i="1" s="1"/>
  <c r="BZ50" i="1" s="1"/>
  <c r="BZ51" i="1" s="1"/>
  <c r="AB19" i="30"/>
  <c r="AB20" i="30" s="1"/>
  <c r="AB21" i="30" s="1"/>
  <c r="AB22" i="30" s="1"/>
  <c r="AC18" i="30"/>
  <c r="BM6" i="22"/>
  <c r="BM7" i="22" s="1"/>
  <c r="BM8" i="22" s="1"/>
  <c r="BN4" i="22"/>
  <c r="BM27" i="22"/>
  <c r="BM28" i="22" s="1"/>
  <c r="BM29" i="22" s="1"/>
  <c r="BX71" i="11"/>
  <c r="BY58" i="1" s="1"/>
  <c r="BX72" i="11"/>
  <c r="BY68" i="1" s="1"/>
  <c r="BX68" i="11"/>
  <c r="BP18" i="22" l="1"/>
  <c r="BO20" i="22"/>
  <c r="BO21" i="22" s="1"/>
  <c r="BO22" i="22" s="1"/>
  <c r="CA49" i="1" s="1"/>
  <c r="CA50" i="1" s="1"/>
  <c r="CA51" i="1" s="1"/>
  <c r="AD26" i="30"/>
  <c r="AD27" i="30" s="1"/>
  <c r="AD28" i="30" s="1"/>
  <c r="AD29" i="30" s="1"/>
  <c r="AE25" i="30"/>
  <c r="BV12" i="22"/>
  <c r="BQ32" i="22"/>
  <c r="BR19" i="22"/>
  <c r="BS19" i="22" s="1"/>
  <c r="BN13" i="22"/>
  <c r="BN14" i="22" s="1"/>
  <c r="BN15" i="22" s="1"/>
  <c r="BZ39" i="1" s="1"/>
  <c r="BZ40" i="1" s="1"/>
  <c r="BZ41" i="1" s="1"/>
  <c r="BO11" i="22"/>
  <c r="AD33" i="30"/>
  <c r="AD34" i="30" s="1"/>
  <c r="AD35" i="30" s="1"/>
  <c r="AD36" i="30" s="1"/>
  <c r="AE32" i="30"/>
  <c r="BS5" i="22"/>
  <c r="BT5" i="22" s="1"/>
  <c r="BU5" i="22" s="1"/>
  <c r="BV5" i="22" s="1"/>
  <c r="AC35" i="30"/>
  <c r="AC36" i="30" s="1"/>
  <c r="BP25" i="22"/>
  <c r="BO27" i="22"/>
  <c r="BO28" i="22" s="1"/>
  <c r="BO29" i="22" s="1"/>
  <c r="CA59" i="1" s="1"/>
  <c r="CA60" i="1" s="1"/>
  <c r="CA61" i="1" s="1"/>
  <c r="BO33" i="22"/>
  <c r="BN34" i="22"/>
  <c r="BN35" i="22" s="1"/>
  <c r="BN36" i="22" s="1"/>
  <c r="BZ69" i="1" s="1"/>
  <c r="BO4" i="22"/>
  <c r="BN6" i="22"/>
  <c r="BN7" i="22" s="1"/>
  <c r="BN8" i="22" s="1"/>
  <c r="BZ29" i="1" s="1"/>
  <c r="BZ30" i="1" s="1"/>
  <c r="BZ31" i="1" s="1"/>
  <c r="AC19" i="30"/>
  <c r="AD18" i="30"/>
  <c r="AC20" i="30"/>
  <c r="AC21" i="30" s="1"/>
  <c r="AC22" i="30" s="1"/>
  <c r="AC5" i="30"/>
  <c r="AC6" i="30" s="1"/>
  <c r="AC7" i="30" s="1"/>
  <c r="AC8" i="30" s="1"/>
  <c r="AD4" i="30"/>
  <c r="AD12" i="30"/>
  <c r="AD13" i="30" s="1"/>
  <c r="AD14" i="30" s="1"/>
  <c r="AD15" i="30" s="1"/>
  <c r="AE11" i="30"/>
  <c r="BS26" i="22"/>
  <c r="AC27" i="30"/>
  <c r="AC28" i="30" s="1"/>
  <c r="AC29" i="30" s="1"/>
  <c r="BY59" i="1"/>
  <c r="BY60" i="1" s="1"/>
  <c r="BX73" i="11"/>
  <c r="BY28" i="1"/>
  <c r="BY29" i="1" s="1"/>
  <c r="BY30" i="1" s="1"/>
  <c r="BY69" i="1"/>
  <c r="BP33" i="22" l="1"/>
  <c r="BO34" i="22"/>
  <c r="BO35" i="22" s="1"/>
  <c r="BO36" i="22" s="1"/>
  <c r="CA69" i="1" s="1"/>
  <c r="BO13" i="22"/>
  <c r="BO14" i="22" s="1"/>
  <c r="BO15" i="22" s="1"/>
  <c r="CA39" i="1" s="1"/>
  <c r="CA40" i="1" s="1"/>
  <c r="CA41" i="1" s="1"/>
  <c r="BP11" i="22"/>
  <c r="BW12" i="22"/>
  <c r="BQ25" i="22"/>
  <c r="BP27" i="22"/>
  <c r="BP28" i="22" s="1"/>
  <c r="BP29" i="22" s="1"/>
  <c r="CB59" i="1" s="1"/>
  <c r="CB60" i="1" s="1"/>
  <c r="CB61" i="1" s="1"/>
  <c r="AD19" i="30"/>
  <c r="AD20" i="30" s="1"/>
  <c r="AD21" i="30" s="1"/>
  <c r="AD22" i="30" s="1"/>
  <c r="AE18" i="30"/>
  <c r="BT19" i="22"/>
  <c r="AF25" i="30"/>
  <c r="AE26" i="30"/>
  <c r="AE27" i="30" s="1"/>
  <c r="AE28" i="30" s="1"/>
  <c r="AE29" i="30" s="1"/>
  <c r="BT26" i="22"/>
  <c r="BW5" i="22"/>
  <c r="BO6" i="22"/>
  <c r="BO7" i="22" s="1"/>
  <c r="BO8" i="22" s="1"/>
  <c r="CA29" i="1" s="1"/>
  <c r="CA30" i="1" s="1"/>
  <c r="CA31" i="1" s="1"/>
  <c r="BP4" i="22"/>
  <c r="AD5" i="30"/>
  <c r="AD6" i="30" s="1"/>
  <c r="AD7" i="30" s="1"/>
  <c r="AD8" i="30" s="1"/>
  <c r="AE4" i="30"/>
  <c r="AE33" i="30"/>
  <c r="AE34" i="30" s="1"/>
  <c r="AE35" i="30" s="1"/>
  <c r="AE36" i="30" s="1"/>
  <c r="AF32" i="30"/>
  <c r="BR32" i="22"/>
  <c r="BQ18" i="22"/>
  <c r="BP20" i="22"/>
  <c r="BP21" i="22" s="1"/>
  <c r="BP22" i="22" s="1"/>
  <c r="CB49" i="1" s="1"/>
  <c r="CB50" i="1" s="1"/>
  <c r="CB51" i="1" s="1"/>
  <c r="AF11" i="30"/>
  <c r="AE12" i="30"/>
  <c r="BZ18" i="1"/>
  <c r="BZ70" i="1"/>
  <c r="BY17" i="1"/>
  <c r="BY18" i="1"/>
  <c r="BY70" i="1"/>
  <c r="BS32" i="22" l="1"/>
  <c r="BT32" i="22" s="1"/>
  <c r="BU32" i="22" s="1"/>
  <c r="BR25" i="22"/>
  <c r="BQ27" i="22"/>
  <c r="BQ28" i="22" s="1"/>
  <c r="BQ29" i="22" s="1"/>
  <c r="CC59" i="1" s="1"/>
  <c r="CC60" i="1" s="1"/>
  <c r="CC61" i="1" s="1"/>
  <c r="BZ71" i="1"/>
  <c r="BZ20" i="1" s="1"/>
  <c r="BZ19" i="1"/>
  <c r="AF26" i="30"/>
  <c r="AF27" i="30" s="1"/>
  <c r="AF28" i="30" s="1"/>
  <c r="AF29" i="30" s="1"/>
  <c r="AG25" i="30"/>
  <c r="AF33" i="30"/>
  <c r="AF34" i="30" s="1"/>
  <c r="AF35" i="30" s="1"/>
  <c r="AF36" i="30" s="1"/>
  <c r="AG32" i="30"/>
  <c r="AE13" i="30"/>
  <c r="AE14" i="30" s="1"/>
  <c r="AE15" i="30" s="1"/>
  <c r="BU19" i="22"/>
  <c r="BQ11" i="22"/>
  <c r="BP13" i="22"/>
  <c r="BP14" i="22" s="1"/>
  <c r="BP15" i="22" s="1"/>
  <c r="CB39" i="1" s="1"/>
  <c r="CB40" i="1" s="1"/>
  <c r="CB41" i="1" s="1"/>
  <c r="AF12" i="30"/>
  <c r="AF13" i="30" s="1"/>
  <c r="AG11" i="30"/>
  <c r="BP6" i="22"/>
  <c r="BP7" i="22" s="1"/>
  <c r="BP8" i="22" s="1"/>
  <c r="CB29" i="1" s="1"/>
  <c r="CB30" i="1" s="1"/>
  <c r="CB31" i="1" s="1"/>
  <c r="BQ4" i="22"/>
  <c r="AE19" i="30"/>
  <c r="AE20" i="30" s="1"/>
  <c r="AE21" i="30" s="1"/>
  <c r="AE22" i="30" s="1"/>
  <c r="AF18" i="30"/>
  <c r="CA18" i="1"/>
  <c r="CA70" i="1"/>
  <c r="AE5" i="30"/>
  <c r="AE6" i="30" s="1"/>
  <c r="AE7" i="30" s="1"/>
  <c r="AE8" i="30" s="1"/>
  <c r="AF4" i="30"/>
  <c r="BR18" i="22"/>
  <c r="BQ20" i="22"/>
  <c r="BQ21" i="22" s="1"/>
  <c r="BQ22" i="22" s="1"/>
  <c r="CC49" i="1" s="1"/>
  <c r="CC50" i="1" s="1"/>
  <c r="CC51" i="1" s="1"/>
  <c r="BU26" i="22"/>
  <c r="BV26" i="22" s="1"/>
  <c r="BW26" i="22" s="1"/>
  <c r="BQ33" i="22"/>
  <c r="BP34" i="22"/>
  <c r="BP35" i="22" s="1"/>
  <c r="BP36" i="22" s="1"/>
  <c r="CB69" i="1" s="1"/>
  <c r="BY19" i="1"/>
  <c r="AM10" i="28"/>
  <c r="AM9" i="28"/>
  <c r="AM8" i="28"/>
  <c r="AM7" i="28"/>
  <c r="AM6" i="28"/>
  <c r="AM5" i="28"/>
  <c r="BW10" i="11"/>
  <c r="BX19" i="11" s="1"/>
  <c r="BW9" i="11"/>
  <c r="BX18" i="11" s="1"/>
  <c r="BW8" i="11"/>
  <c r="BX17" i="11" s="1"/>
  <c r="BW7" i="11"/>
  <c r="BX16" i="11" s="1"/>
  <c r="BW6" i="11"/>
  <c r="BX15" i="11" s="1"/>
  <c r="BW5" i="11"/>
  <c r="BX14" i="11" s="1"/>
  <c r="BX35" i="11" l="1"/>
  <c r="BY67" i="1" s="1"/>
  <c r="BY71" i="1" s="1"/>
  <c r="BR20" i="22"/>
  <c r="BR21" i="22" s="1"/>
  <c r="BR22" i="22" s="1"/>
  <c r="CD49" i="1" s="1"/>
  <c r="CD50" i="1" s="1"/>
  <c r="CD51" i="1" s="1"/>
  <c r="BS18" i="22"/>
  <c r="BR4" i="22"/>
  <c r="BQ6" i="22"/>
  <c r="BQ7" i="22" s="1"/>
  <c r="BQ8" i="22" s="1"/>
  <c r="CC29" i="1" s="1"/>
  <c r="CC30" i="1" s="1"/>
  <c r="CC31" i="1" s="1"/>
  <c r="BV19" i="22"/>
  <c r="AG26" i="30"/>
  <c r="AH25" i="30"/>
  <c r="CB70" i="1"/>
  <c r="CB18" i="1"/>
  <c r="BR33" i="22"/>
  <c r="BQ34" i="22"/>
  <c r="BQ35" i="22" s="1"/>
  <c r="BQ36" i="22" s="1"/>
  <c r="CC69" i="1" s="1"/>
  <c r="CA19" i="1"/>
  <c r="CA71" i="1"/>
  <c r="CA20" i="1" s="1"/>
  <c r="AH11" i="30"/>
  <c r="AG12" i="30"/>
  <c r="AG33" i="30"/>
  <c r="AG34" i="30" s="1"/>
  <c r="AG35" i="30" s="1"/>
  <c r="AG36" i="30" s="1"/>
  <c r="AH32" i="30"/>
  <c r="BX32" i="11"/>
  <c r="BY37" i="1" s="1"/>
  <c r="BY41" i="1" s="1"/>
  <c r="AF14" i="30"/>
  <c r="AF15" i="30" s="1"/>
  <c r="BS25" i="22"/>
  <c r="BR27" i="22"/>
  <c r="BR28" i="22" s="1"/>
  <c r="BR29" i="22" s="1"/>
  <c r="CD59" i="1" s="1"/>
  <c r="CD60" i="1" s="1"/>
  <c r="CD61" i="1" s="1"/>
  <c r="BX20" i="11"/>
  <c r="BX31" i="11"/>
  <c r="AF5" i="30"/>
  <c r="AF6" i="30" s="1"/>
  <c r="AF7" i="30" s="1"/>
  <c r="AF8" i="30" s="1"/>
  <c r="AG4" i="30"/>
  <c r="BX33" i="11"/>
  <c r="BY47" i="1" s="1"/>
  <c r="BY51" i="1" s="1"/>
  <c r="BX34" i="11"/>
  <c r="BY57" i="1" s="1"/>
  <c r="BY61" i="1" s="1"/>
  <c r="AG18" i="30"/>
  <c r="AF19" i="30"/>
  <c r="BQ13" i="22"/>
  <c r="BQ14" i="22" s="1"/>
  <c r="BQ15" i="22" s="1"/>
  <c r="CC39" i="1" s="1"/>
  <c r="CC40" i="1" s="1"/>
  <c r="CC41" i="1" s="1"/>
  <c r="BR11" i="22"/>
  <c r="BV32" i="22"/>
  <c r="BW32" i="22" s="1"/>
  <c r="AH12" i="30" l="1"/>
  <c r="AI11" i="30"/>
  <c r="AH13" i="30"/>
  <c r="AH14" i="30" s="1"/>
  <c r="AH15" i="30" s="1"/>
  <c r="AH26" i="30"/>
  <c r="AI25" i="30"/>
  <c r="AH27" i="30"/>
  <c r="BW19" i="22"/>
  <c r="BS27" i="22"/>
  <c r="BS28" i="22" s="1"/>
  <c r="BS29" i="22" s="1"/>
  <c r="CE59" i="1" s="1"/>
  <c r="CE60" i="1" s="1"/>
  <c r="CE61" i="1" s="1"/>
  <c r="BT25" i="22"/>
  <c r="CC70" i="1"/>
  <c r="CC18" i="1"/>
  <c r="BS4" i="22"/>
  <c r="BR6" i="22"/>
  <c r="BR7" i="22" s="1"/>
  <c r="BR8" i="22" s="1"/>
  <c r="CD29" i="1" s="1"/>
  <c r="CD30" i="1" s="1"/>
  <c r="CD31" i="1" s="1"/>
  <c r="BS33" i="22"/>
  <c r="BR34" i="22"/>
  <c r="BR35" i="22" s="1"/>
  <c r="BR36" i="22" s="1"/>
  <c r="CD69" i="1" s="1"/>
  <c r="AH33" i="30"/>
  <c r="AI32" i="30"/>
  <c r="AH34" i="30"/>
  <c r="AH35" i="30" s="1"/>
  <c r="AH36" i="30" s="1"/>
  <c r="AF20" i="30"/>
  <c r="AF21" i="30" s="1"/>
  <c r="AF22" i="30" s="1"/>
  <c r="BY27" i="1"/>
  <c r="BY31" i="1" s="1"/>
  <c r="BY20" i="1" s="1"/>
  <c r="BX36" i="11"/>
  <c r="CB19" i="1"/>
  <c r="CB71" i="1"/>
  <c r="CB20" i="1" s="1"/>
  <c r="BT18" i="22"/>
  <c r="BS20" i="22"/>
  <c r="BS21" i="22" s="1"/>
  <c r="BS22" i="22" s="1"/>
  <c r="CE49" i="1" s="1"/>
  <c r="CE50" i="1" s="1"/>
  <c r="CE51" i="1" s="1"/>
  <c r="BS11" i="22"/>
  <c r="BR13" i="22"/>
  <c r="BR14" i="22" s="1"/>
  <c r="BR15" i="22" s="1"/>
  <c r="CD39" i="1" s="1"/>
  <c r="CD40" i="1" s="1"/>
  <c r="CD41" i="1" s="1"/>
  <c r="AG5" i="30"/>
  <c r="AG6" i="30" s="1"/>
  <c r="AH4" i="30"/>
  <c r="AG19" i="30"/>
  <c r="AH18" i="30"/>
  <c r="AG20" i="30"/>
  <c r="AG21" i="30" s="1"/>
  <c r="AG22" i="30" s="1"/>
  <c r="AG13" i="30"/>
  <c r="AG14" i="30" s="1"/>
  <c r="AG15" i="30" s="1"/>
  <c r="AG27" i="30"/>
  <c r="AG28" i="30" s="1"/>
  <c r="AG29" i="30" s="1"/>
  <c r="AO6" i="27"/>
  <c r="BY16" i="1" l="1"/>
  <c r="BT4" i="22"/>
  <c r="BS6" i="22"/>
  <c r="BS7" i="22" s="1"/>
  <c r="BS8" i="22" s="1"/>
  <c r="CE29" i="1" s="1"/>
  <c r="CE30" i="1" s="1"/>
  <c r="CE31" i="1" s="1"/>
  <c r="AH19" i="30"/>
  <c r="AI18" i="30"/>
  <c r="BU18" i="22"/>
  <c r="BT20" i="22"/>
  <c r="BT21" i="22" s="1"/>
  <c r="BT22" i="22" s="1"/>
  <c r="CF49" i="1" s="1"/>
  <c r="CF50" i="1" s="1"/>
  <c r="CF51" i="1" s="1"/>
  <c r="AI26" i="30"/>
  <c r="AI27" i="30" s="1"/>
  <c r="AI28" i="30" s="1"/>
  <c r="AI29" i="30" s="1"/>
  <c r="AJ25" i="30"/>
  <c r="CC19" i="1"/>
  <c r="CC71" i="1"/>
  <c r="CC20" i="1" s="1"/>
  <c r="AH28" i="30"/>
  <c r="AH29" i="30" s="1"/>
  <c r="CD70" i="1"/>
  <c r="CD18" i="1"/>
  <c r="BU25" i="22"/>
  <c r="BT27" i="22"/>
  <c r="BT28" i="22" s="1"/>
  <c r="BT29" i="22" s="1"/>
  <c r="CF59" i="1" s="1"/>
  <c r="CF60" i="1" s="1"/>
  <c r="CF61" i="1" s="1"/>
  <c r="AI12" i="30"/>
  <c r="AI13" i="30" s="1"/>
  <c r="AJ11" i="30"/>
  <c r="AI33" i="30"/>
  <c r="AJ32" i="30"/>
  <c r="AI34" i="30"/>
  <c r="AI35" i="30" s="1"/>
  <c r="AI36" i="30" s="1"/>
  <c r="AH5" i="30"/>
  <c r="AH6" i="30" s="1"/>
  <c r="AH7" i="30" s="1"/>
  <c r="AH8" i="30" s="1"/>
  <c r="AI4" i="30"/>
  <c r="BS34" i="22"/>
  <c r="BS35" i="22" s="1"/>
  <c r="BS36" i="22" s="1"/>
  <c r="CE69" i="1" s="1"/>
  <c r="BT33" i="22"/>
  <c r="AG7" i="30"/>
  <c r="AG8" i="30" s="1"/>
  <c r="BT11" i="22"/>
  <c r="BS13" i="22"/>
  <c r="BS14" i="22" s="1"/>
  <c r="BS15" i="22" s="1"/>
  <c r="CE39" i="1" s="1"/>
  <c r="CE40" i="1" s="1"/>
  <c r="CE41" i="1" s="1"/>
  <c r="AJ26" i="30" l="1"/>
  <c r="AK25" i="30"/>
  <c r="AJ27" i="30"/>
  <c r="BT13" i="22"/>
  <c r="BT14" i="22" s="1"/>
  <c r="BT15" i="22" s="1"/>
  <c r="CF39" i="1" s="1"/>
  <c r="CF40" i="1" s="1"/>
  <c r="CF41" i="1" s="1"/>
  <c r="BU11" i="22"/>
  <c r="AJ33" i="30"/>
  <c r="AJ34" i="30" s="1"/>
  <c r="AJ35" i="30" s="1"/>
  <c r="AJ36" i="30" s="1"/>
  <c r="AX69" i="27" s="1"/>
  <c r="AK32" i="30"/>
  <c r="CD19" i="1"/>
  <c r="CD71" i="1"/>
  <c r="CD20" i="1" s="1"/>
  <c r="BV18" i="22"/>
  <c r="BU20" i="22"/>
  <c r="BU21" i="22" s="1"/>
  <c r="BU22" i="22" s="1"/>
  <c r="CG49" i="1" s="1"/>
  <c r="CG50" i="1" s="1"/>
  <c r="CG51" i="1" s="1"/>
  <c r="CE70" i="1"/>
  <c r="CE18" i="1"/>
  <c r="AI19" i="30"/>
  <c r="AJ18" i="30"/>
  <c r="AI20" i="30"/>
  <c r="AI21" i="30" s="1"/>
  <c r="AI22" i="30" s="1"/>
  <c r="AH20" i="30"/>
  <c r="AH21" i="30" s="1"/>
  <c r="AH22" i="30" s="1"/>
  <c r="AI5" i="30"/>
  <c r="AI6" i="30" s="1"/>
  <c r="AI7" i="30" s="1"/>
  <c r="AI8" i="30" s="1"/>
  <c r="AJ4" i="30"/>
  <c r="BV25" i="22"/>
  <c r="BU27" i="22"/>
  <c r="BU28" i="22" s="1"/>
  <c r="BU29" i="22" s="1"/>
  <c r="CG59" i="1" s="1"/>
  <c r="CG60" i="1" s="1"/>
  <c r="CG61" i="1" s="1"/>
  <c r="AJ12" i="30"/>
  <c r="AJ13" i="30" s="1"/>
  <c r="AJ14" i="30" s="1"/>
  <c r="AJ15" i="30" s="1"/>
  <c r="AX39" i="27" s="1"/>
  <c r="AX40" i="27" s="1"/>
  <c r="AX41" i="27" s="1"/>
  <c r="AK11" i="30"/>
  <c r="BT34" i="22"/>
  <c r="BT35" i="22" s="1"/>
  <c r="BT36" i="22" s="1"/>
  <c r="CF69" i="1" s="1"/>
  <c r="BU33" i="22"/>
  <c r="AI14" i="30"/>
  <c r="AI15" i="30" s="1"/>
  <c r="BU4" i="22"/>
  <c r="BT6" i="22"/>
  <c r="BT7" i="22" s="1"/>
  <c r="BT8" i="22" s="1"/>
  <c r="CF29" i="1" s="1"/>
  <c r="CF30" i="1" s="1"/>
  <c r="CF31" i="1" s="1"/>
  <c r="BV4" i="22" l="1"/>
  <c r="BU6" i="22"/>
  <c r="BU7" i="22" s="1"/>
  <c r="BU8" i="22" s="1"/>
  <c r="CG29" i="1" s="1"/>
  <c r="CG30" i="1" s="1"/>
  <c r="CG31" i="1" s="1"/>
  <c r="AX70" i="27"/>
  <c r="AJ19" i="30"/>
  <c r="AJ20" i="30" s="1"/>
  <c r="AJ21" i="30" s="1"/>
  <c r="AJ22" i="30" s="1"/>
  <c r="AX49" i="27" s="1"/>
  <c r="AX50" i="27" s="1"/>
  <c r="AX51" i="27" s="1"/>
  <c r="AK18" i="30"/>
  <c r="AK33" i="30"/>
  <c r="AL32" i="30"/>
  <c r="BW25" i="22"/>
  <c r="BW27" i="22" s="1"/>
  <c r="BW28" i="22" s="1"/>
  <c r="BW29" i="22" s="1"/>
  <c r="CI59" i="1" s="1"/>
  <c r="CI60" i="1" s="1"/>
  <c r="CI61" i="1" s="1"/>
  <c r="BV27" i="22"/>
  <c r="BV28" i="22" s="1"/>
  <c r="BV29" i="22" s="1"/>
  <c r="CH59" i="1" s="1"/>
  <c r="CH60" i="1" s="1"/>
  <c r="CH61" i="1" s="1"/>
  <c r="BV11" i="22"/>
  <c r="BU13" i="22"/>
  <c r="BU14" i="22" s="1"/>
  <c r="BU15" i="22" s="1"/>
  <c r="CG39" i="1" s="1"/>
  <c r="CG40" i="1" s="1"/>
  <c r="CG41" i="1" s="1"/>
  <c r="CE71" i="1"/>
  <c r="CE20" i="1" s="1"/>
  <c r="CE19" i="1"/>
  <c r="BW18" i="22"/>
  <c r="BW20" i="22" s="1"/>
  <c r="BW21" i="22" s="1"/>
  <c r="BW22" i="22" s="1"/>
  <c r="CI49" i="1" s="1"/>
  <c r="CI50" i="1" s="1"/>
  <c r="CI51" i="1" s="1"/>
  <c r="BV20" i="22"/>
  <c r="BV21" i="22" s="1"/>
  <c r="BV22" i="22" s="1"/>
  <c r="CH49" i="1" s="1"/>
  <c r="CH50" i="1" s="1"/>
  <c r="CH51" i="1" s="1"/>
  <c r="AL25" i="30"/>
  <c r="AK26" i="30"/>
  <c r="AK27" i="30" s="1"/>
  <c r="AK28" i="30" s="1"/>
  <c r="AK29" i="30" s="1"/>
  <c r="CF70" i="1"/>
  <c r="CF18" i="1"/>
  <c r="BV33" i="22"/>
  <c r="BU34" i="22"/>
  <c r="BU35" i="22" s="1"/>
  <c r="BU36" i="22" s="1"/>
  <c r="CG69" i="1" s="1"/>
  <c r="AJ5" i="30"/>
  <c r="AJ6" i="30" s="1"/>
  <c r="AJ7" i="30" s="1"/>
  <c r="AJ8" i="30" s="1"/>
  <c r="AX29" i="27" s="1"/>
  <c r="AX30" i="27" s="1"/>
  <c r="AX31" i="27" s="1"/>
  <c r="AK4" i="30"/>
  <c r="AL11" i="30"/>
  <c r="AK12" i="30"/>
  <c r="AK13" i="30"/>
  <c r="AK14" i="30" s="1"/>
  <c r="AK15" i="30" s="1"/>
  <c r="AJ28" i="30"/>
  <c r="AJ29" i="30" s="1"/>
  <c r="AX59" i="27" s="1"/>
  <c r="AX60" i="27" s="1"/>
  <c r="AX61" i="27" s="1"/>
  <c r="AJ85" i="27"/>
  <c r="AJ87" i="27" s="1"/>
  <c r="AJ88" i="27" s="1"/>
  <c r="AO78" i="27"/>
  <c r="AO8" i="27"/>
  <c r="BV34" i="22" l="1"/>
  <c r="BW33" i="22"/>
  <c r="BW34" i="22" s="1"/>
  <c r="BW35" i="22" s="1"/>
  <c r="BW36" i="22" s="1"/>
  <c r="CI69" i="1" s="1"/>
  <c r="BV35" i="22"/>
  <c r="BV36" i="22" s="1"/>
  <c r="CH69" i="1" s="1"/>
  <c r="AK19" i="30"/>
  <c r="AK20" i="30" s="1"/>
  <c r="AK21" i="30" s="1"/>
  <c r="AK22" i="30" s="1"/>
  <c r="AL18" i="30"/>
  <c r="CF71" i="1"/>
  <c r="CF20" i="1" s="1"/>
  <c r="CF19" i="1"/>
  <c r="AL12" i="30"/>
  <c r="AL13" i="30" s="1"/>
  <c r="AL14" i="30" s="1"/>
  <c r="AL15" i="30" s="1"/>
  <c r="AZ39" i="27" s="1"/>
  <c r="AZ40" i="27" s="1"/>
  <c r="AZ41" i="27" s="1"/>
  <c r="BV13" i="22"/>
  <c r="BV14" i="22" s="1"/>
  <c r="BV15" i="22" s="1"/>
  <c r="CH39" i="1" s="1"/>
  <c r="CH40" i="1" s="1"/>
  <c r="CH41" i="1" s="1"/>
  <c r="BW11" i="22"/>
  <c r="BW13" i="22" s="1"/>
  <c r="BW14" i="22" s="1"/>
  <c r="BW15" i="22" s="1"/>
  <c r="CI39" i="1" s="1"/>
  <c r="CI40" i="1" s="1"/>
  <c r="CI41" i="1" s="1"/>
  <c r="AX18" i="27"/>
  <c r="AK5" i="30"/>
  <c r="AK6" i="30" s="1"/>
  <c r="AK7" i="30" s="1"/>
  <c r="AK8" i="30" s="1"/>
  <c r="AL4" i="30"/>
  <c r="AL26" i="30"/>
  <c r="AL27" i="30" s="1"/>
  <c r="AX19" i="27"/>
  <c r="AX71" i="27"/>
  <c r="AX20" i="27" s="1"/>
  <c r="AK34" i="30"/>
  <c r="AK35" i="30" s="1"/>
  <c r="AK36" i="30" s="1"/>
  <c r="CG70" i="1"/>
  <c r="CG18" i="1"/>
  <c r="AL33" i="30"/>
  <c r="AL34" i="30"/>
  <c r="AL35" i="30" s="1"/>
  <c r="AL36" i="30" s="1"/>
  <c r="AZ69" i="27" s="1"/>
  <c r="BW4" i="22"/>
  <c r="BW6" i="22" s="1"/>
  <c r="BW7" i="22" s="1"/>
  <c r="BW8" i="22" s="1"/>
  <c r="CI29" i="1" s="1"/>
  <c r="CI30" i="1" s="1"/>
  <c r="CI31" i="1" s="1"/>
  <c r="BV6" i="22"/>
  <c r="BV7" i="22" s="1"/>
  <c r="BV8" i="22" s="1"/>
  <c r="CH29" i="1" s="1"/>
  <c r="CH30" i="1" s="1"/>
  <c r="CH31" i="1" s="1"/>
  <c r="AI78" i="27"/>
  <c r="BL3" i="22"/>
  <c r="BL31" i="22"/>
  <c r="BL24" i="22"/>
  <c r="BL27" i="22" s="1"/>
  <c r="BL17" i="22"/>
  <c r="BL10" i="22"/>
  <c r="AA3" i="30"/>
  <c r="AL19" i="30" l="1"/>
  <c r="CG71" i="1"/>
  <c r="CG20" i="1" s="1"/>
  <c r="CG19" i="1"/>
  <c r="AL5" i="30"/>
  <c r="AL6" i="30" s="1"/>
  <c r="AL20" i="30"/>
  <c r="AL21" i="30" s="1"/>
  <c r="AL22" i="30" s="1"/>
  <c r="AZ49" i="27" s="1"/>
  <c r="AZ70" i="27"/>
  <c r="CH70" i="1"/>
  <c r="CH18" i="1"/>
  <c r="AL28" i="30"/>
  <c r="AL29" i="30" s="1"/>
  <c r="AZ59" i="27" s="1"/>
  <c r="AZ60" i="27" s="1"/>
  <c r="AZ61" i="27" s="1"/>
  <c r="CI18" i="1"/>
  <c r="CI70" i="1"/>
  <c r="BL28" i="22"/>
  <c r="BL29" i="22" s="1"/>
  <c r="BL20" i="22"/>
  <c r="BL21" i="22" s="1"/>
  <c r="BL22" i="22" s="1"/>
  <c r="BL13" i="22"/>
  <c r="BL14" i="22" s="1"/>
  <c r="BL15" i="22" s="1"/>
  <c r="BL6" i="22"/>
  <c r="BL7" i="22" s="1"/>
  <c r="BL8" i="22" s="1"/>
  <c r="BL34" i="22"/>
  <c r="BL35" i="22" s="1"/>
  <c r="BL36" i="22" s="1"/>
  <c r="AZ50" i="27" l="1"/>
  <c r="AZ51" i="27" s="1"/>
  <c r="CI19" i="1"/>
  <c r="CI71" i="1"/>
  <c r="CI20" i="1" s="1"/>
  <c r="AL7" i="30"/>
  <c r="AL8" i="30" s="1"/>
  <c r="AZ29" i="27" s="1"/>
  <c r="AZ30" i="27" s="1"/>
  <c r="AZ31" i="27" s="1"/>
  <c r="AZ71" i="27"/>
  <c r="CH71" i="1"/>
  <c r="CH20" i="1" s="1"/>
  <c r="CH19" i="1"/>
  <c r="AA31" i="30"/>
  <c r="AA24" i="30"/>
  <c r="AA27" i="30" s="1"/>
  <c r="AA17" i="30"/>
  <c r="AA10" i="30"/>
  <c r="BW64" i="11"/>
  <c r="BW63" i="11"/>
  <c r="BW62" i="11"/>
  <c r="BW61" i="11"/>
  <c r="BW60" i="11"/>
  <c r="BW55" i="11"/>
  <c r="BW28" i="11"/>
  <c r="BX98" i="1"/>
  <c r="BX99" i="1" s="1"/>
  <c r="BX78" i="1"/>
  <c r="BX79" i="1" s="1"/>
  <c r="BX8" i="1"/>
  <c r="AZ19" i="27" l="1"/>
  <c r="AZ20" i="27"/>
  <c r="AZ18" i="27"/>
  <c r="AA13" i="30"/>
  <c r="AA14" i="30" s="1"/>
  <c r="AA15" i="30" s="1"/>
  <c r="AA28" i="30"/>
  <c r="AA29" i="30" s="1"/>
  <c r="AA20" i="30"/>
  <c r="AA21" i="30" s="1"/>
  <c r="AA22" i="30" s="1"/>
  <c r="AA6" i="30"/>
  <c r="AA7" i="30" s="1"/>
  <c r="AA8" i="30" s="1"/>
  <c r="AA34" i="30"/>
  <c r="AA35" i="30" s="1"/>
  <c r="AA36" i="30" s="1"/>
  <c r="BW65" i="11"/>
  <c r="BW71" i="11" s="1"/>
  <c r="BX58" i="1" s="1"/>
  <c r="BX59" i="1" s="1"/>
  <c r="BX60" i="1" s="1"/>
  <c r="BW11" i="11"/>
  <c r="BX104" i="1"/>
  <c r="BX81" i="1"/>
  <c r="AL10" i="28"/>
  <c r="AL9" i="28"/>
  <c r="AL8" i="28"/>
  <c r="AL7" i="28"/>
  <c r="AL6" i="28"/>
  <c r="AL5" i="28"/>
  <c r="BV10" i="11"/>
  <c r="BW19" i="11" s="1"/>
  <c r="BV9" i="11"/>
  <c r="BW18" i="11" s="1"/>
  <c r="BW35" i="11" s="1"/>
  <c r="BX67" i="1" s="1"/>
  <c r="BV8" i="11"/>
  <c r="BW17" i="11" s="1"/>
  <c r="BW34" i="11" s="1"/>
  <c r="BX57" i="1" s="1"/>
  <c r="BV7" i="11"/>
  <c r="BW16" i="11" s="1"/>
  <c r="BW33" i="11" s="1"/>
  <c r="BX47" i="1" s="1"/>
  <c r="BV6" i="11"/>
  <c r="BW15" i="11" s="1"/>
  <c r="BW32" i="11" s="1"/>
  <c r="BX37" i="1" s="1"/>
  <c r="BV5" i="11"/>
  <c r="BW14" i="11" s="1"/>
  <c r="BW31" i="11" s="1"/>
  <c r="BW20" i="11" l="1"/>
  <c r="BX61" i="1"/>
  <c r="BX27" i="1"/>
  <c r="BX16" i="1" s="1"/>
  <c r="BW36" i="11"/>
  <c r="BW68" i="11"/>
  <c r="BW69" i="11"/>
  <c r="BX38" i="1" s="1"/>
  <c r="BX39" i="1" s="1"/>
  <c r="BX40" i="1" s="1"/>
  <c r="BX41" i="1" s="1"/>
  <c r="BW72" i="11"/>
  <c r="BX68" i="1" s="1"/>
  <c r="BW70" i="11"/>
  <c r="BX48" i="1" s="1"/>
  <c r="BX49" i="1" s="1"/>
  <c r="BX50" i="1" s="1"/>
  <c r="BX51" i="1" s="1"/>
  <c r="AN6" i="27"/>
  <c r="BX69" i="1" l="1"/>
  <c r="BW73" i="11"/>
  <c r="BX28" i="1"/>
  <c r="BX29" i="1" s="1"/>
  <c r="BX30" i="1" s="1"/>
  <c r="BX31" i="1" s="1"/>
  <c r="BK31" i="22"/>
  <c r="BK24" i="22"/>
  <c r="BK17" i="22"/>
  <c r="BK10" i="22"/>
  <c r="BK3" i="22"/>
  <c r="BV64" i="11"/>
  <c r="BV63" i="11"/>
  <c r="BV62" i="11"/>
  <c r="BV61" i="11"/>
  <c r="BV60" i="11"/>
  <c r="BV55" i="11"/>
  <c r="BV28" i="11"/>
  <c r="Z31" i="30"/>
  <c r="Z24" i="30"/>
  <c r="Z17" i="30"/>
  <c r="Z10" i="30"/>
  <c r="Z3" i="30"/>
  <c r="AN85" i="27"/>
  <c r="AN87" i="27" s="1"/>
  <c r="BX17" i="1" l="1"/>
  <c r="BX70" i="1"/>
  <c r="BX18" i="1"/>
  <c r="BV65" i="11"/>
  <c r="BV68" i="11" s="1"/>
  <c r="BV11" i="11"/>
  <c r="BU9" i="11"/>
  <c r="BV18" i="11" s="1"/>
  <c r="BU8" i="11"/>
  <c r="BV17" i="11" s="1"/>
  <c r="BU7" i="11"/>
  <c r="BV16" i="11" s="1"/>
  <c r="BU6" i="11"/>
  <c r="BV15" i="11" s="1"/>
  <c r="BU5" i="11"/>
  <c r="BV14" i="11" s="1"/>
  <c r="BU10" i="11"/>
  <c r="BV19" i="11" s="1"/>
  <c r="BV35" i="11" l="1"/>
  <c r="BV31" i="11"/>
  <c r="BV34" i="11"/>
  <c r="BV32" i="11"/>
  <c r="BV33" i="11"/>
  <c r="BV20" i="11"/>
  <c r="BX71" i="1"/>
  <c r="BX19" i="1"/>
  <c r="BV69" i="11"/>
  <c r="BV72" i="11"/>
  <c r="BV71" i="11"/>
  <c r="BV70" i="11"/>
  <c r="AK10" i="28"/>
  <c r="AK9" i="28"/>
  <c r="AK8" i="28"/>
  <c r="AK7" i="28"/>
  <c r="AK6" i="28"/>
  <c r="AK5" i="28"/>
  <c r="BV36" i="11" l="1"/>
  <c r="BX20" i="1"/>
  <c r="BV73" i="11"/>
  <c r="K14" i="33"/>
  <c r="K3" i="33"/>
  <c r="K9" i="33" l="1"/>
  <c r="K10" i="33" s="1"/>
  <c r="K11" i="33" s="1"/>
  <c r="K15" i="33" s="1"/>
  <c r="AM6" i="27" s="1"/>
  <c r="Y31" i="30" l="1"/>
  <c r="Y24" i="30"/>
  <c r="Y17" i="30"/>
  <c r="Y10" i="30"/>
  <c r="Y3" i="30"/>
  <c r="AM85" i="27"/>
  <c r="BJ31" i="22"/>
  <c r="BJ24" i="22"/>
  <c r="BJ17" i="22"/>
  <c r="BJ10" i="22"/>
  <c r="BJ3" i="22"/>
  <c r="BU64" i="11"/>
  <c r="BU63" i="11"/>
  <c r="BU62" i="11"/>
  <c r="BU61" i="11"/>
  <c r="BU60" i="11"/>
  <c r="BU55" i="11"/>
  <c r="BU28" i="11"/>
  <c r="BU11" i="11" l="1"/>
  <c r="BU65" i="11"/>
  <c r="AJ10" i="28"/>
  <c r="AJ9" i="28"/>
  <c r="AJ8" i="28"/>
  <c r="AJ7" i="28"/>
  <c r="AJ6" i="28"/>
  <c r="AJ5" i="28"/>
  <c r="BT9" i="11"/>
  <c r="BU18" i="11" s="1"/>
  <c r="BT8" i="11"/>
  <c r="BU17" i="11" s="1"/>
  <c r="BT7" i="11"/>
  <c r="BU16" i="11" s="1"/>
  <c r="BU33" i="11" s="1"/>
  <c r="BT6" i="11"/>
  <c r="BU15" i="11" s="1"/>
  <c r="BT10" i="11"/>
  <c r="BU19" i="11" s="1"/>
  <c r="BT5" i="11"/>
  <c r="BU14" i="11" s="1"/>
  <c r="BU35" i="11" l="1"/>
  <c r="BU20" i="11"/>
  <c r="BU34" i="11"/>
  <c r="BU32" i="11"/>
  <c r="BU31" i="11"/>
  <c r="BU70" i="11"/>
  <c r="BU69" i="11"/>
  <c r="BU72" i="11"/>
  <c r="BU71" i="11"/>
  <c r="BU36" i="11"/>
  <c r="BU68" i="11"/>
  <c r="BU73" i="11" l="1"/>
  <c r="AL85" i="27" l="1"/>
  <c r="AJ78" i="1" l="1"/>
  <c r="AL78" i="1"/>
  <c r="AY78" i="1"/>
  <c r="BU34" i="29"/>
  <c r="BT34" i="29"/>
  <c r="BS34" i="29"/>
  <c r="BR34" i="29"/>
  <c r="BQ34" i="29"/>
  <c r="BP34" i="29"/>
  <c r="BO34" i="29"/>
  <c r="BN34" i="29"/>
  <c r="BM34" i="29"/>
  <c r="BL34" i="29"/>
  <c r="BK34" i="29"/>
  <c r="BJ34" i="29"/>
  <c r="BJ35" i="29" s="1"/>
  <c r="BJ36" i="29" s="1"/>
  <c r="AL5" i="27"/>
  <c r="BM15" i="29"/>
  <c r="BJ15" i="29"/>
  <c r="BJ37" i="29" l="1"/>
  <c r="BJ38" i="29" s="1"/>
  <c r="BK35" i="29" s="1"/>
  <c r="BK37" i="29" s="1"/>
  <c r="BK38" i="29" s="1"/>
  <c r="BL35" i="29" s="1"/>
  <c r="BL37" i="29" s="1"/>
  <c r="BL38" i="29" s="1"/>
  <c r="BM35" i="29" s="1"/>
  <c r="BM37" i="29" s="1"/>
  <c r="BM38" i="29" s="1"/>
  <c r="BN35" i="29" s="1"/>
  <c r="BN37" i="29" s="1"/>
  <c r="BN38" i="29" s="1"/>
  <c r="BO35" i="29" s="1"/>
  <c r="BO37" i="29" s="1"/>
  <c r="BO38" i="29" s="1"/>
  <c r="BP35" i="29" s="1"/>
  <c r="BP37" i="29" s="1"/>
  <c r="BP38" i="29" s="1"/>
  <c r="BQ35" i="29" s="1"/>
  <c r="BQ37" i="29" s="1"/>
  <c r="BQ38" i="29" s="1"/>
  <c r="BR35" i="29" s="1"/>
  <c r="BR37" i="29" s="1"/>
  <c r="BR38" i="29" s="1"/>
  <c r="BS35" i="29" s="1"/>
  <c r="BS37" i="29" s="1"/>
  <c r="BS38" i="29" s="1"/>
  <c r="BT35" i="29" s="1"/>
  <c r="BT37" i="29" s="1"/>
  <c r="BT38" i="29" s="1"/>
  <c r="BU35" i="29" s="1"/>
  <c r="BU37" i="29" s="1"/>
  <c r="BU38" i="29" s="1"/>
  <c r="BK36" i="29" l="1"/>
  <c r="BL36" i="29" s="1"/>
  <c r="BM36" i="29" s="1"/>
  <c r="BN36" i="29" s="1"/>
  <c r="BO36" i="29" s="1"/>
  <c r="BP36" i="29" s="1"/>
  <c r="BQ36" i="29" s="1"/>
  <c r="BR36" i="29" s="1"/>
  <c r="BS36" i="29" s="1"/>
  <c r="BT36" i="29" s="1"/>
  <c r="BU36" i="29" s="1"/>
  <c r="BU17" i="29" l="1"/>
  <c r="BT17" i="29"/>
  <c r="BS17" i="29"/>
  <c r="BR17" i="29"/>
  <c r="BQ17" i="29"/>
  <c r="BP17" i="29"/>
  <c r="BO17" i="29"/>
  <c r="BN17" i="29"/>
  <c r="BL17" i="29"/>
  <c r="BK17" i="29"/>
  <c r="BM17" i="29"/>
  <c r="BJ17" i="29"/>
  <c r="BJ19" i="29" s="1"/>
  <c r="BJ20" i="29" l="1"/>
  <c r="BJ21" i="29"/>
  <c r="BJ22" i="29" s="1"/>
  <c r="BK19" i="29" s="1"/>
  <c r="BK21" i="29" s="1"/>
  <c r="BK22" i="29" s="1"/>
  <c r="BL19" i="29" s="1"/>
  <c r="BL21" i="29" s="1"/>
  <c r="BL22" i="29" s="1"/>
  <c r="BM19" i="29" s="1"/>
  <c r="BM21" i="29" s="1"/>
  <c r="BM22" i="29" s="1"/>
  <c r="BK20" i="29" l="1"/>
  <c r="BL20" i="29" s="1"/>
  <c r="BM20" i="29" s="1"/>
  <c r="BA3" i="29" l="1"/>
  <c r="BA2" i="29"/>
  <c r="BM3" i="26"/>
  <c r="BM2" i="26"/>
  <c r="BI31" i="22"/>
  <c r="BI24" i="22"/>
  <c r="BI17" i="22"/>
  <c r="BI10" i="22"/>
  <c r="BI3" i="22"/>
  <c r="BT64" i="11"/>
  <c r="BT63" i="11"/>
  <c r="BT62" i="11"/>
  <c r="BT61" i="11"/>
  <c r="BT60" i="11"/>
  <c r="BT55" i="11"/>
  <c r="BT28" i="11"/>
  <c r="BT11" i="11"/>
  <c r="X31" i="30"/>
  <c r="X24" i="30"/>
  <c r="X17" i="30"/>
  <c r="X10" i="30"/>
  <c r="X3" i="30"/>
  <c r="BM1" i="26" l="1"/>
  <c r="BA1" i="29"/>
  <c r="BT65" i="11"/>
  <c r="BT68" i="11" s="1"/>
  <c r="BT72" i="11" l="1"/>
  <c r="BT71" i="11"/>
  <c r="BT70" i="11"/>
  <c r="BT69" i="11"/>
  <c r="BT73" i="11" l="1"/>
  <c r="AI10" i="28" l="1"/>
  <c r="AI9" i="28"/>
  <c r="AI8" i="28"/>
  <c r="AI7" i="28"/>
  <c r="AI6" i="28"/>
  <c r="AI5" i="28"/>
  <c r="BS10" i="11"/>
  <c r="BT19" i="11" s="1"/>
  <c r="BS9" i="11"/>
  <c r="BT18" i="11" s="1"/>
  <c r="BT35" i="11" s="1"/>
  <c r="BS8" i="11"/>
  <c r="BT17" i="11" s="1"/>
  <c r="BS7" i="11"/>
  <c r="BT16" i="11" s="1"/>
  <c r="BS6" i="11"/>
  <c r="BT15" i="11" s="1"/>
  <c r="BS5" i="11"/>
  <c r="BT14" i="11" s="1"/>
  <c r="BT20" i="11" l="1"/>
  <c r="BT31" i="11"/>
  <c r="BT32" i="11"/>
  <c r="BT33" i="11"/>
  <c r="BT34" i="11"/>
  <c r="AK6" i="27"/>
  <c r="BT36" i="11" l="1"/>
  <c r="BH31" i="22"/>
  <c r="BH24" i="22"/>
  <c r="BH17" i="22"/>
  <c r="BH10" i="22"/>
  <c r="BH3" i="22"/>
  <c r="W3" i="30"/>
  <c r="W31" i="30"/>
  <c r="W24" i="30"/>
  <c r="W17" i="30"/>
  <c r="W10" i="30"/>
  <c r="BS64" i="11"/>
  <c r="BS63" i="11"/>
  <c r="BS62" i="11"/>
  <c r="BS61" i="11"/>
  <c r="BS60" i="11"/>
  <c r="BS55" i="11"/>
  <c r="BS28" i="11"/>
  <c r="BS11" i="11"/>
  <c r="AK85" i="27"/>
  <c r="AK87" i="27" s="1"/>
  <c r="BS65" i="11" l="1"/>
  <c r="BS70" i="11" s="1"/>
  <c r="BS71" i="11" l="1"/>
  <c r="BS72" i="11"/>
  <c r="BS69" i="11"/>
  <c r="BS68" i="11"/>
  <c r="BS73" i="11" l="1"/>
  <c r="AC78" i="27" l="1"/>
  <c r="AJ6" i="27" l="1"/>
  <c r="BR10" i="11" l="1"/>
  <c r="BS19" i="11" s="1"/>
  <c r="BR9" i="11"/>
  <c r="BS18" i="11" s="1"/>
  <c r="BS35" i="11" s="1"/>
  <c r="BR8" i="11"/>
  <c r="BS17" i="11" s="1"/>
  <c r="BS34" i="11" s="1"/>
  <c r="BR7" i="11"/>
  <c r="BS16" i="11" s="1"/>
  <c r="BS33" i="11" s="1"/>
  <c r="BR6" i="11"/>
  <c r="BS15" i="11" s="1"/>
  <c r="BS32" i="11" s="1"/>
  <c r="BR5" i="11"/>
  <c r="BS14" i="11" s="1"/>
  <c r="AH10" i="28"/>
  <c r="AH9" i="28"/>
  <c r="AH8" i="28"/>
  <c r="AH7" i="28"/>
  <c r="AH6" i="28"/>
  <c r="AH5" i="28"/>
  <c r="BS20" i="11" l="1"/>
  <c r="BS31" i="11"/>
  <c r="BS36" i="11" s="1"/>
  <c r="AK88" i="27"/>
  <c r="AJ84" i="27"/>
  <c r="BG31" i="22" l="1"/>
  <c r="BG24" i="22"/>
  <c r="BG17" i="22"/>
  <c r="BG10" i="22"/>
  <c r="BG3" i="22"/>
  <c r="BR64" i="11"/>
  <c r="BR63" i="11"/>
  <c r="BR62" i="11"/>
  <c r="BR61" i="11"/>
  <c r="BR60" i="11"/>
  <c r="BR55" i="11"/>
  <c r="BR28" i="11"/>
  <c r="V31" i="30"/>
  <c r="V24" i="30"/>
  <c r="V17" i="30"/>
  <c r="V10" i="30"/>
  <c r="V3" i="30"/>
  <c r="BR65" i="11" l="1"/>
  <c r="BR70" i="11" s="1"/>
  <c r="BR11" i="11"/>
  <c r="BR71" i="11" l="1"/>
  <c r="BR69" i="11"/>
  <c r="BR72" i="11"/>
  <c r="BR68" i="11"/>
  <c r="BQ10" i="11"/>
  <c r="BR19" i="11" s="1"/>
  <c r="BQ9" i="11"/>
  <c r="BR18" i="11" s="1"/>
  <c r="BR35" i="11" s="1"/>
  <c r="BQ8" i="11"/>
  <c r="BR17" i="11" s="1"/>
  <c r="BR34" i="11" s="1"/>
  <c r="BQ7" i="11"/>
  <c r="BR16" i="11" s="1"/>
  <c r="BR33" i="11" s="1"/>
  <c r="BQ6" i="11"/>
  <c r="BR15" i="11" s="1"/>
  <c r="BR32" i="11" s="1"/>
  <c r="BQ5" i="11"/>
  <c r="BR14" i="11" s="1"/>
  <c r="AG10" i="28"/>
  <c r="AG9" i="28"/>
  <c r="AG8" i="28"/>
  <c r="AG7" i="28"/>
  <c r="AG6" i="28"/>
  <c r="AG5" i="28"/>
  <c r="BR20" i="11" l="1"/>
  <c r="BR31" i="11"/>
  <c r="BR36" i="11" s="1"/>
  <c r="BR73" i="11"/>
  <c r="BF31" i="22" l="1"/>
  <c r="BF24" i="22"/>
  <c r="BF17" i="22"/>
  <c r="BF10" i="22"/>
  <c r="BF3" i="22"/>
  <c r="BQ64" i="11"/>
  <c r="BQ63" i="11"/>
  <c r="BQ62" i="11"/>
  <c r="BQ61" i="11"/>
  <c r="BQ60" i="11"/>
  <c r="BQ55" i="11"/>
  <c r="BQ28" i="11"/>
  <c r="U31" i="30"/>
  <c r="U24" i="30"/>
  <c r="U17" i="30"/>
  <c r="U10" i="30"/>
  <c r="U3" i="30"/>
  <c r="AI85" i="27"/>
  <c r="BQ65" i="11" l="1"/>
  <c r="BQ72" i="11" s="1"/>
  <c r="BQ11" i="11"/>
  <c r="BQ68" i="11" l="1"/>
  <c r="BQ71" i="11"/>
  <c r="BQ69" i="11"/>
  <c r="BQ70" i="11"/>
  <c r="BQ73" i="11" l="1"/>
  <c r="AF10" i="28" l="1"/>
  <c r="AF9" i="28"/>
  <c r="AF8" i="28"/>
  <c r="AF7" i="28"/>
  <c r="AF6" i="28"/>
  <c r="AF5" i="28"/>
  <c r="BP10" i="11" l="1"/>
  <c r="BQ19" i="11" s="1"/>
  <c r="BP9" i="11"/>
  <c r="BQ18" i="11" s="1"/>
  <c r="BQ35" i="11" s="1"/>
  <c r="BP8" i="11"/>
  <c r="BQ17" i="11" s="1"/>
  <c r="BQ34" i="11" s="1"/>
  <c r="BP7" i="11"/>
  <c r="BQ16" i="11" s="1"/>
  <c r="BQ33" i="11" s="1"/>
  <c r="BP6" i="11"/>
  <c r="BQ15" i="11" s="1"/>
  <c r="BQ32" i="11" s="1"/>
  <c r="BP5" i="11"/>
  <c r="BQ14" i="11" s="1"/>
  <c r="BQ31" i="11" l="1"/>
  <c r="BQ36" i="11" s="1"/>
  <c r="BQ20" i="11"/>
  <c r="BW96" i="1" l="1"/>
  <c r="BW98" i="1" s="1"/>
  <c r="BW99" i="1" s="1"/>
  <c r="BL96" i="1"/>
  <c r="BW78" i="1"/>
  <c r="BW68" i="1"/>
  <c r="BW67" i="1"/>
  <c r="BW58" i="1"/>
  <c r="BW57" i="1"/>
  <c r="BW48" i="1"/>
  <c r="BW47" i="1"/>
  <c r="BW38" i="1"/>
  <c r="BW37" i="1"/>
  <c r="BW28" i="1"/>
  <c r="BW27" i="1"/>
  <c r="BW8" i="1"/>
  <c r="BV96" i="1"/>
  <c r="BV98" i="1" s="1"/>
  <c r="BV99" i="1" s="1"/>
  <c r="BV78" i="1"/>
  <c r="BV68" i="1"/>
  <c r="BV67" i="1"/>
  <c r="BV58" i="1"/>
  <c r="BV57" i="1"/>
  <c r="BV48" i="1"/>
  <c r="BV47" i="1"/>
  <c r="BV38" i="1"/>
  <c r="BV37" i="1"/>
  <c r="BV28" i="1"/>
  <c r="BV27" i="1"/>
  <c r="BV8" i="1"/>
  <c r="BU96" i="1"/>
  <c r="BU98" i="1" s="1"/>
  <c r="BU99" i="1" s="1"/>
  <c r="BU78" i="1"/>
  <c r="BU68" i="1"/>
  <c r="BU67" i="1"/>
  <c r="BU58" i="1"/>
  <c r="BU57" i="1"/>
  <c r="BU48" i="1"/>
  <c r="BU47" i="1"/>
  <c r="BU38" i="1"/>
  <c r="BU37" i="1"/>
  <c r="BU28" i="1"/>
  <c r="BU27" i="1"/>
  <c r="BU8" i="1"/>
  <c r="BT96" i="1"/>
  <c r="BT98" i="1" s="1"/>
  <c r="BT99" i="1" s="1"/>
  <c r="BT78" i="1"/>
  <c r="BT68" i="1"/>
  <c r="BT67" i="1"/>
  <c r="BT58" i="1"/>
  <c r="BT57" i="1"/>
  <c r="BT48" i="1"/>
  <c r="BT47" i="1"/>
  <c r="BT38" i="1"/>
  <c r="BT37" i="1"/>
  <c r="BT28" i="1"/>
  <c r="BT27" i="1"/>
  <c r="BT8" i="1"/>
  <c r="BS96" i="1"/>
  <c r="BS98" i="1" s="1"/>
  <c r="BS99" i="1" s="1"/>
  <c r="BS78" i="1"/>
  <c r="BS68" i="1"/>
  <c r="BS67" i="1"/>
  <c r="BS58" i="1"/>
  <c r="BS57" i="1"/>
  <c r="BS48" i="1"/>
  <c r="BS47" i="1"/>
  <c r="BS38" i="1"/>
  <c r="BS37" i="1"/>
  <c r="BS28" i="1"/>
  <c r="BS27" i="1"/>
  <c r="BS8" i="1"/>
  <c r="BR96" i="1"/>
  <c r="BR98" i="1" s="1"/>
  <c r="BR99" i="1" s="1"/>
  <c r="BR78" i="1"/>
  <c r="BR68" i="1"/>
  <c r="BR67" i="1"/>
  <c r="BR58" i="1"/>
  <c r="BR57" i="1"/>
  <c r="BR48" i="1"/>
  <c r="BR47" i="1"/>
  <c r="BR38" i="1"/>
  <c r="BR37" i="1"/>
  <c r="BR28" i="1"/>
  <c r="BR27" i="1"/>
  <c r="BR8" i="1"/>
  <c r="BW16" i="1" l="1"/>
  <c r="BW17" i="1"/>
  <c r="BV16" i="1"/>
  <c r="BV17" i="1"/>
  <c r="BU16" i="1"/>
  <c r="BU17" i="1"/>
  <c r="BT17" i="1"/>
  <c r="BT16" i="1"/>
  <c r="BS17" i="1"/>
  <c r="BS16" i="1"/>
  <c r="BR17" i="1"/>
  <c r="BR16" i="1"/>
  <c r="BE31" i="22" l="1"/>
  <c r="BE24" i="22"/>
  <c r="BE17" i="22"/>
  <c r="BE10" i="22"/>
  <c r="BE3" i="22"/>
  <c r="BP64" i="11"/>
  <c r="BP63" i="11"/>
  <c r="BP62" i="11"/>
  <c r="BP61" i="11"/>
  <c r="BP60" i="11"/>
  <c r="BP55" i="11"/>
  <c r="BP28" i="11"/>
  <c r="AH85" i="27"/>
  <c r="BQ96" i="1"/>
  <c r="BQ98" i="1" s="1"/>
  <c r="BQ99" i="1" s="1"/>
  <c r="BQ78" i="1"/>
  <c r="BQ8" i="1"/>
  <c r="T31" i="30"/>
  <c r="T24" i="30"/>
  <c r="T17" i="30"/>
  <c r="T10" i="30"/>
  <c r="T3" i="30"/>
  <c r="BP65" i="11" l="1"/>
  <c r="BP70" i="11" s="1"/>
  <c r="BQ48" i="1" s="1"/>
  <c r="BP72" i="11"/>
  <c r="BQ68" i="1" s="1"/>
  <c r="BP11" i="11"/>
  <c r="BO9" i="11"/>
  <c r="BP18" i="11" s="1"/>
  <c r="BO8" i="11"/>
  <c r="BP17" i="11" s="1"/>
  <c r="BO7" i="11"/>
  <c r="BP16" i="11" s="1"/>
  <c r="BO6" i="11"/>
  <c r="BP15" i="11" s="1"/>
  <c r="BO10" i="11"/>
  <c r="BP19" i="11" s="1"/>
  <c r="BO5" i="11"/>
  <c r="BP14" i="11" s="1"/>
  <c r="BP31" i="11" s="1"/>
  <c r="AE10" i="28"/>
  <c r="AE9" i="28"/>
  <c r="AE8" i="28"/>
  <c r="AE7" i="28"/>
  <c r="AE6" i="28"/>
  <c r="AE5" i="28"/>
  <c r="BP32" i="11" l="1"/>
  <c r="BQ37" i="1" s="1"/>
  <c r="BP33" i="11"/>
  <c r="BQ47" i="1" s="1"/>
  <c r="BP34" i="11"/>
  <c r="BQ57" i="1" s="1"/>
  <c r="BP35" i="11"/>
  <c r="BQ67" i="1" s="1"/>
  <c r="BP20" i="11"/>
  <c r="BP71" i="11"/>
  <c r="BQ58" i="1" s="1"/>
  <c r="BP68" i="11"/>
  <c r="BQ28" i="1" s="1"/>
  <c r="BP69" i="11"/>
  <c r="BQ38" i="1" s="1"/>
  <c r="BQ27" i="1"/>
  <c r="BQ16" i="1" l="1"/>
  <c r="BP36" i="11"/>
  <c r="BQ17" i="1"/>
  <c r="BP73" i="11"/>
  <c r="BD31" i="22" l="1"/>
  <c r="BD24" i="22"/>
  <c r="BD17" i="22"/>
  <c r="BD10" i="22"/>
  <c r="BD3" i="22"/>
  <c r="BO64" i="11"/>
  <c r="BO63" i="11"/>
  <c r="BO62" i="11"/>
  <c r="BO61" i="11"/>
  <c r="BO60" i="11"/>
  <c r="BO55" i="11"/>
  <c r="BO28" i="11"/>
  <c r="BP96" i="1"/>
  <c r="BP98" i="1" s="1"/>
  <c r="BP99" i="1" s="1"/>
  <c r="BP78" i="1"/>
  <c r="BP8" i="1"/>
  <c r="S31" i="30"/>
  <c r="S24" i="30"/>
  <c r="S17" i="30"/>
  <c r="S10" i="30"/>
  <c r="S3" i="30"/>
  <c r="AG85" i="27"/>
  <c r="BO65" i="11" l="1"/>
  <c r="BO68" i="11" s="1"/>
  <c r="BO11" i="11"/>
  <c r="BO71" i="11" l="1"/>
  <c r="BP58" i="1" s="1"/>
  <c r="BO69" i="11"/>
  <c r="BP38" i="1" s="1"/>
  <c r="BO72" i="11"/>
  <c r="BP68" i="1" s="1"/>
  <c r="BO70" i="11"/>
  <c r="BP48" i="1" s="1"/>
  <c r="BP28" i="1"/>
  <c r="BO73" i="11" l="1"/>
  <c r="BP17" i="1"/>
  <c r="AD10" i="28"/>
  <c r="AD9" i="28"/>
  <c r="AD8" i="28"/>
  <c r="AD7" i="28"/>
  <c r="AD6" i="28"/>
  <c r="AD5" i="28"/>
  <c r="BN10" i="11" l="1"/>
  <c r="BO19" i="11" s="1"/>
  <c r="BN9" i="11"/>
  <c r="BO18" i="11" s="1"/>
  <c r="BO35" i="11" s="1"/>
  <c r="BP67" i="1" s="1"/>
  <c r="BN8" i="11"/>
  <c r="BO17" i="11" s="1"/>
  <c r="BO34" i="11" s="1"/>
  <c r="BP57" i="1" s="1"/>
  <c r="BN7" i="11"/>
  <c r="BO16" i="11" s="1"/>
  <c r="BO33" i="11" s="1"/>
  <c r="BP47" i="1" s="1"/>
  <c r="BN6" i="11"/>
  <c r="BO15" i="11" s="1"/>
  <c r="BO32" i="11" s="1"/>
  <c r="BP37" i="1" s="1"/>
  <c r="BN5" i="11"/>
  <c r="BO14" i="11" s="1"/>
  <c r="BO31" i="11" l="1"/>
  <c r="BO20" i="11"/>
  <c r="AF6" i="27"/>
  <c r="AE6" i="27"/>
  <c r="BO36" i="11" l="1"/>
  <c r="BP27" i="1"/>
  <c r="BP16" i="1" s="1"/>
  <c r="AH6" i="27"/>
  <c r="AI6" i="27"/>
  <c r="AG6" i="27"/>
  <c r="R31" i="30"/>
  <c r="R24" i="30"/>
  <c r="R17" i="30"/>
  <c r="R10" i="30"/>
  <c r="R3" i="30"/>
  <c r="BC31" i="22"/>
  <c r="BC24" i="22"/>
  <c r="BC17" i="22"/>
  <c r="BC10" i="22"/>
  <c r="BC3" i="22"/>
  <c r="BN64" i="11"/>
  <c r="BN63" i="11"/>
  <c r="BN62" i="11"/>
  <c r="BN61" i="11"/>
  <c r="BN60" i="11"/>
  <c r="BN55" i="11"/>
  <c r="BN28" i="11"/>
  <c r="BO96" i="1"/>
  <c r="BO78" i="1"/>
  <c r="BO8" i="1"/>
  <c r="AF85" i="27"/>
  <c r="AF87" i="27" s="1"/>
  <c r="AF88" i="27" s="1"/>
  <c r="AF78" i="27"/>
  <c r="BO98" i="1" l="1"/>
  <c r="BO99" i="1" s="1"/>
  <c r="BN65" i="11"/>
  <c r="BN11" i="11"/>
  <c r="BN69" i="11" l="1"/>
  <c r="BO38" i="1" s="1"/>
  <c r="BN72" i="11"/>
  <c r="BO68" i="1" s="1"/>
  <c r="BN70" i="11"/>
  <c r="BO48" i="1" s="1"/>
  <c r="BN68" i="11"/>
  <c r="BN71" i="11"/>
  <c r="BO58" i="1" s="1"/>
  <c r="BO28" i="1" l="1"/>
  <c r="BN73" i="11"/>
  <c r="BO17" i="1" l="1"/>
  <c r="AF8" i="27" l="1"/>
  <c r="AS87" i="27"/>
  <c r="AS88" i="27" s="1"/>
  <c r="AP87" i="27"/>
  <c r="AP88" i="27" s="1"/>
  <c r="AH87" i="27"/>
  <c r="AH88" i="27" s="1"/>
  <c r="AV87" i="27"/>
  <c r="AV88" i="27" s="1"/>
  <c r="AT87" i="27"/>
  <c r="AT88" i="27" s="1"/>
  <c r="AR87" i="27"/>
  <c r="AR88" i="27" s="1"/>
  <c r="AQ87" i="27"/>
  <c r="AQ88" i="27" s="1"/>
  <c r="AN88" i="27"/>
  <c r="AM87" i="27"/>
  <c r="AM88" i="27" s="1"/>
  <c r="AL87" i="27"/>
  <c r="AL88" i="27" s="1"/>
  <c r="AI87" i="27"/>
  <c r="AI88" i="27" s="1"/>
  <c r="AG87" i="27"/>
  <c r="AG88" i="27" s="1"/>
  <c r="AW78" i="27"/>
  <c r="AV78" i="27"/>
  <c r="AU78" i="27"/>
  <c r="AT78" i="27"/>
  <c r="AS78" i="27"/>
  <c r="AR78" i="27"/>
  <c r="AQ78" i="27"/>
  <c r="AP78" i="27"/>
  <c r="AN78" i="27"/>
  <c r="AJ78" i="27"/>
  <c r="AH78" i="27"/>
  <c r="AG78" i="27"/>
  <c r="AT8" i="27"/>
  <c r="AS8" i="27"/>
  <c r="AQ8" i="27"/>
  <c r="AP8" i="27"/>
  <c r="AK8" i="27"/>
  <c r="AI8" i="27"/>
  <c r="AH8" i="27"/>
  <c r="AW8" i="27"/>
  <c r="AV8" i="27"/>
  <c r="AU8" i="27"/>
  <c r="AR8" i="27"/>
  <c r="AN8" i="27"/>
  <c r="AM8" i="27"/>
  <c r="AJ8" i="27"/>
  <c r="AG8" i="27"/>
  <c r="AC10" i="28" l="1"/>
  <c r="AC9" i="28"/>
  <c r="AC8" i="28"/>
  <c r="AC7" i="28"/>
  <c r="AC6" i="28"/>
  <c r="AC5" i="28"/>
  <c r="BM9" i="11"/>
  <c r="BN18" i="11" s="1"/>
  <c r="BM8" i="11"/>
  <c r="BN17" i="11" s="1"/>
  <c r="BM7" i="11"/>
  <c r="BN16" i="11" s="1"/>
  <c r="BM6" i="11"/>
  <c r="BN15" i="11" s="1"/>
  <c r="AD78" i="27" l="1"/>
  <c r="BN78" i="1"/>
  <c r="BM64" i="11" l="1"/>
  <c r="BM63" i="11"/>
  <c r="BM62" i="11"/>
  <c r="BM61" i="11"/>
  <c r="BM60" i="11"/>
  <c r="BM55" i="11"/>
  <c r="BM28" i="11"/>
  <c r="BM10" i="11"/>
  <c r="BN19" i="11" s="1"/>
  <c r="BM5" i="11"/>
  <c r="AE85" i="27"/>
  <c r="BB31" i="22"/>
  <c r="BB24" i="22"/>
  <c r="BB17" i="22"/>
  <c r="BB10" i="22"/>
  <c r="BB3" i="22"/>
  <c r="Q31" i="30"/>
  <c r="Q24" i="30"/>
  <c r="Q17" i="30"/>
  <c r="Q10" i="30"/>
  <c r="Q3" i="30"/>
  <c r="BN96" i="1"/>
  <c r="BN98" i="1" s="1"/>
  <c r="BN99" i="1" s="1"/>
  <c r="BN8" i="1"/>
  <c r="BN35" i="11" l="1"/>
  <c r="BO67" i="1" s="1"/>
  <c r="BN34" i="11"/>
  <c r="BO57" i="1" s="1"/>
  <c r="BN33" i="11"/>
  <c r="BO47" i="1" s="1"/>
  <c r="BN32" i="11"/>
  <c r="BO37" i="1" s="1"/>
  <c r="BN14" i="11"/>
  <c r="BM11" i="11"/>
  <c r="BM65" i="11"/>
  <c r="BM71" i="11" s="1"/>
  <c r="BN58" i="1" s="1"/>
  <c r="BN31" i="11" l="1"/>
  <c r="BN20" i="11"/>
  <c r="BM70" i="11"/>
  <c r="BN48" i="1" s="1"/>
  <c r="BM72" i="11"/>
  <c r="BN68" i="1" s="1"/>
  <c r="BM68" i="11"/>
  <c r="BM69" i="11"/>
  <c r="BN38" i="1" s="1"/>
  <c r="BN36" i="11" l="1"/>
  <c r="BO27" i="1"/>
  <c r="BO16" i="1" s="1"/>
  <c r="BM73" i="11"/>
  <c r="BN28" i="1"/>
  <c r="BN17" i="1" l="1"/>
  <c r="P85" i="1" l="1"/>
  <c r="AB10" i="28" l="1"/>
  <c r="AB9" i="28"/>
  <c r="AB8" i="28"/>
  <c r="AB7" i="28"/>
  <c r="AB6" i="28"/>
  <c r="AB5" i="28"/>
  <c r="BL8" i="11"/>
  <c r="BM17" i="11" s="1"/>
  <c r="BL7" i="11"/>
  <c r="BM16" i="11" s="1"/>
  <c r="BL6" i="11"/>
  <c r="BM15" i="11" s="1"/>
  <c r="BL10" i="11"/>
  <c r="BM19" i="11" s="1"/>
  <c r="BL9" i="11"/>
  <c r="BM18" i="11" s="1"/>
  <c r="BL5" i="11"/>
  <c r="BM14" i="11" s="1"/>
  <c r="BM33" i="11" l="1"/>
  <c r="BN47" i="1" s="1"/>
  <c r="BM35" i="11"/>
  <c r="BN67" i="1" s="1"/>
  <c r="BM34" i="11"/>
  <c r="BN57" i="1" s="1"/>
  <c r="BM31" i="11"/>
  <c r="BM20" i="11"/>
  <c r="BM32" i="11"/>
  <c r="BN37" i="1" s="1"/>
  <c r="AD6" i="27"/>
  <c r="AD8" i="27" s="1"/>
  <c r="BM6" i="1"/>
  <c r="BM8" i="1" s="1"/>
  <c r="BN27" i="1" l="1"/>
  <c r="BN16" i="1" s="1"/>
  <c r="BM36" i="11"/>
  <c r="AE87" i="27"/>
  <c r="AE88" i="27" s="1"/>
  <c r="AD85" i="27"/>
  <c r="AD87" i="27" s="1"/>
  <c r="AD88" i="27" s="1"/>
  <c r="BL64" i="11" l="1"/>
  <c r="BL63" i="11"/>
  <c r="BL62" i="11"/>
  <c r="BL61" i="11"/>
  <c r="BL60" i="11"/>
  <c r="BL55" i="11"/>
  <c r="BL28" i="11"/>
  <c r="BA31" i="22"/>
  <c r="BA24" i="22"/>
  <c r="BA17" i="22"/>
  <c r="BA18" i="22" s="1"/>
  <c r="BB18" i="22" s="1"/>
  <c r="BA10" i="22"/>
  <c r="BA12" i="22" s="1"/>
  <c r="BB12" i="22" s="1"/>
  <c r="BA3" i="22"/>
  <c r="P31" i="30"/>
  <c r="P24" i="30"/>
  <c r="P17" i="30"/>
  <c r="P18" i="30" s="1"/>
  <c r="P10" i="30"/>
  <c r="P3" i="30"/>
  <c r="BM96" i="1"/>
  <c r="BM98" i="1" s="1"/>
  <c r="BM99" i="1" s="1"/>
  <c r="BM78" i="1"/>
  <c r="P19" i="30" l="1"/>
  <c r="Q18" i="30"/>
  <c r="BC12" i="22"/>
  <c r="BC18" i="22"/>
  <c r="P25" i="30"/>
  <c r="P11" i="30"/>
  <c r="P4" i="30"/>
  <c r="P32" i="30"/>
  <c r="BA19" i="22"/>
  <c r="BL65" i="11"/>
  <c r="BL68" i="11" s="1"/>
  <c r="BA25" i="22"/>
  <c r="BA26" i="22"/>
  <c r="BB26" i="22" s="1"/>
  <c r="BA4" i="22"/>
  <c r="BA5" i="22"/>
  <c r="BB5" i="22" s="1"/>
  <c r="BA33" i="22"/>
  <c r="BB33" i="22" s="1"/>
  <c r="BC33" i="22" s="1"/>
  <c r="BD33" i="22" s="1"/>
  <c r="BE33" i="22" s="1"/>
  <c r="BA32" i="22"/>
  <c r="BL11" i="11"/>
  <c r="BA11" i="22"/>
  <c r="P20" i="30"/>
  <c r="P21" i="30" s="1"/>
  <c r="P22" i="30" s="1"/>
  <c r="BA6" i="22" l="1"/>
  <c r="BB4" i="22"/>
  <c r="BC5" i="22"/>
  <c r="BC26" i="22"/>
  <c r="BD26" i="22" s="1"/>
  <c r="BE26" i="22" s="1"/>
  <c r="BF26" i="22" s="1"/>
  <c r="BG26" i="22" s="1"/>
  <c r="BH26" i="22" s="1"/>
  <c r="P12" i="30"/>
  <c r="P13" i="30" s="1"/>
  <c r="P14" i="30" s="1"/>
  <c r="P15" i="30" s="1"/>
  <c r="Q11" i="30"/>
  <c r="BD12" i="22"/>
  <c r="BE12" i="22" s="1"/>
  <c r="BA27" i="22"/>
  <c r="BA28" i="22" s="1"/>
  <c r="BA29" i="22" s="1"/>
  <c r="BB25" i="22"/>
  <c r="BA13" i="22"/>
  <c r="BA14" i="22" s="1"/>
  <c r="BA15" i="22" s="1"/>
  <c r="BB11" i="22"/>
  <c r="BA34" i="22"/>
  <c r="BA35" i="22" s="1"/>
  <c r="BA36" i="22" s="1"/>
  <c r="BB32" i="22"/>
  <c r="BA20" i="22"/>
  <c r="BA21" i="22" s="1"/>
  <c r="BA22" i="22" s="1"/>
  <c r="BB19" i="22"/>
  <c r="P26" i="30"/>
  <c r="P27" i="30" s="1"/>
  <c r="Q25" i="30"/>
  <c r="Q19" i="30"/>
  <c r="Q20" i="30" s="1"/>
  <c r="Q21" i="30" s="1"/>
  <c r="Q22" i="30" s="1"/>
  <c r="R18" i="30"/>
  <c r="P33" i="30"/>
  <c r="P34" i="30" s="1"/>
  <c r="P35" i="30" s="1"/>
  <c r="P36" i="30" s="1"/>
  <c r="Q32" i="30"/>
  <c r="BD18" i="22"/>
  <c r="P5" i="30"/>
  <c r="P6" i="30" s="1"/>
  <c r="Q4" i="30"/>
  <c r="BF33" i="22"/>
  <c r="BA7" i="22"/>
  <c r="BA8" i="22" s="1"/>
  <c r="BL71" i="11"/>
  <c r="BM58" i="1" s="1"/>
  <c r="BL70" i="11"/>
  <c r="BM48" i="1" s="1"/>
  <c r="BM49" i="1" s="1"/>
  <c r="BM50" i="1" s="1"/>
  <c r="BL69" i="11"/>
  <c r="BM38" i="1" s="1"/>
  <c r="BM28" i="1"/>
  <c r="BL72" i="11"/>
  <c r="BM68" i="1" s="1"/>
  <c r="BM39" i="1" l="1"/>
  <c r="BM40" i="1" s="1"/>
  <c r="P7" i="30"/>
  <c r="P8" i="30" s="1"/>
  <c r="P28" i="30"/>
  <c r="P29" i="30" s="1"/>
  <c r="BB34" i="22"/>
  <c r="BB35" i="22" s="1"/>
  <c r="BB36" i="22" s="1"/>
  <c r="BN69" i="1" s="1"/>
  <c r="BC32" i="22"/>
  <c r="Q12" i="30"/>
  <c r="R11" i="30"/>
  <c r="Q13" i="30"/>
  <c r="Q14" i="30" s="1"/>
  <c r="Q15" i="30" s="1"/>
  <c r="R19" i="30"/>
  <c r="R20" i="30" s="1"/>
  <c r="S18" i="30"/>
  <c r="BB13" i="22"/>
  <c r="BB14" i="22" s="1"/>
  <c r="BB15" i="22" s="1"/>
  <c r="BN39" i="1" s="1"/>
  <c r="BN40" i="1" s="1"/>
  <c r="BN41" i="1" s="1"/>
  <c r="BC11" i="22"/>
  <c r="BI26" i="22"/>
  <c r="BG33" i="22"/>
  <c r="BH33" i="22" s="1"/>
  <c r="R4" i="30"/>
  <c r="Q5" i="30"/>
  <c r="BM59" i="1"/>
  <c r="BM60" i="1" s="1"/>
  <c r="Q26" i="30"/>
  <c r="R25" i="30"/>
  <c r="Q27" i="30"/>
  <c r="BC25" i="22"/>
  <c r="BB27" i="22"/>
  <c r="BB28" i="22" s="1"/>
  <c r="BB29" i="22" s="1"/>
  <c r="BN59" i="1" s="1"/>
  <c r="BN60" i="1" s="1"/>
  <c r="BN61" i="1" s="1"/>
  <c r="BD5" i="22"/>
  <c r="BE5" i="22" s="1"/>
  <c r="BM29" i="1"/>
  <c r="BM30" i="1" s="1"/>
  <c r="BE18" i="22"/>
  <c r="BC19" i="22"/>
  <c r="BB20" i="22"/>
  <c r="BB21" i="22" s="1"/>
  <c r="BB22" i="22" s="1"/>
  <c r="BN49" i="1" s="1"/>
  <c r="BN50" i="1" s="1"/>
  <c r="BN51" i="1" s="1"/>
  <c r="BC4" i="22"/>
  <c r="BB6" i="22"/>
  <c r="BB7" i="22" s="1"/>
  <c r="BB8" i="22" s="1"/>
  <c r="BN29" i="1" s="1"/>
  <c r="BN30" i="1" s="1"/>
  <c r="BN31" i="1" s="1"/>
  <c r="Q33" i="30"/>
  <c r="Q34" i="30" s="1"/>
  <c r="Q35" i="30" s="1"/>
  <c r="Q36" i="30" s="1"/>
  <c r="R32" i="30"/>
  <c r="BF12" i="22"/>
  <c r="BL73" i="11"/>
  <c r="BM69" i="1"/>
  <c r="BM17" i="1"/>
  <c r="BF5" i="22" l="1"/>
  <c r="Q6" i="30"/>
  <c r="Q7" i="30" s="1"/>
  <c r="Q8" i="30" s="1"/>
  <c r="R5" i="30"/>
  <c r="R6" i="30" s="1"/>
  <c r="R7" i="30" s="1"/>
  <c r="R8" i="30" s="1"/>
  <c r="S4" i="30"/>
  <c r="BD19" i="22"/>
  <c r="BC20" i="22"/>
  <c r="BC21" i="22" s="1"/>
  <c r="BC22" i="22" s="1"/>
  <c r="BO49" i="1" s="1"/>
  <c r="BO50" i="1" s="1"/>
  <c r="BO51" i="1" s="1"/>
  <c r="R21" i="30"/>
  <c r="R22" i="30" s="1"/>
  <c r="S19" i="30"/>
  <c r="T18" i="30"/>
  <c r="S20" i="30"/>
  <c r="S21" i="30" s="1"/>
  <c r="S22" i="30" s="1"/>
  <c r="BG12" i="22"/>
  <c r="BH12" i="22" s="1"/>
  <c r="BI33" i="22"/>
  <c r="BJ33" i="22" s="1"/>
  <c r="BK33" i="22" s="1"/>
  <c r="BF18" i="22"/>
  <c r="BD25" i="22"/>
  <c r="BC27" i="22"/>
  <c r="BC28" i="22" s="1"/>
  <c r="BC29" i="22" s="1"/>
  <c r="BO59" i="1" s="1"/>
  <c r="BO60" i="1" s="1"/>
  <c r="BO61" i="1" s="1"/>
  <c r="R33" i="30"/>
  <c r="R34" i="30" s="1"/>
  <c r="R35" i="30" s="1"/>
  <c r="R36" i="30" s="1"/>
  <c r="S32" i="30"/>
  <c r="S11" i="30"/>
  <c r="R12" i="30"/>
  <c r="R13" i="30" s="1"/>
  <c r="R26" i="30"/>
  <c r="R27" i="30" s="1"/>
  <c r="S25" i="30"/>
  <c r="BJ26" i="22"/>
  <c r="BK26" i="22" s="1"/>
  <c r="Q28" i="30"/>
  <c r="Q29" i="30" s="1"/>
  <c r="BC13" i="22"/>
  <c r="BC14" i="22" s="1"/>
  <c r="BC15" i="22" s="1"/>
  <c r="BO39" i="1" s="1"/>
  <c r="BO40" i="1" s="1"/>
  <c r="BO41" i="1" s="1"/>
  <c r="BD11" i="22"/>
  <c r="BD32" i="22"/>
  <c r="BC34" i="22"/>
  <c r="BC35" i="22" s="1"/>
  <c r="BC36" i="22" s="1"/>
  <c r="BO69" i="1" s="1"/>
  <c r="BD4" i="22"/>
  <c r="BC6" i="22"/>
  <c r="BC7" i="22" s="1"/>
  <c r="BC8" i="22" s="1"/>
  <c r="BO29" i="1" s="1"/>
  <c r="BO30" i="1" s="1"/>
  <c r="BO31" i="1" s="1"/>
  <c r="BN70" i="1"/>
  <c r="BN18" i="1"/>
  <c r="BM70" i="1"/>
  <c r="BM18" i="1"/>
  <c r="R14" i="30" l="1"/>
  <c r="R15" i="30" s="1"/>
  <c r="S33" i="30"/>
  <c r="S34" i="30" s="1"/>
  <c r="S35" i="30" s="1"/>
  <c r="S36" i="30" s="1"/>
  <c r="T32" i="30"/>
  <c r="BI12" i="22"/>
  <c r="BE19" i="22"/>
  <c r="BD20" i="22"/>
  <c r="BD21" i="22" s="1"/>
  <c r="BD22" i="22" s="1"/>
  <c r="BP49" i="1" s="1"/>
  <c r="BP50" i="1" s="1"/>
  <c r="BP51" i="1" s="1"/>
  <c r="S5" i="30"/>
  <c r="S6" i="30" s="1"/>
  <c r="S7" i="30" s="1"/>
  <c r="S8" i="30" s="1"/>
  <c r="T4" i="30"/>
  <c r="BO18" i="1"/>
  <c r="BO70" i="1"/>
  <c r="BE32" i="22"/>
  <c r="BD34" i="22"/>
  <c r="BD35" i="22" s="1"/>
  <c r="BD36" i="22" s="1"/>
  <c r="BP69" i="1" s="1"/>
  <c r="BD27" i="22"/>
  <c r="BD28" i="22" s="1"/>
  <c r="BD29" i="22" s="1"/>
  <c r="BP59" i="1" s="1"/>
  <c r="BP60" i="1" s="1"/>
  <c r="BP61" i="1" s="1"/>
  <c r="BE25" i="22"/>
  <c r="T19" i="30"/>
  <c r="T20" i="30" s="1"/>
  <c r="T21" i="30" s="1"/>
  <c r="T22" i="30" s="1"/>
  <c r="U18" i="30"/>
  <c r="BE11" i="22"/>
  <c r="BD13" i="22"/>
  <c r="BD14" i="22" s="1"/>
  <c r="BD15" i="22" s="1"/>
  <c r="BP39" i="1" s="1"/>
  <c r="BP40" i="1" s="1"/>
  <c r="BP41" i="1" s="1"/>
  <c r="BG18" i="22"/>
  <c r="R28" i="30"/>
  <c r="R29" i="30" s="1"/>
  <c r="BE4" i="22"/>
  <c r="BD6" i="22"/>
  <c r="BD7" i="22" s="1"/>
  <c r="BD8" i="22" s="1"/>
  <c r="BP29" i="1" s="1"/>
  <c r="BP30" i="1" s="1"/>
  <c r="BP31" i="1" s="1"/>
  <c r="S26" i="30"/>
  <c r="S27" i="30" s="1"/>
  <c r="S28" i="30" s="1"/>
  <c r="S29" i="30" s="1"/>
  <c r="T25" i="30"/>
  <c r="BN71" i="1"/>
  <c r="BN20" i="1" s="1"/>
  <c r="BN19" i="1"/>
  <c r="S12" i="30"/>
  <c r="S13" i="30" s="1"/>
  <c r="S14" i="30" s="1"/>
  <c r="S15" i="30" s="1"/>
  <c r="T11" i="30"/>
  <c r="BG5" i="22"/>
  <c r="BH5" i="22" s="1"/>
  <c r="BM19" i="1"/>
  <c r="BF25" i="22" l="1"/>
  <c r="BE27" i="22"/>
  <c r="BE28" i="22" s="1"/>
  <c r="BE29" i="22" s="1"/>
  <c r="BQ59" i="1" s="1"/>
  <c r="BQ60" i="1" s="1"/>
  <c r="BQ61" i="1" s="1"/>
  <c r="BP70" i="1"/>
  <c r="BP18" i="1"/>
  <c r="BF19" i="22"/>
  <c r="BE20" i="22"/>
  <c r="BE21" i="22" s="1"/>
  <c r="BE22" i="22" s="1"/>
  <c r="BQ49" i="1" s="1"/>
  <c r="BQ50" i="1" s="1"/>
  <c r="BQ51" i="1" s="1"/>
  <c r="BF32" i="22"/>
  <c r="BE34" i="22"/>
  <c r="BE35" i="22" s="1"/>
  <c r="BE36" i="22" s="1"/>
  <c r="BQ69" i="1" s="1"/>
  <c r="BJ12" i="22"/>
  <c r="BO19" i="1"/>
  <c r="BO71" i="1"/>
  <c r="BO20" i="1" s="1"/>
  <c r="BH18" i="22"/>
  <c r="U19" i="30"/>
  <c r="U20" i="30" s="1"/>
  <c r="U21" i="30" s="1"/>
  <c r="U22" i="30" s="1"/>
  <c r="V18" i="30"/>
  <c r="T33" i="30"/>
  <c r="T34" i="30" s="1"/>
  <c r="T35" i="30" s="1"/>
  <c r="T36" i="30" s="1"/>
  <c r="U32" i="30"/>
  <c r="T26" i="30"/>
  <c r="U25" i="30"/>
  <c r="T27" i="30"/>
  <c r="T28" i="30" s="1"/>
  <c r="T29" i="30" s="1"/>
  <c r="BF11" i="22"/>
  <c r="BE13" i="22"/>
  <c r="BE14" i="22" s="1"/>
  <c r="BE15" i="22" s="1"/>
  <c r="BQ39" i="1" s="1"/>
  <c r="BQ40" i="1" s="1"/>
  <c r="BQ41" i="1" s="1"/>
  <c r="BI5" i="22"/>
  <c r="T12" i="30"/>
  <c r="T13" i="30" s="1"/>
  <c r="T14" i="30" s="1"/>
  <c r="T15" i="30" s="1"/>
  <c r="U11" i="30"/>
  <c r="BF4" i="22"/>
  <c r="BE6" i="22"/>
  <c r="BE7" i="22" s="1"/>
  <c r="BE8" i="22" s="1"/>
  <c r="BQ29" i="1" s="1"/>
  <c r="BQ30" i="1" s="1"/>
  <c r="BQ31" i="1" s="1"/>
  <c r="T5" i="30"/>
  <c r="T6" i="30" s="1"/>
  <c r="T7" i="30" s="1"/>
  <c r="T8" i="30" s="1"/>
  <c r="U4" i="30"/>
  <c r="BQ18" i="1" l="1"/>
  <c r="BQ70" i="1"/>
  <c r="BG32" i="22"/>
  <c r="BF34" i="22"/>
  <c r="BF35" i="22" s="1"/>
  <c r="BF36" i="22" s="1"/>
  <c r="BR69" i="1" s="1"/>
  <c r="BG19" i="22"/>
  <c r="BF20" i="22"/>
  <c r="BF21" i="22" s="1"/>
  <c r="BF22" i="22" s="1"/>
  <c r="BR49" i="1" s="1"/>
  <c r="BR50" i="1" s="1"/>
  <c r="BR51" i="1" s="1"/>
  <c r="BF13" i="22"/>
  <c r="BF14" i="22" s="1"/>
  <c r="BF15" i="22" s="1"/>
  <c r="BR39" i="1" s="1"/>
  <c r="BR40" i="1" s="1"/>
  <c r="BR41" i="1" s="1"/>
  <c r="BG11" i="22"/>
  <c r="U26" i="30"/>
  <c r="U27" i="30" s="1"/>
  <c r="U28" i="30" s="1"/>
  <c r="U29" i="30" s="1"/>
  <c r="V25" i="30"/>
  <c r="BI18" i="22"/>
  <c r="U12" i="30"/>
  <c r="U13" i="30" s="1"/>
  <c r="U14" i="30" s="1"/>
  <c r="U15" i="30" s="1"/>
  <c r="V11" i="30"/>
  <c r="U33" i="30"/>
  <c r="U34" i="30" s="1"/>
  <c r="U35" i="30" s="1"/>
  <c r="U36" i="30" s="1"/>
  <c r="V32" i="30"/>
  <c r="BP19" i="1"/>
  <c r="BP71" i="1"/>
  <c r="BP20" i="1" s="1"/>
  <c r="U5" i="30"/>
  <c r="V4" i="30"/>
  <c r="V19" i="30"/>
  <c r="W18" i="30"/>
  <c r="V20" i="30"/>
  <c r="V21" i="30" s="1"/>
  <c r="V22" i="30" s="1"/>
  <c r="BF6" i="22"/>
  <c r="BF7" i="22" s="1"/>
  <c r="BF8" i="22" s="1"/>
  <c r="BR29" i="1" s="1"/>
  <c r="BR30" i="1" s="1"/>
  <c r="BR31" i="1" s="1"/>
  <c r="BG4" i="22"/>
  <c r="BJ5" i="22"/>
  <c r="BK12" i="22"/>
  <c r="BF27" i="22"/>
  <c r="BF28" i="22" s="1"/>
  <c r="BF29" i="22" s="1"/>
  <c r="BR59" i="1" s="1"/>
  <c r="BR60" i="1" s="1"/>
  <c r="BR61" i="1" s="1"/>
  <c r="BG25" i="22"/>
  <c r="AW96" i="1"/>
  <c r="BH19" i="22" l="1"/>
  <c r="BG20" i="22"/>
  <c r="BG21" i="22" s="1"/>
  <c r="BG22" i="22" s="1"/>
  <c r="BS49" i="1" s="1"/>
  <c r="BS50" i="1" s="1"/>
  <c r="BS51" i="1" s="1"/>
  <c r="BG6" i="22"/>
  <c r="BG7" i="22" s="1"/>
  <c r="BG8" i="22" s="1"/>
  <c r="BS29" i="1" s="1"/>
  <c r="BS30" i="1" s="1"/>
  <c r="BS31" i="1" s="1"/>
  <c r="BH4" i="22"/>
  <c r="BJ18" i="22"/>
  <c r="BR70" i="1"/>
  <c r="BR18" i="1"/>
  <c r="W4" i="30"/>
  <c r="V5" i="30"/>
  <c r="V6" i="30"/>
  <c r="V7" i="30" s="1"/>
  <c r="V8" i="30" s="1"/>
  <c r="BK5" i="22"/>
  <c r="X18" i="30"/>
  <c r="W19" i="30"/>
  <c r="W20" i="30" s="1"/>
  <c r="W21" i="30" s="1"/>
  <c r="W22" i="30" s="1"/>
  <c r="V33" i="30"/>
  <c r="W32" i="30"/>
  <c r="V34" i="30"/>
  <c r="V35" i="30" s="1"/>
  <c r="V36" i="30" s="1"/>
  <c r="W25" i="30"/>
  <c r="V26" i="30"/>
  <c r="BG34" i="22"/>
  <c r="BG35" i="22" s="1"/>
  <c r="BG36" i="22" s="1"/>
  <c r="BS69" i="1" s="1"/>
  <c r="BH32" i="22"/>
  <c r="V12" i="30"/>
  <c r="W11" i="30"/>
  <c r="V13" i="30"/>
  <c r="V14" i="30" s="1"/>
  <c r="V15" i="30" s="1"/>
  <c r="BQ19" i="1"/>
  <c r="BQ71" i="1"/>
  <c r="BQ20" i="1" s="1"/>
  <c r="BG27" i="22"/>
  <c r="BG28" i="22" s="1"/>
  <c r="BG29" i="22" s="1"/>
  <c r="BS59" i="1" s="1"/>
  <c r="BS60" i="1" s="1"/>
  <c r="BS61" i="1" s="1"/>
  <c r="BH25" i="22"/>
  <c r="U6" i="30"/>
  <c r="U7" i="30" s="1"/>
  <c r="U8" i="30" s="1"/>
  <c r="BG13" i="22"/>
  <c r="BG14" i="22" s="1"/>
  <c r="BG15" i="22" s="1"/>
  <c r="BS39" i="1" s="1"/>
  <c r="BS40" i="1" s="1"/>
  <c r="BS41" i="1" s="1"/>
  <c r="BH11" i="22"/>
  <c r="AA10" i="28"/>
  <c r="AA9" i="28"/>
  <c r="AA8" i="28"/>
  <c r="AA7" i="28"/>
  <c r="AA6" i="28"/>
  <c r="AA5" i="28"/>
  <c r="W5" i="30" l="1"/>
  <c r="V27" i="30"/>
  <c r="V28" i="30" s="1"/>
  <c r="V29" i="30" s="1"/>
  <c r="BK18" i="22"/>
  <c r="BI4" i="22"/>
  <c r="BH6" i="22"/>
  <c r="BH7" i="22" s="1"/>
  <c r="BH8" i="22" s="1"/>
  <c r="BT29" i="1" s="1"/>
  <c r="BT30" i="1" s="1"/>
  <c r="BT31" i="1" s="1"/>
  <c r="BH13" i="22"/>
  <c r="BH14" i="22" s="1"/>
  <c r="BH15" i="22" s="1"/>
  <c r="BT39" i="1" s="1"/>
  <c r="BT40" i="1" s="1"/>
  <c r="BT41" i="1" s="1"/>
  <c r="BI11" i="22"/>
  <c r="W33" i="30"/>
  <c r="X32" i="30"/>
  <c r="W34" i="30"/>
  <c r="X4" i="30"/>
  <c r="W6" i="30"/>
  <c r="W7" i="30" s="1"/>
  <c r="W8" i="30" s="1"/>
  <c r="W26" i="30"/>
  <c r="W27" i="30" s="1"/>
  <c r="W28" i="30" s="1"/>
  <c r="W29" i="30" s="1"/>
  <c r="X25" i="30"/>
  <c r="W12" i="30"/>
  <c r="W13" i="30" s="1"/>
  <c r="W14" i="30" s="1"/>
  <c r="W15" i="30" s="1"/>
  <c r="X11" i="30"/>
  <c r="BH27" i="22"/>
  <c r="BH28" i="22" s="1"/>
  <c r="BH29" i="22" s="1"/>
  <c r="BT59" i="1" s="1"/>
  <c r="BT60" i="1" s="1"/>
  <c r="BT61" i="1" s="1"/>
  <c r="BI25" i="22"/>
  <c r="BI32" i="22"/>
  <c r="BH34" i="22"/>
  <c r="BH35" i="22" s="1"/>
  <c r="BH36" i="22" s="1"/>
  <c r="BT69" i="1" s="1"/>
  <c r="BS18" i="1"/>
  <c r="BS70" i="1"/>
  <c r="X19" i="30"/>
  <c r="X20" i="30" s="1"/>
  <c r="X21" i="30" s="1"/>
  <c r="X22" i="30" s="1"/>
  <c r="Y18" i="30"/>
  <c r="BR19" i="1"/>
  <c r="BR71" i="1"/>
  <c r="BR20" i="1" s="1"/>
  <c r="BI19" i="22"/>
  <c r="BH20" i="22"/>
  <c r="BH21" i="22" s="1"/>
  <c r="BH22" i="22" s="1"/>
  <c r="BT49" i="1" s="1"/>
  <c r="BT50" i="1" s="1"/>
  <c r="BT51" i="1" s="1"/>
  <c r="BK8" i="11"/>
  <c r="BL17" i="11" s="1"/>
  <c r="BK7" i="11"/>
  <c r="BL16" i="11" s="1"/>
  <c r="BK6" i="11"/>
  <c r="BL15" i="11" s="1"/>
  <c r="BK10" i="11"/>
  <c r="BL19" i="11" s="1"/>
  <c r="BK9" i="11"/>
  <c r="BL18" i="11" s="1"/>
  <c r="BL35" i="11" s="1"/>
  <c r="BM67" i="1" s="1"/>
  <c r="BM71" i="1" s="1"/>
  <c r="BK5" i="11"/>
  <c r="BL14" i="11" s="1"/>
  <c r="BT18" i="1" l="1"/>
  <c r="BT70" i="1"/>
  <c r="X26" i="30"/>
  <c r="Y25" i="30"/>
  <c r="X27" i="30"/>
  <c r="X28" i="30" s="1"/>
  <c r="X29" i="30" s="1"/>
  <c r="BI13" i="22"/>
  <c r="BI14" i="22" s="1"/>
  <c r="BI15" i="22" s="1"/>
  <c r="BU39" i="1" s="1"/>
  <c r="BU40" i="1" s="1"/>
  <c r="BU41" i="1" s="1"/>
  <c r="BJ11" i="22"/>
  <c r="X5" i="30"/>
  <c r="X6" i="30" s="1"/>
  <c r="X7" i="30" s="1"/>
  <c r="X8" i="30" s="1"/>
  <c r="Y4" i="30"/>
  <c r="BI6" i="22"/>
  <c r="BI7" i="22" s="1"/>
  <c r="BI8" i="22" s="1"/>
  <c r="BU29" i="1" s="1"/>
  <c r="BU30" i="1" s="1"/>
  <c r="BU31" i="1" s="1"/>
  <c r="BJ4" i="22"/>
  <c r="BJ19" i="22"/>
  <c r="BI20" i="22"/>
  <c r="BI21" i="22" s="1"/>
  <c r="BI22" i="22" s="1"/>
  <c r="BU49" i="1" s="1"/>
  <c r="BU50" i="1" s="1"/>
  <c r="BU51" i="1" s="1"/>
  <c r="BL33" i="11"/>
  <c r="BM47" i="1" s="1"/>
  <c r="BM51" i="1" s="1"/>
  <c r="BL31" i="11"/>
  <c r="BL20" i="11"/>
  <c r="BL34" i="11"/>
  <c r="BM57" i="1" s="1"/>
  <c r="BM61" i="1" s="1"/>
  <c r="Y11" i="30"/>
  <c r="X12" i="30"/>
  <c r="BJ25" i="22"/>
  <c r="BI27" i="22"/>
  <c r="BI28" i="22" s="1"/>
  <c r="BI29" i="22" s="1"/>
  <c r="BU59" i="1" s="1"/>
  <c r="BU60" i="1" s="1"/>
  <c r="BU61" i="1" s="1"/>
  <c r="BS19" i="1"/>
  <c r="BS71" i="1"/>
  <c r="BS20" i="1" s="1"/>
  <c r="X33" i="30"/>
  <c r="Y32" i="30"/>
  <c r="BI34" i="22"/>
  <c r="BI35" i="22" s="1"/>
  <c r="BI36" i="22" s="1"/>
  <c r="BU69" i="1" s="1"/>
  <c r="BJ32" i="22"/>
  <c r="BL32" i="11"/>
  <c r="BM37" i="1" s="1"/>
  <c r="BM41" i="1" s="1"/>
  <c r="Y19" i="30"/>
  <c r="Y20" i="30" s="1"/>
  <c r="Y21" i="30" s="1"/>
  <c r="Y22" i="30" s="1"/>
  <c r="Z18" i="30"/>
  <c r="W35" i="30"/>
  <c r="W36" i="30" s="1"/>
  <c r="AZ31" i="22"/>
  <c r="AZ24" i="22"/>
  <c r="AZ17" i="22"/>
  <c r="AZ20" i="22" s="1"/>
  <c r="AZ21" i="22" s="1"/>
  <c r="AZ10" i="22"/>
  <c r="AZ3" i="22"/>
  <c r="AC85" i="27"/>
  <c r="AC87" i="27" s="1"/>
  <c r="AC88" i="27" s="1"/>
  <c r="AC89" i="27" s="1"/>
  <c r="AZ96" i="1"/>
  <c r="O31" i="30"/>
  <c r="O24" i="30"/>
  <c r="O17" i="30"/>
  <c r="O10" i="30"/>
  <c r="O3" i="30"/>
  <c r="BK11" i="22" l="1"/>
  <c r="BK13" i="22" s="1"/>
  <c r="BK14" i="22" s="1"/>
  <c r="BK15" i="22" s="1"/>
  <c r="BW39" i="1" s="1"/>
  <c r="BW40" i="1" s="1"/>
  <c r="BW41" i="1" s="1"/>
  <c r="BJ13" i="22"/>
  <c r="BJ14" i="22" s="1"/>
  <c r="BJ15" i="22" s="1"/>
  <c r="BV39" i="1" s="1"/>
  <c r="BV40" i="1" s="1"/>
  <c r="BV41" i="1" s="1"/>
  <c r="BU18" i="1"/>
  <c r="BU70" i="1"/>
  <c r="BK19" i="22"/>
  <c r="BJ20" i="22"/>
  <c r="BJ21" i="22" s="1"/>
  <c r="BJ22" i="22" s="1"/>
  <c r="BV49" i="1" s="1"/>
  <c r="BV50" i="1" s="1"/>
  <c r="BV51" i="1" s="1"/>
  <c r="X13" i="30"/>
  <c r="X14" i="30" s="1"/>
  <c r="X15" i="30" s="1"/>
  <c r="Y12" i="30"/>
  <c r="Y13" i="30" s="1"/>
  <c r="Z11" i="30"/>
  <c r="BK4" i="22"/>
  <c r="BK6" i="22" s="1"/>
  <c r="BK7" i="22" s="1"/>
  <c r="BK8" i="22" s="1"/>
  <c r="BW29" i="1" s="1"/>
  <c r="BW30" i="1" s="1"/>
  <c r="BW31" i="1" s="1"/>
  <c r="BJ6" i="22"/>
  <c r="BJ7" i="22" s="1"/>
  <c r="BJ8" i="22" s="1"/>
  <c r="BV29" i="1" s="1"/>
  <c r="BV30" i="1" s="1"/>
  <c r="BV31" i="1" s="1"/>
  <c r="Y26" i="30"/>
  <c r="Y27" i="30" s="1"/>
  <c r="Y28" i="30" s="1"/>
  <c r="Y29" i="30" s="1"/>
  <c r="Z25" i="30"/>
  <c r="BJ27" i="22"/>
  <c r="BJ28" i="22" s="1"/>
  <c r="BJ29" i="22" s="1"/>
  <c r="BV59" i="1" s="1"/>
  <c r="BV60" i="1" s="1"/>
  <c r="BV61" i="1" s="1"/>
  <c r="BK25" i="22"/>
  <c r="BK27" i="22" s="1"/>
  <c r="BK28" i="22" s="1"/>
  <c r="BK29" i="22" s="1"/>
  <c r="BW59" i="1" s="1"/>
  <c r="BW60" i="1" s="1"/>
  <c r="BW61" i="1" s="1"/>
  <c r="X34" i="30"/>
  <c r="X35" i="30" s="1"/>
  <c r="X36" i="30" s="1"/>
  <c r="BT71" i="1"/>
  <c r="BT20" i="1" s="1"/>
  <c r="BT19" i="1"/>
  <c r="BJ34" i="22"/>
  <c r="BJ35" i="22" s="1"/>
  <c r="BJ36" i="22" s="1"/>
  <c r="BV69" i="1" s="1"/>
  <c r="BK32" i="22"/>
  <c r="BK34" i="22" s="1"/>
  <c r="BK35" i="22" s="1"/>
  <c r="BK36" i="22" s="1"/>
  <c r="BW69" i="1" s="1"/>
  <c r="Y33" i="30"/>
  <c r="Y34" i="30" s="1"/>
  <c r="Y35" i="30" s="1"/>
  <c r="Y36" i="30" s="1"/>
  <c r="Z32" i="30"/>
  <c r="Z19" i="30"/>
  <c r="Z20" i="30"/>
  <c r="Z21" i="30" s="1"/>
  <c r="Z22" i="30" s="1"/>
  <c r="BL36" i="11"/>
  <c r="BM27" i="1"/>
  <c r="Y5" i="30"/>
  <c r="Y6" i="30" s="1"/>
  <c r="Y7" i="30" s="1"/>
  <c r="Y8" i="30" s="1"/>
  <c r="Z4" i="30"/>
  <c r="AC90" i="27"/>
  <c r="AC91" i="27"/>
  <c r="AC92" i="27" s="1"/>
  <c r="AD89" i="27" s="1"/>
  <c r="AD91" i="27" s="1"/>
  <c r="AD92" i="27" s="1"/>
  <c r="AE89" i="27" s="1"/>
  <c r="AZ22" i="22"/>
  <c r="AZ6" i="22"/>
  <c r="AZ7" i="22" s="1"/>
  <c r="AZ8" i="22" s="1"/>
  <c r="AZ34" i="22"/>
  <c r="AZ35" i="22" s="1"/>
  <c r="AZ36" i="22" s="1"/>
  <c r="AZ27" i="22"/>
  <c r="AZ28" i="22" s="1"/>
  <c r="AZ29" i="22" s="1"/>
  <c r="O27" i="30"/>
  <c r="O20" i="30"/>
  <c r="O21" i="30" s="1"/>
  <c r="O22" i="30" s="1"/>
  <c r="O34" i="30"/>
  <c r="O35" i="30" s="1"/>
  <c r="O36" i="30" s="1"/>
  <c r="BM16" i="1" l="1"/>
  <c r="BM31" i="1"/>
  <c r="BM20" i="1" s="1"/>
  <c r="BV18" i="1"/>
  <c r="BV70" i="1"/>
  <c r="Z26" i="30"/>
  <c r="Z27" i="30" s="1"/>
  <c r="BK20" i="22"/>
  <c r="BK21" i="22" s="1"/>
  <c r="BK22" i="22" s="1"/>
  <c r="BW49" i="1" s="1"/>
  <c r="BU19" i="1"/>
  <c r="BU71" i="1"/>
  <c r="BU20" i="1" s="1"/>
  <c r="Z12" i="30"/>
  <c r="Z13" i="30" s="1"/>
  <c r="Y14" i="30"/>
  <c r="Y15" i="30" s="1"/>
  <c r="Z33" i="30"/>
  <c r="Z34" i="30" s="1"/>
  <c r="Z35" i="30" s="1"/>
  <c r="Z36" i="30" s="1"/>
  <c r="Z5" i="30"/>
  <c r="Z6" i="30" s="1"/>
  <c r="Z7" i="30" s="1"/>
  <c r="Z8" i="30" s="1"/>
  <c r="BW70" i="1"/>
  <c r="AE91" i="27"/>
  <c r="AE92" i="27" s="1"/>
  <c r="AF89" i="27" s="1"/>
  <c r="AF91" i="27" s="1"/>
  <c r="AF92" i="27" s="1"/>
  <c r="AG89" i="27" s="1"/>
  <c r="AD90" i="27"/>
  <c r="AE90" i="27" s="1"/>
  <c r="O28" i="30"/>
  <c r="O29" i="30" s="1"/>
  <c r="AZ13" i="22"/>
  <c r="AZ14" i="22" s="1"/>
  <c r="AZ15" i="22" s="1"/>
  <c r="O13" i="30"/>
  <c r="O14" i="30" s="1"/>
  <c r="O15" i="30" s="1"/>
  <c r="O6" i="30"/>
  <c r="O7" i="30" s="1"/>
  <c r="O8" i="30" s="1"/>
  <c r="BW50" i="1" l="1"/>
  <c r="BW51" i="1" s="1"/>
  <c r="BW18" i="1"/>
  <c r="Z28" i="30"/>
  <c r="Z29" i="30" s="1"/>
  <c r="BV71" i="1"/>
  <c r="BV20" i="1" s="1"/>
  <c r="BV19" i="1"/>
  <c r="Z14" i="30"/>
  <c r="Z15" i="30" s="1"/>
  <c r="AF90" i="27"/>
  <c r="AG90" i="27" s="1"/>
  <c r="BW71" i="1"/>
  <c r="AG91" i="27"/>
  <c r="AG92" i="27" s="1"/>
  <c r="AH89" i="27" s="1"/>
  <c r="BK64" i="11"/>
  <c r="BK63" i="11"/>
  <c r="BK62" i="11"/>
  <c r="BK61" i="11"/>
  <c r="BK60" i="11"/>
  <c r="BK55" i="11"/>
  <c r="BK28" i="11"/>
  <c r="BL98" i="1"/>
  <c r="BL99" i="1" s="1"/>
  <c r="BL78" i="1"/>
  <c r="BL8" i="1"/>
  <c r="BW20" i="1" l="1"/>
  <c r="BW19" i="1"/>
  <c r="AH91" i="27"/>
  <c r="AH92" i="27" s="1"/>
  <c r="AI89" i="27" s="1"/>
  <c r="AI91" i="27" s="1"/>
  <c r="AI92" i="27" s="1"/>
  <c r="AJ89" i="27" s="1"/>
  <c r="AJ91" i="27" s="1"/>
  <c r="AJ92" i="27" s="1"/>
  <c r="AK89" i="27" s="1"/>
  <c r="AK91" i="27" s="1"/>
  <c r="AK92" i="27" s="1"/>
  <c r="AH90" i="27"/>
  <c r="BK11" i="11"/>
  <c r="BK65" i="11"/>
  <c r="BK70" i="11" s="1"/>
  <c r="BL48" i="1" s="1"/>
  <c r="BL49" i="1" s="1"/>
  <c r="BL50" i="1" s="1"/>
  <c r="BK72" i="11" l="1"/>
  <c r="BL68" i="1" s="1"/>
  <c r="AI90" i="27"/>
  <c r="AJ90" i="27" s="1"/>
  <c r="AK90" i="27" s="1"/>
  <c r="BK71" i="11"/>
  <c r="BL58" i="1" s="1"/>
  <c r="BL59" i="1" s="1"/>
  <c r="BL60" i="1" s="1"/>
  <c r="BK69" i="11"/>
  <c r="BL38" i="1" s="1"/>
  <c r="BL39" i="1" s="1"/>
  <c r="BL40" i="1" s="1"/>
  <c r="BK68" i="11"/>
  <c r="BL69" i="1"/>
  <c r="BK73" i="11" l="1"/>
  <c r="BL28" i="1"/>
  <c r="BL29" i="1" s="1"/>
  <c r="BL30" i="1" s="1"/>
  <c r="BL70" i="1"/>
  <c r="BL17" i="1" l="1"/>
  <c r="BL19" i="1"/>
  <c r="BL18" i="1"/>
  <c r="AL89" i="27" l="1"/>
  <c r="AB87" i="27"/>
  <c r="AB88" i="27" s="1"/>
  <c r="AL91" i="27" l="1"/>
  <c r="AL92" i="27" s="1"/>
  <c r="AM89" i="27" s="1"/>
  <c r="AM91" i="27" s="1"/>
  <c r="AM92" i="27" s="1"/>
  <c r="AN89" i="27" s="1"/>
  <c r="AL90" i="27"/>
  <c r="AE78" i="27"/>
  <c r="Z78" i="1"/>
  <c r="AN91" i="27" l="1"/>
  <c r="AN92" i="27" s="1"/>
  <c r="AM90" i="27"/>
  <c r="AN90" i="27" s="1"/>
  <c r="AB78" i="27"/>
  <c r="AB79" i="27" s="1"/>
  <c r="AB80" i="27" s="1"/>
  <c r="AK78" i="1"/>
  <c r="Z10" i="28" l="1"/>
  <c r="Z9" i="28"/>
  <c r="Z8" i="28"/>
  <c r="Z7" i="28"/>
  <c r="Z6" i="28"/>
  <c r="Z5" i="28"/>
  <c r="BJ6" i="11" l="1"/>
  <c r="BK15" i="11" s="1"/>
  <c r="BJ7" i="11"/>
  <c r="BK16" i="11" s="1"/>
  <c r="BJ8" i="11"/>
  <c r="BK17" i="11" s="1"/>
  <c r="BJ9" i="11"/>
  <c r="BK18" i="11" s="1"/>
  <c r="BJ10" i="11"/>
  <c r="BK19" i="11" s="1"/>
  <c r="BJ5" i="11"/>
  <c r="BK14" i="11" s="1"/>
  <c r="BK34" i="11" l="1"/>
  <c r="BL57" i="1" s="1"/>
  <c r="BL61" i="1" s="1"/>
  <c r="BK35" i="11"/>
  <c r="BL67" i="1" s="1"/>
  <c r="BL71" i="1" s="1"/>
  <c r="BK20" i="11"/>
  <c r="BK31" i="11"/>
  <c r="BK33" i="11"/>
  <c r="BL47" i="1" s="1"/>
  <c r="BL51" i="1" s="1"/>
  <c r="BK32" i="11"/>
  <c r="BL37" i="1" s="1"/>
  <c r="BL41" i="1" s="1"/>
  <c r="AB81" i="27"/>
  <c r="AB82" i="27" s="1"/>
  <c r="AC79" i="27" s="1"/>
  <c r="BL27" i="1" l="1"/>
  <c r="BK36" i="11"/>
  <c r="AC81" i="27"/>
  <c r="AC82" i="27" s="1"/>
  <c r="AC80" i="27"/>
  <c r="AY3" i="22"/>
  <c r="AY31" i="22"/>
  <c r="AY24" i="22"/>
  <c r="AY17" i="22"/>
  <c r="AY10" i="22"/>
  <c r="N31" i="30"/>
  <c r="N24" i="30"/>
  <c r="N17" i="30"/>
  <c r="N10" i="30"/>
  <c r="N3" i="30"/>
  <c r="BJ64" i="11"/>
  <c r="BJ63" i="11"/>
  <c r="BJ62" i="11"/>
  <c r="BJ61" i="11"/>
  <c r="BJ60" i="11"/>
  <c r="BJ55" i="11"/>
  <c r="BJ28" i="11"/>
  <c r="BK96" i="1"/>
  <c r="BK98" i="1" s="1"/>
  <c r="BK99" i="1" s="1"/>
  <c r="BK78" i="1"/>
  <c r="BK8" i="1"/>
  <c r="BL16" i="1" l="1"/>
  <c r="BL31" i="1"/>
  <c r="BL20" i="1" s="1"/>
  <c r="BJ65" i="11"/>
  <c r="BJ70" i="11" s="1"/>
  <c r="BK48" i="1" s="1"/>
  <c r="BJ11" i="11"/>
  <c r="AD79" i="27" l="1"/>
  <c r="AD80" i="27" s="1"/>
  <c r="BJ68" i="11"/>
  <c r="BK28" i="1" s="1"/>
  <c r="BJ72" i="11"/>
  <c r="BK68" i="1" s="1"/>
  <c r="BJ69" i="11"/>
  <c r="BK38" i="1" s="1"/>
  <c r="BJ71" i="11"/>
  <c r="BK58" i="1" s="1"/>
  <c r="AD81" i="27" l="1"/>
  <c r="AD82" i="27" s="1"/>
  <c r="AE79" i="27" s="1"/>
  <c r="AE81" i="27" s="1"/>
  <c r="AE82" i="27" s="1"/>
  <c r="AF79" i="27" s="1"/>
  <c r="AF81" i="27" s="1"/>
  <c r="AF82" i="27" s="1"/>
  <c r="AG79" i="27" s="1"/>
  <c r="AG81" i="27" s="1"/>
  <c r="AG82" i="27" s="1"/>
  <c r="AH79" i="27" s="1"/>
  <c r="AH81" i="27" s="1"/>
  <c r="AH82" i="27" s="1"/>
  <c r="BJ73" i="11"/>
  <c r="BK17" i="1"/>
  <c r="AE80" i="27" l="1"/>
  <c r="AF80" i="27" s="1"/>
  <c r="AG80" i="27" s="1"/>
  <c r="AH80" i="27" s="1"/>
  <c r="AI79" i="27"/>
  <c r="AI81" i="27" s="1"/>
  <c r="AI82" i="27" s="1"/>
  <c r="AJ79" i="27" s="1"/>
  <c r="AI80" i="27" l="1"/>
  <c r="AJ80" i="27" s="1"/>
  <c r="AJ81" i="27"/>
  <c r="AJ82" i="27" s="1"/>
  <c r="AK79" i="27" s="1"/>
  <c r="BJ8" i="1"/>
  <c r="BI8" i="1"/>
  <c r="AK81" i="27" l="1"/>
  <c r="AK82" i="27" s="1"/>
  <c r="AK80" i="27"/>
  <c r="BV35" i="29"/>
  <c r="BW35" i="29" s="1"/>
  <c r="AL76" i="27" s="1"/>
  <c r="AL79" i="27" l="1"/>
  <c r="AL81" i="27" s="1"/>
  <c r="AL82" i="27" s="1"/>
  <c r="AM79" i="27" s="1"/>
  <c r="AM81" i="27" s="1"/>
  <c r="AM82" i="27" s="1"/>
  <c r="AN79" i="27" s="1"/>
  <c r="AN81" i="27" s="1"/>
  <c r="AN82" i="27" s="1"/>
  <c r="AO79" i="27" s="1"/>
  <c r="Y10" i="28"/>
  <c r="Y9" i="28"/>
  <c r="Y8" i="28"/>
  <c r="Y7" i="28"/>
  <c r="Y6" i="28"/>
  <c r="Y5" i="28"/>
  <c r="AL80" i="27" l="1"/>
  <c r="AO81" i="27"/>
  <c r="AO82" i="27" s="1"/>
  <c r="AP79" i="27" s="1"/>
  <c r="AP81" i="27" s="1"/>
  <c r="AP82" i="27" s="1"/>
  <c r="AQ79" i="27" s="1"/>
  <c r="AQ81" i="27" s="1"/>
  <c r="AQ82" i="27" s="1"/>
  <c r="AR79" i="27" s="1"/>
  <c r="AR81" i="27" s="1"/>
  <c r="AR82" i="27" s="1"/>
  <c r="AS79" i="27" s="1"/>
  <c r="AS81" i="27" s="1"/>
  <c r="AS82" i="27" s="1"/>
  <c r="AT79" i="27" s="1"/>
  <c r="AT81" i="27" s="1"/>
  <c r="AT82" i="27" s="1"/>
  <c r="AU79" i="27" s="1"/>
  <c r="AU81" i="27" s="1"/>
  <c r="AU82" i="27" s="1"/>
  <c r="AV79" i="27" s="1"/>
  <c r="AV81" i="27" s="1"/>
  <c r="AV82" i="27" s="1"/>
  <c r="AW79" i="27" s="1"/>
  <c r="AW81" i="27" s="1"/>
  <c r="AW82" i="27" s="1"/>
  <c r="AX79" i="27" s="1"/>
  <c r="AX81" i="27" s="1"/>
  <c r="AX82" i="27" s="1"/>
  <c r="AY79" i="27" s="1"/>
  <c r="AY81" i="27" s="1"/>
  <c r="AY82" i="27" s="1"/>
  <c r="AM80" i="27"/>
  <c r="AN80" i="27" s="1"/>
  <c r="BI10" i="11"/>
  <c r="BJ19" i="11" s="1"/>
  <c r="BI9" i="11"/>
  <c r="BJ18" i="11" s="1"/>
  <c r="BI8" i="11"/>
  <c r="BJ17" i="11" s="1"/>
  <c r="BJ34" i="11" s="1"/>
  <c r="BK57" i="1" s="1"/>
  <c r="BI7" i="11"/>
  <c r="BJ16" i="11" s="1"/>
  <c r="BJ33" i="11" s="1"/>
  <c r="BK47" i="1" s="1"/>
  <c r="BI6" i="11"/>
  <c r="BJ15" i="11" s="1"/>
  <c r="BJ32" i="11" s="1"/>
  <c r="BK37" i="1" s="1"/>
  <c r="BI5" i="11"/>
  <c r="BJ14" i="11" s="1"/>
  <c r="BJ35" i="11" l="1"/>
  <c r="BK67" i="1" s="1"/>
  <c r="BJ20" i="11"/>
  <c r="BJ31" i="11"/>
  <c r="AO80" i="27"/>
  <c r="AP80" i="27" s="1"/>
  <c r="AQ80" i="27" s="1"/>
  <c r="AR80" i="27" s="1"/>
  <c r="AS80" i="27" s="1"/>
  <c r="AT80" i="27" s="1"/>
  <c r="AU80" i="27" s="1"/>
  <c r="AV80" i="27" s="1"/>
  <c r="AW80" i="27" s="1"/>
  <c r="AX80" i="27" s="1"/>
  <c r="AY80" i="27" s="1"/>
  <c r="M31" i="30"/>
  <c r="M24" i="30"/>
  <c r="M17" i="30"/>
  <c r="M10" i="30"/>
  <c r="M3" i="30"/>
  <c r="AX31" i="22"/>
  <c r="AX24" i="22"/>
  <c r="AX17" i="22"/>
  <c r="AX10" i="22"/>
  <c r="AX3" i="22"/>
  <c r="BK27" i="1" l="1"/>
  <c r="BK16" i="1" s="1"/>
  <c r="BJ36" i="11"/>
  <c r="DY80" i="29"/>
  <c r="DZ80" i="29" s="1"/>
  <c r="BI64" i="11" l="1"/>
  <c r="BI63" i="11"/>
  <c r="BI62" i="11"/>
  <c r="BI61" i="11"/>
  <c r="BI60" i="11"/>
  <c r="BI55" i="11"/>
  <c r="BI28" i="11"/>
  <c r="BI11" i="11"/>
  <c r="BI65" i="11" l="1"/>
  <c r="BI71" i="11" s="1"/>
  <c r="BI70" i="11"/>
  <c r="BI69" i="11" l="1"/>
  <c r="BI72" i="11"/>
  <c r="BI68" i="11"/>
  <c r="BH10" i="11"/>
  <c r="BI19" i="11" s="1"/>
  <c r="BH9" i="11"/>
  <c r="BI18" i="11" s="1"/>
  <c r="BH8" i="11"/>
  <c r="BI17" i="11" s="1"/>
  <c r="BI34" i="11" s="1"/>
  <c r="BH7" i="11"/>
  <c r="BI16" i="11" s="1"/>
  <c r="BI33" i="11" s="1"/>
  <c r="BH6" i="11"/>
  <c r="BI15" i="11" s="1"/>
  <c r="BH5" i="11"/>
  <c r="BI14" i="11" s="1"/>
  <c r="X10" i="28"/>
  <c r="X9" i="28"/>
  <c r="X8" i="28"/>
  <c r="X7" i="28"/>
  <c r="X6" i="28"/>
  <c r="X5" i="28"/>
  <c r="BI35" i="11" l="1"/>
  <c r="BI20" i="11"/>
  <c r="BI31" i="11"/>
  <c r="BI32" i="11"/>
  <c r="BI73" i="11"/>
  <c r="Z66" i="27"/>
  <c r="Z56" i="27"/>
  <c r="BI36" i="11" l="1"/>
  <c r="Z46" i="27"/>
  <c r="Z36" i="27"/>
  <c r="Z15" i="27" s="1"/>
  <c r="L31" i="30" l="1"/>
  <c r="L24" i="30"/>
  <c r="L17" i="30"/>
  <c r="L10" i="30"/>
  <c r="L3" i="30"/>
  <c r="AW31" i="22"/>
  <c r="AW24" i="22"/>
  <c r="AW17" i="22"/>
  <c r="AW10" i="22"/>
  <c r="AW3" i="22"/>
  <c r="BH64" i="11"/>
  <c r="BH63" i="11"/>
  <c r="BH62" i="11"/>
  <c r="BH61" i="11"/>
  <c r="BH60" i="11"/>
  <c r="BH55" i="11"/>
  <c r="BH28" i="11"/>
  <c r="BH11" i="11"/>
  <c r="BH65" i="11" l="1"/>
  <c r="BH69" i="11" s="1"/>
  <c r="BH71" i="11" l="1"/>
  <c r="BH72" i="11"/>
  <c r="BH68" i="11"/>
  <c r="BH70" i="11"/>
  <c r="BH73" i="11" s="1"/>
  <c r="BG9" i="11" l="1"/>
  <c r="BH18" i="11" s="1"/>
  <c r="BG8" i="11"/>
  <c r="BH17" i="11" s="1"/>
  <c r="BG7" i="11"/>
  <c r="BH16" i="11" s="1"/>
  <c r="BG6" i="11"/>
  <c r="BH15" i="11" s="1"/>
  <c r="BG10" i="11"/>
  <c r="BH19" i="11" s="1"/>
  <c r="BG5" i="11"/>
  <c r="BH14" i="11" s="1"/>
  <c r="W10" i="28"/>
  <c r="W9" i="28"/>
  <c r="W8" i="28"/>
  <c r="W7" i="28"/>
  <c r="W6" i="28"/>
  <c r="W5" i="28"/>
  <c r="BH20" i="11" l="1"/>
  <c r="BH31" i="11"/>
  <c r="BH33" i="11"/>
  <c r="BH34" i="11"/>
  <c r="BH32" i="11"/>
  <c r="BH35" i="11"/>
  <c r="BG64" i="11"/>
  <c r="BG63" i="11"/>
  <c r="BG62" i="11"/>
  <c r="BG61" i="11"/>
  <c r="BG60" i="11"/>
  <c r="BG55" i="11"/>
  <c r="BG28" i="11"/>
  <c r="BG11" i="11"/>
  <c r="AV31" i="22"/>
  <c r="AV24" i="22"/>
  <c r="AV17" i="22"/>
  <c r="AV10" i="22"/>
  <c r="AV3" i="22"/>
  <c r="K31" i="30"/>
  <c r="K24" i="30"/>
  <c r="K17" i="30"/>
  <c r="K10" i="30"/>
  <c r="K3" i="30"/>
  <c r="BH78" i="1"/>
  <c r="BH36" i="11" l="1"/>
  <c r="BG65" i="11"/>
  <c r="BG69" i="11" s="1"/>
  <c r="BG72" i="11" l="1"/>
  <c r="BG71" i="11"/>
  <c r="BG68" i="11"/>
  <c r="BG70" i="11"/>
  <c r="BG73" i="11" l="1"/>
  <c r="BF8" i="11" l="1"/>
  <c r="BG17" i="11" s="1"/>
  <c r="BF7" i="11"/>
  <c r="BG16" i="11" s="1"/>
  <c r="BF10" i="11"/>
  <c r="BG19" i="11" s="1"/>
  <c r="BF9" i="11"/>
  <c r="BG18" i="11" s="1"/>
  <c r="BG35" i="11" s="1"/>
  <c r="BF6" i="11"/>
  <c r="BG15" i="11" s="1"/>
  <c r="BG32" i="11" s="1"/>
  <c r="BF5" i="11"/>
  <c r="BG14" i="11" s="1"/>
  <c r="V10" i="28"/>
  <c r="V9" i="28"/>
  <c r="V8" i="28"/>
  <c r="V7" i="28"/>
  <c r="V6" i="28"/>
  <c r="V5" i="28"/>
  <c r="BG31" i="11" l="1"/>
  <c r="BG20" i="11"/>
  <c r="BG33" i="11"/>
  <c r="BG34" i="11"/>
  <c r="AT31" i="22"/>
  <c r="AU31" i="22"/>
  <c r="AU24" i="22"/>
  <c r="AU17" i="22"/>
  <c r="AU10" i="22"/>
  <c r="AU3" i="22"/>
  <c r="BF64" i="11"/>
  <c r="BF63" i="11"/>
  <c r="BF62" i="11"/>
  <c r="BF61" i="11"/>
  <c r="BF60" i="11"/>
  <c r="BF55" i="11"/>
  <c r="BF28" i="11"/>
  <c r="J31" i="30"/>
  <c r="J24" i="30"/>
  <c r="J17" i="30"/>
  <c r="J10" i="30"/>
  <c r="J3" i="30"/>
  <c r="BG36" i="11" l="1"/>
  <c r="BF11" i="11"/>
  <c r="BF65" i="11"/>
  <c r="BF68" i="11" s="1"/>
  <c r="BF72" i="11" l="1"/>
  <c r="BF70" i="11"/>
  <c r="BF69" i="11"/>
  <c r="BF71" i="11"/>
  <c r="BF73" i="11" l="1"/>
  <c r="W84" i="27" l="1"/>
  <c r="U10" i="28" l="1"/>
  <c r="U9" i="28"/>
  <c r="U8" i="28"/>
  <c r="U7" i="28"/>
  <c r="U6" i="28"/>
  <c r="U5" i="28"/>
  <c r="BE10" i="11"/>
  <c r="BF19" i="11" s="1"/>
  <c r="BE9" i="11"/>
  <c r="BF18" i="11" s="1"/>
  <c r="BF35" i="11" s="1"/>
  <c r="BE8" i="11"/>
  <c r="BF17" i="11" s="1"/>
  <c r="BE7" i="11"/>
  <c r="BF16" i="11" s="1"/>
  <c r="BE6" i="11"/>
  <c r="BF15" i="11" s="1"/>
  <c r="BE5" i="11"/>
  <c r="BF14" i="11" s="1"/>
  <c r="BF32" i="11" l="1"/>
  <c r="BF33" i="11"/>
  <c r="BF20" i="11"/>
  <c r="BF31" i="11"/>
  <c r="BF34" i="11"/>
  <c r="I31" i="30"/>
  <c r="I24" i="30"/>
  <c r="I17" i="30"/>
  <c r="I10" i="30"/>
  <c r="I3" i="30"/>
  <c r="AT24" i="22"/>
  <c r="AT17" i="22"/>
  <c r="AT10" i="22"/>
  <c r="AT3" i="22"/>
  <c r="BE64" i="11"/>
  <c r="BE63" i="11"/>
  <c r="BE62" i="11"/>
  <c r="BE61" i="11"/>
  <c r="BE60" i="11"/>
  <c r="BE55" i="11"/>
  <c r="BE28" i="11"/>
  <c r="BE11" i="11"/>
  <c r="BF36" i="11" l="1"/>
  <c r="BE65" i="11"/>
  <c r="BE69" i="11" s="1"/>
  <c r="BE68" i="11" l="1"/>
  <c r="BE72" i="11"/>
  <c r="BE70" i="11"/>
  <c r="BE71" i="11"/>
  <c r="BE73" i="11" l="1"/>
  <c r="T10" i="28" l="1"/>
  <c r="T9" i="28"/>
  <c r="T8" i="28"/>
  <c r="T7" i="28"/>
  <c r="T6" i="28"/>
  <c r="T5" i="28"/>
  <c r="BD9" i="11" l="1"/>
  <c r="BE18" i="11" s="1"/>
  <c r="BD8" i="11"/>
  <c r="BE17" i="11" s="1"/>
  <c r="BD7" i="11"/>
  <c r="BE16" i="11" s="1"/>
  <c r="BD6" i="11"/>
  <c r="BE15" i="11" s="1"/>
  <c r="BD10" i="11"/>
  <c r="BE19" i="11" s="1"/>
  <c r="BD5" i="11"/>
  <c r="BE14" i="11" s="1"/>
  <c r="BE32" i="11" l="1"/>
  <c r="BE33" i="11"/>
  <c r="BE34" i="11"/>
  <c r="BE20" i="11"/>
  <c r="BE31" i="11"/>
  <c r="BE35" i="11"/>
  <c r="H31" i="30"/>
  <c r="H24" i="30"/>
  <c r="H17" i="30"/>
  <c r="H10" i="30"/>
  <c r="H3" i="30"/>
  <c r="AS31" i="22"/>
  <c r="AS24" i="22"/>
  <c r="AS17" i="22"/>
  <c r="AS10" i="22"/>
  <c r="AS3" i="22"/>
  <c r="BD64" i="11"/>
  <c r="BD63" i="11"/>
  <c r="BD62" i="11"/>
  <c r="BD61" i="11"/>
  <c r="BD60" i="11"/>
  <c r="BD55" i="11"/>
  <c r="BD28" i="11"/>
  <c r="BE36" i="11" l="1"/>
  <c r="BD11" i="11"/>
  <c r="BD65" i="11"/>
  <c r="BD70" i="11" s="1"/>
  <c r="BD72" i="11" l="1"/>
  <c r="BD68" i="11"/>
  <c r="BD69" i="11"/>
  <c r="BD71" i="11"/>
  <c r="BD73" i="11" l="1"/>
  <c r="BC9" i="11" l="1"/>
  <c r="BD18" i="11" s="1"/>
  <c r="BC8" i="11"/>
  <c r="BD17" i="11" s="1"/>
  <c r="BC7" i="11"/>
  <c r="BD16" i="11" s="1"/>
  <c r="BC6" i="11"/>
  <c r="BD15" i="11" s="1"/>
  <c r="BC10" i="11"/>
  <c r="BD19" i="11" s="1"/>
  <c r="BC5" i="11"/>
  <c r="BD14" i="11" s="1"/>
  <c r="BD32" i="11" l="1"/>
  <c r="BD20" i="11"/>
  <c r="BD31" i="11"/>
  <c r="BD34" i="11"/>
  <c r="BD33" i="11"/>
  <c r="BD35" i="11"/>
  <c r="S10" i="28"/>
  <c r="S9" i="28"/>
  <c r="S8" i="28"/>
  <c r="S7" i="28"/>
  <c r="S6" i="28"/>
  <c r="S5" i="28"/>
  <c r="BD36" i="11" l="1"/>
  <c r="AR31" i="22"/>
  <c r="AR24" i="22"/>
  <c r="AR17" i="22"/>
  <c r="AR10" i="22"/>
  <c r="AR3" i="22"/>
  <c r="G31" i="30"/>
  <c r="G24" i="30"/>
  <c r="G17" i="30"/>
  <c r="G10" i="30"/>
  <c r="G3" i="30"/>
  <c r="BC64" i="11"/>
  <c r="BC63" i="11"/>
  <c r="BC62" i="11"/>
  <c r="BC61" i="11"/>
  <c r="BC60" i="11"/>
  <c r="BC55" i="11"/>
  <c r="BC28" i="11"/>
  <c r="BC65" i="11" l="1"/>
  <c r="BC70" i="11" s="1"/>
  <c r="BC11" i="11"/>
  <c r="T8" i="27"/>
  <c r="BC71" i="11" l="1"/>
  <c r="BC72" i="11"/>
  <c r="BC68" i="11"/>
  <c r="BC69" i="11"/>
  <c r="BB9" i="11"/>
  <c r="BC18" i="11" s="1"/>
  <c r="BB8" i="11"/>
  <c r="BC17" i="11" s="1"/>
  <c r="BB7" i="11"/>
  <c r="BC16" i="11" s="1"/>
  <c r="BB6" i="11"/>
  <c r="BC15" i="11" s="1"/>
  <c r="BB10" i="11"/>
  <c r="BC19" i="11" s="1"/>
  <c r="BB5" i="11"/>
  <c r="BC14" i="11" s="1"/>
  <c r="R10" i="28"/>
  <c r="R9" i="28"/>
  <c r="R8" i="28"/>
  <c r="R7" i="28"/>
  <c r="R6" i="28"/>
  <c r="R5" i="28"/>
  <c r="BC32" i="11" l="1"/>
  <c r="BC35" i="11"/>
  <c r="BC34" i="11"/>
  <c r="BC33" i="11"/>
  <c r="BC20" i="11"/>
  <c r="BC31" i="11"/>
  <c r="BC73" i="11"/>
  <c r="F31" i="30"/>
  <c r="F24" i="30"/>
  <c r="F17" i="30"/>
  <c r="F10" i="30"/>
  <c r="F3" i="30"/>
  <c r="AQ31" i="22"/>
  <c r="AQ24" i="22"/>
  <c r="AQ17" i="22"/>
  <c r="AQ10" i="22"/>
  <c r="AQ3" i="22"/>
  <c r="BB64" i="11"/>
  <c r="BB63" i="11"/>
  <c r="BB62" i="11"/>
  <c r="BB61" i="11"/>
  <c r="BB60" i="11"/>
  <c r="BB55" i="11"/>
  <c r="BB28" i="11"/>
  <c r="BC36" i="11" l="1"/>
  <c r="BB65" i="11"/>
  <c r="BB70" i="11" s="1"/>
  <c r="BB11" i="11"/>
  <c r="BA9" i="11"/>
  <c r="BA8" i="11"/>
  <c r="BB17" i="11" s="1"/>
  <c r="BA6" i="11"/>
  <c r="BB15" i="11" s="1"/>
  <c r="BA7" i="11"/>
  <c r="BA5" i="11"/>
  <c r="BA10" i="11"/>
  <c r="BB19" i="11" s="1"/>
  <c r="BB32" i="11" l="1"/>
  <c r="BB34" i="11"/>
  <c r="BB16" i="11"/>
  <c r="BB33" i="11" s="1"/>
  <c r="BB18" i="11"/>
  <c r="BB35" i="11" s="1"/>
  <c r="BB71" i="11"/>
  <c r="BB68" i="11"/>
  <c r="BB14" i="11"/>
  <c r="BB72" i="11"/>
  <c r="BB69" i="11"/>
  <c r="BB31" i="11" l="1"/>
  <c r="BB36" i="11" s="1"/>
  <c r="BB20" i="11"/>
  <c r="BB73" i="11"/>
  <c r="AZ6" i="11" l="1"/>
  <c r="BA15" i="11" s="1"/>
  <c r="AZ7" i="11"/>
  <c r="BA16" i="11" s="1"/>
  <c r="Q10" i="28" l="1"/>
  <c r="Q9" i="28"/>
  <c r="Q8" i="28"/>
  <c r="Q7" i="28"/>
  <c r="Q6" i="28"/>
  <c r="Q5" i="28"/>
  <c r="AP31" i="22" l="1"/>
  <c r="AP24" i="22"/>
  <c r="AP17" i="22"/>
  <c r="AP10" i="22"/>
  <c r="AP3" i="22"/>
  <c r="E31" i="30"/>
  <c r="E24" i="30"/>
  <c r="E17" i="30"/>
  <c r="E10" i="30"/>
  <c r="E3" i="30"/>
  <c r="BA64" i="11"/>
  <c r="BA63" i="11"/>
  <c r="BA62" i="11"/>
  <c r="BA61" i="11"/>
  <c r="BA60" i="11"/>
  <c r="BA55" i="11"/>
  <c r="BA28" i="11"/>
  <c r="BA65" i="11" l="1"/>
  <c r="BA70" i="11" s="1"/>
  <c r="BA11" i="11"/>
  <c r="BA68" i="11" l="1"/>
  <c r="BA69" i="11"/>
  <c r="BA71" i="11"/>
  <c r="BA72" i="11"/>
  <c r="BA73" i="11" l="1"/>
  <c r="P10" i="28" l="1"/>
  <c r="P9" i="28"/>
  <c r="P8" i="28"/>
  <c r="P7" i="28"/>
  <c r="P6" i="28"/>
  <c r="P5" i="28"/>
  <c r="AZ10" i="11" l="1"/>
  <c r="BA19" i="11" s="1"/>
  <c r="AZ9" i="11"/>
  <c r="BA18" i="11" s="1"/>
  <c r="BA35" i="11" s="1"/>
  <c r="BB67" i="1" s="1"/>
  <c r="AZ8" i="11"/>
  <c r="BA17" i="11" s="1"/>
  <c r="BA34" i="11" s="1"/>
  <c r="AZ5" i="11"/>
  <c r="BA14" i="11" s="1"/>
  <c r="BA31" i="11" l="1"/>
  <c r="BA20" i="11"/>
  <c r="BA33" i="11"/>
  <c r="BA32" i="11"/>
  <c r="D31" i="30"/>
  <c r="D32" i="30" s="1"/>
  <c r="D24" i="30"/>
  <c r="D25" i="30" s="1"/>
  <c r="D17" i="30"/>
  <c r="D18" i="30" s="1"/>
  <c r="D10" i="30"/>
  <c r="D11" i="30" s="1"/>
  <c r="E11" i="30" s="1"/>
  <c r="D3" i="30"/>
  <c r="D4" i="30" s="1"/>
  <c r="E4" i="30" s="1"/>
  <c r="AO11" i="22"/>
  <c r="AP11" i="22" s="1"/>
  <c r="AO31" i="22"/>
  <c r="AO33" i="22" s="1"/>
  <c r="AP33" i="22" s="1"/>
  <c r="AQ33" i="22" s="1"/>
  <c r="AO24" i="22"/>
  <c r="AO26" i="22" s="1"/>
  <c r="AP26" i="22" s="1"/>
  <c r="AO17" i="22"/>
  <c r="AO18" i="22" s="1"/>
  <c r="AP18" i="22" s="1"/>
  <c r="AO10" i="22"/>
  <c r="AO12" i="22" s="1"/>
  <c r="AP12" i="22" s="1"/>
  <c r="AO3" i="22"/>
  <c r="AO4" i="22" s="1"/>
  <c r="AP4" i="22" s="1"/>
  <c r="AZ60" i="11"/>
  <c r="AZ64" i="11"/>
  <c r="AZ63" i="11"/>
  <c r="AZ62" i="11"/>
  <c r="AZ61" i="11"/>
  <c r="AZ55" i="11"/>
  <c r="AZ28" i="11"/>
  <c r="AO5" i="22" l="1"/>
  <c r="AP5" i="22" s="1"/>
  <c r="E32" i="30"/>
  <c r="D33" i="30"/>
  <c r="AR33" i="22"/>
  <c r="AQ12" i="22"/>
  <c r="AQ26" i="22"/>
  <c r="E25" i="30"/>
  <c r="D26" i="30"/>
  <c r="D27" i="30" s="1"/>
  <c r="D28" i="30" s="1"/>
  <c r="D29" i="30" s="1"/>
  <c r="AQ18" i="22"/>
  <c r="E18" i="30"/>
  <c r="D19" i="30"/>
  <c r="D20" i="30" s="1"/>
  <c r="D21" i="30" s="1"/>
  <c r="D22" i="30" s="1"/>
  <c r="E5" i="30"/>
  <c r="F4" i="30"/>
  <c r="AO19" i="22"/>
  <c r="AP19" i="22" s="1"/>
  <c r="AP20" i="22" s="1"/>
  <c r="AQ4" i="22"/>
  <c r="AP6" i="22"/>
  <c r="AO32" i="22"/>
  <c r="AP32" i="22" s="1"/>
  <c r="D5" i="30"/>
  <c r="D6" i="30" s="1"/>
  <c r="D7" i="30" s="1"/>
  <c r="D8" i="30" s="1"/>
  <c r="F11" i="30"/>
  <c r="D12" i="30"/>
  <c r="E12" i="30" s="1"/>
  <c r="AO25" i="22"/>
  <c r="AP25" i="22" s="1"/>
  <c r="AQ5" i="22"/>
  <c r="AP7" i="22"/>
  <c r="AP8" i="22" s="1"/>
  <c r="AQ11" i="22"/>
  <c r="AR11" i="22" s="1"/>
  <c r="AP13" i="22"/>
  <c r="AP14" i="22" s="1"/>
  <c r="AP15" i="22" s="1"/>
  <c r="BA36" i="11"/>
  <c r="D34" i="30"/>
  <c r="D35" i="30" s="1"/>
  <c r="D36" i="30" s="1"/>
  <c r="AO6" i="22"/>
  <c r="AO7" i="22" s="1"/>
  <c r="AO8" i="22" s="1"/>
  <c r="AO13" i="22"/>
  <c r="AO14" i="22" s="1"/>
  <c r="AO15" i="22" s="1"/>
  <c r="AZ65" i="11"/>
  <c r="AZ70" i="11" s="1"/>
  <c r="AZ11" i="11"/>
  <c r="AO20" i="22" l="1"/>
  <c r="AO21" i="22" s="1"/>
  <c r="AO22" i="22" s="1"/>
  <c r="AO27" i="22"/>
  <c r="AO28" i="22" s="1"/>
  <c r="AO29" i="22" s="1"/>
  <c r="D13" i="30"/>
  <c r="D14" i="30" s="1"/>
  <c r="D15" i="30" s="1"/>
  <c r="F12" i="30"/>
  <c r="G11" i="30"/>
  <c r="F13" i="30"/>
  <c r="F5" i="30"/>
  <c r="G4" i="30"/>
  <c r="F6" i="30"/>
  <c r="F7" i="30" s="1"/>
  <c r="F8" i="30" s="1"/>
  <c r="AR26" i="22"/>
  <c r="E19" i="30"/>
  <c r="E20" i="30" s="1"/>
  <c r="F18" i="30"/>
  <c r="AQ13" i="22"/>
  <c r="AQ14" i="22" s="1"/>
  <c r="AQ15" i="22" s="1"/>
  <c r="AR12" i="22"/>
  <c r="AS12" i="22" s="1"/>
  <c r="AR5" i="22"/>
  <c r="AR18" i="22"/>
  <c r="AP34" i="22"/>
  <c r="AP35" i="22" s="1"/>
  <c r="AP36" i="22" s="1"/>
  <c r="AQ32" i="22"/>
  <c r="AO34" i="22"/>
  <c r="AO35" i="22" s="1"/>
  <c r="AO36" i="22" s="1"/>
  <c r="AP27" i="22"/>
  <c r="AP28" i="22" s="1"/>
  <c r="AP29" i="22" s="1"/>
  <c r="AQ25" i="22"/>
  <c r="AR4" i="22"/>
  <c r="AQ6" i="22"/>
  <c r="AQ7" i="22" s="1"/>
  <c r="AQ8" i="22" s="1"/>
  <c r="AS33" i="22"/>
  <c r="E14" i="30"/>
  <c r="E15" i="30" s="1"/>
  <c r="AQ19" i="22"/>
  <c r="AR19" i="22" s="1"/>
  <c r="AS19" i="22" s="1"/>
  <c r="AT19" i="22" s="1"/>
  <c r="AP21" i="22"/>
  <c r="AP22" i="22" s="1"/>
  <c r="AS11" i="22"/>
  <c r="AT11" i="22" s="1"/>
  <c r="AU11" i="22" s="1"/>
  <c r="E13" i="30"/>
  <c r="E6" i="30"/>
  <c r="E7" i="30" s="1"/>
  <c r="E8" i="30" s="1"/>
  <c r="E26" i="30"/>
  <c r="F25" i="30"/>
  <c r="E27" i="30"/>
  <c r="E28" i="30" s="1"/>
  <c r="E29" i="30" s="1"/>
  <c r="E33" i="30"/>
  <c r="E34" i="30" s="1"/>
  <c r="E35" i="30" s="1"/>
  <c r="E36" i="30" s="1"/>
  <c r="F32" i="30"/>
  <c r="AZ71" i="11"/>
  <c r="AZ72" i="11"/>
  <c r="AZ68" i="11"/>
  <c r="AZ69" i="11"/>
  <c r="AV11" i="22" l="1"/>
  <c r="AQ27" i="22"/>
  <c r="AQ28" i="22" s="1"/>
  <c r="AQ29" i="22" s="1"/>
  <c r="AR25" i="22"/>
  <c r="AS5" i="22"/>
  <c r="AT5" i="22" s="1"/>
  <c r="AS26" i="22"/>
  <c r="AS13" i="22"/>
  <c r="AS14" i="22" s="1"/>
  <c r="AS15" i="22" s="1"/>
  <c r="AT12" i="22"/>
  <c r="F33" i="30"/>
  <c r="G32" i="30"/>
  <c r="F34" i="30"/>
  <c r="F35" i="30" s="1"/>
  <c r="F36" i="30" s="1"/>
  <c r="G5" i="30"/>
  <c r="G6" i="30" s="1"/>
  <c r="G7" i="30" s="1"/>
  <c r="G8" i="30" s="1"/>
  <c r="H4" i="30"/>
  <c r="AQ34" i="22"/>
  <c r="AQ35" i="22" s="1"/>
  <c r="AQ36" i="22" s="1"/>
  <c r="AR32" i="22"/>
  <c r="AU19" i="22"/>
  <c r="AT33" i="22"/>
  <c r="AU33" i="22" s="1"/>
  <c r="AV33" i="22" s="1"/>
  <c r="AW33" i="22" s="1"/>
  <c r="AX33" i="22" s="1"/>
  <c r="AQ20" i="22"/>
  <c r="AQ21" i="22" s="1"/>
  <c r="AQ22" i="22" s="1"/>
  <c r="F19" i="30"/>
  <c r="G18" i="30"/>
  <c r="F20" i="30"/>
  <c r="F26" i="30"/>
  <c r="G25" i="30"/>
  <c r="F27" i="30"/>
  <c r="F28" i="30" s="1"/>
  <c r="F29" i="30" s="1"/>
  <c r="AS18" i="22"/>
  <c r="AR20" i="22"/>
  <c r="AR21" i="22" s="1"/>
  <c r="AR22" i="22" s="1"/>
  <c r="E21" i="30"/>
  <c r="E22" i="30" s="1"/>
  <c r="G12" i="30"/>
  <c r="H11" i="30"/>
  <c r="G13" i="30"/>
  <c r="G14" i="30" s="1"/>
  <c r="G15" i="30" s="1"/>
  <c r="AR13" i="22"/>
  <c r="AR14" i="22" s="1"/>
  <c r="AR15" i="22" s="1"/>
  <c r="AS4" i="22"/>
  <c r="AR6" i="22"/>
  <c r="AR7" i="22" s="1"/>
  <c r="AR8" i="22" s="1"/>
  <c r="F14" i="30"/>
  <c r="F15" i="30" s="1"/>
  <c r="AZ73" i="11"/>
  <c r="AT18" i="22" l="1"/>
  <c r="AS20" i="22"/>
  <c r="AS21" i="22" s="1"/>
  <c r="AS22" i="22" s="1"/>
  <c r="H5" i="30"/>
  <c r="I4" i="30"/>
  <c r="H6" i="30"/>
  <c r="H7" i="30" s="1"/>
  <c r="H8" i="30" s="1"/>
  <c r="AT26" i="22"/>
  <c r="AV19" i="22"/>
  <c r="AW19" i="22" s="1"/>
  <c r="AX19" i="22" s="1"/>
  <c r="G33" i="30"/>
  <c r="G34" i="30" s="1"/>
  <c r="H32" i="30"/>
  <c r="AU5" i="22"/>
  <c r="AV5" i="22" s="1"/>
  <c r="AY33" i="22"/>
  <c r="G26" i="30"/>
  <c r="G27" i="30" s="1"/>
  <c r="G28" i="30" s="1"/>
  <c r="G29" i="30" s="1"/>
  <c r="H25" i="30"/>
  <c r="AR27" i="22"/>
  <c r="AR28" i="22" s="1"/>
  <c r="AR29" i="22" s="1"/>
  <c r="AS25" i="22"/>
  <c r="G19" i="30"/>
  <c r="H18" i="30"/>
  <c r="G20" i="30"/>
  <c r="G21" i="30" s="1"/>
  <c r="G22" i="30" s="1"/>
  <c r="AR34" i="22"/>
  <c r="AR35" i="22" s="1"/>
  <c r="AR36" i="22" s="1"/>
  <c r="AS32" i="22"/>
  <c r="AS6" i="22"/>
  <c r="AS7" i="22" s="1"/>
  <c r="AS8" i="22" s="1"/>
  <c r="AT4" i="22"/>
  <c r="H12" i="30"/>
  <c r="H13" i="30" s="1"/>
  <c r="I11" i="30"/>
  <c r="F21" i="30"/>
  <c r="F22" i="30" s="1"/>
  <c r="AT13" i="22"/>
  <c r="AU12" i="22"/>
  <c r="AT14" i="22"/>
  <c r="AT15" i="22" s="1"/>
  <c r="AW11" i="22"/>
  <c r="AY10" i="11"/>
  <c r="AZ19" i="11" s="1"/>
  <c r="AY9" i="11"/>
  <c r="AZ18" i="11" s="1"/>
  <c r="AZ35" i="11" s="1"/>
  <c r="AY8" i="11"/>
  <c r="AZ17" i="11" s="1"/>
  <c r="AY7" i="11"/>
  <c r="AZ16" i="11" s="1"/>
  <c r="AY6" i="11"/>
  <c r="AZ15" i="11" s="1"/>
  <c r="AY5" i="11"/>
  <c r="AZ14" i="11" s="1"/>
  <c r="AZ34" i="11" l="1"/>
  <c r="J11" i="30"/>
  <c r="I12" i="30"/>
  <c r="I13" i="30" s="1"/>
  <c r="I14" i="30" s="1"/>
  <c r="I15" i="30" s="1"/>
  <c r="AU26" i="22"/>
  <c r="AV26" i="22" s="1"/>
  <c r="AW26" i="22" s="1"/>
  <c r="H14" i="30"/>
  <c r="H15" i="30" s="1"/>
  <c r="AS27" i="22"/>
  <c r="AS28" i="22" s="1"/>
  <c r="AS29" i="22" s="1"/>
  <c r="AT25" i="22"/>
  <c r="AW5" i="22"/>
  <c r="I5" i="30"/>
  <c r="J4" i="30"/>
  <c r="I6" i="30"/>
  <c r="H19" i="30"/>
  <c r="H20" i="30" s="1"/>
  <c r="H21" i="30" s="1"/>
  <c r="H22" i="30" s="1"/>
  <c r="I18" i="30"/>
  <c r="H33" i="30"/>
  <c r="H34" i="30" s="1"/>
  <c r="H35" i="30" s="1"/>
  <c r="H36" i="30" s="1"/>
  <c r="I32" i="30"/>
  <c r="AT6" i="22"/>
  <c r="AT7" i="22" s="1"/>
  <c r="AT8" i="22" s="1"/>
  <c r="AU4" i="22"/>
  <c r="AZ20" i="11"/>
  <c r="AZ31" i="11"/>
  <c r="AZ32" i="11"/>
  <c r="AV12" i="22"/>
  <c r="AU13" i="22"/>
  <c r="AU14" i="22" s="1"/>
  <c r="AU15" i="22" s="1"/>
  <c r="AS34" i="22"/>
  <c r="AS35" i="22" s="1"/>
  <c r="AS36" i="22" s="1"/>
  <c r="AT32" i="22"/>
  <c r="H26" i="30"/>
  <c r="H27" i="30" s="1"/>
  <c r="H28" i="30" s="1"/>
  <c r="H29" i="30" s="1"/>
  <c r="I25" i="30"/>
  <c r="G35" i="30"/>
  <c r="G36" i="30" s="1"/>
  <c r="AX11" i="22"/>
  <c r="AZ33" i="11"/>
  <c r="AY19" i="22"/>
  <c r="AU18" i="22"/>
  <c r="AT20" i="22"/>
  <c r="AT21" i="22" s="1"/>
  <c r="AT22" i="22" s="1"/>
  <c r="O10" i="28"/>
  <c r="O9" i="28"/>
  <c r="O8" i="28"/>
  <c r="O7" i="28"/>
  <c r="O6" i="28"/>
  <c r="O5" i="28"/>
  <c r="AZ36" i="11" l="1"/>
  <c r="J25" i="30"/>
  <c r="I26" i="30"/>
  <c r="I27" i="30" s="1"/>
  <c r="I28" i="30" s="1"/>
  <c r="I29" i="30" s="1"/>
  <c r="AV4" i="22"/>
  <c r="AU6" i="22"/>
  <c r="AU7" i="22" s="1"/>
  <c r="AU8" i="22" s="1"/>
  <c r="I19" i="30"/>
  <c r="J18" i="30"/>
  <c r="I20" i="30"/>
  <c r="I21" i="30" s="1"/>
  <c r="I22" i="30" s="1"/>
  <c r="J5" i="30"/>
  <c r="J6" i="30" s="1"/>
  <c r="J7" i="30" s="1"/>
  <c r="J8" i="30" s="1"/>
  <c r="K4" i="30"/>
  <c r="AX26" i="22"/>
  <c r="I7" i="30"/>
  <c r="I8" i="30" s="1"/>
  <c r="I33" i="30"/>
  <c r="I34" i="30" s="1"/>
  <c r="J32" i="30"/>
  <c r="AX5" i="22"/>
  <c r="AW12" i="22"/>
  <c r="AV13" i="22"/>
  <c r="AV14" i="22" s="1"/>
  <c r="AV15" i="22" s="1"/>
  <c r="AU20" i="22"/>
  <c r="AU21" i="22" s="1"/>
  <c r="AU22" i="22" s="1"/>
  <c r="AV18" i="22"/>
  <c r="AU32" i="22"/>
  <c r="AT34" i="22"/>
  <c r="AT35" i="22" s="1"/>
  <c r="AT36" i="22" s="1"/>
  <c r="AY11" i="22"/>
  <c r="AT27" i="22"/>
  <c r="AT28" i="22" s="1"/>
  <c r="AT29" i="22" s="1"/>
  <c r="AU25" i="22"/>
  <c r="J12" i="30"/>
  <c r="J13" i="30" s="1"/>
  <c r="J14" i="30" s="1"/>
  <c r="J15" i="30" s="1"/>
  <c r="K11" i="30"/>
  <c r="BJ96" i="1"/>
  <c r="BI96" i="1"/>
  <c r="BH96" i="1"/>
  <c r="BG96" i="1"/>
  <c r="BG98" i="1" s="1"/>
  <c r="BF96" i="1"/>
  <c r="BE96" i="1"/>
  <c r="BD96" i="1"/>
  <c r="BC96" i="1"/>
  <c r="BB96" i="1"/>
  <c r="BA96" i="1"/>
  <c r="AU34" i="22" l="1"/>
  <c r="AU35" i="22" s="1"/>
  <c r="AU36" i="22" s="1"/>
  <c r="AV32" i="22"/>
  <c r="J19" i="30"/>
  <c r="J20" i="30" s="1"/>
  <c r="J21" i="30" s="1"/>
  <c r="J22" i="30" s="1"/>
  <c r="K18" i="30"/>
  <c r="K12" i="30"/>
  <c r="L11" i="30"/>
  <c r="K13" i="30"/>
  <c r="I35" i="30"/>
  <c r="I36" i="30" s="1"/>
  <c r="BF98" i="1"/>
  <c r="BF99" i="1" s="1"/>
  <c r="AX12" i="22"/>
  <c r="AW13" i="22"/>
  <c r="AW14" i="22" s="1"/>
  <c r="AW15" i="22" s="1"/>
  <c r="AY26" i="22"/>
  <c r="AW4" i="22"/>
  <c r="AV6" i="22"/>
  <c r="AV7" i="22" s="1"/>
  <c r="AV8" i="22" s="1"/>
  <c r="J33" i="30"/>
  <c r="K32" i="30"/>
  <c r="J34" i="30"/>
  <c r="J35" i="30" s="1"/>
  <c r="J36" i="30" s="1"/>
  <c r="AV25" i="22"/>
  <c r="AU27" i="22"/>
  <c r="AU28" i="22" s="1"/>
  <c r="AU29" i="22" s="1"/>
  <c r="AW18" i="22"/>
  <c r="AV20" i="22"/>
  <c r="AV21" i="22" s="1"/>
  <c r="AV22" i="22" s="1"/>
  <c r="AY5" i="22"/>
  <c r="L4" i="30"/>
  <c r="K5" i="30"/>
  <c r="J26" i="30"/>
  <c r="J27" i="30" s="1"/>
  <c r="J28" i="30" s="1"/>
  <c r="J29" i="30" s="1"/>
  <c r="K25" i="30"/>
  <c r="C31" i="30"/>
  <c r="C24" i="30"/>
  <c r="C17" i="30"/>
  <c r="C10" i="30"/>
  <c r="C3" i="30"/>
  <c r="AN3" i="22"/>
  <c r="K26" i="30" l="1"/>
  <c r="L25" i="30"/>
  <c r="AX18" i="22"/>
  <c r="AW20" i="22"/>
  <c r="AW21" i="22" s="1"/>
  <c r="AW22" i="22" s="1"/>
  <c r="L12" i="30"/>
  <c r="M11" i="30"/>
  <c r="L13" i="30"/>
  <c r="L14" i="30" s="1"/>
  <c r="L15" i="30" s="1"/>
  <c r="K6" i="30"/>
  <c r="K7" i="30" s="1"/>
  <c r="K8" i="30" s="1"/>
  <c r="AW25" i="22"/>
  <c r="AV27" i="22"/>
  <c r="AV28" i="22" s="1"/>
  <c r="AV29" i="22" s="1"/>
  <c r="K14" i="30"/>
  <c r="K15" i="30" s="1"/>
  <c r="L5" i="30"/>
  <c r="L6" i="30" s="1"/>
  <c r="M4" i="30"/>
  <c r="K33" i="30"/>
  <c r="K34" i="30" s="1"/>
  <c r="K35" i="30" s="1"/>
  <c r="K36" i="30" s="1"/>
  <c r="L32" i="30"/>
  <c r="AY12" i="22"/>
  <c r="AX13" i="22"/>
  <c r="AX14" i="22" s="1"/>
  <c r="AX15" i="22" s="1"/>
  <c r="K19" i="30"/>
  <c r="L18" i="30"/>
  <c r="K20" i="30"/>
  <c r="K21" i="30" s="1"/>
  <c r="K22" i="30" s="1"/>
  <c r="AW32" i="22"/>
  <c r="AV34" i="22"/>
  <c r="AV35" i="22" s="1"/>
  <c r="AV36" i="22" s="1"/>
  <c r="AW6" i="22"/>
  <c r="AW7" i="22" s="1"/>
  <c r="AW8" i="22" s="1"/>
  <c r="AX4" i="22"/>
  <c r="C6" i="30"/>
  <c r="C7" i="30" s="1"/>
  <c r="C8" i="30" s="1"/>
  <c r="C13" i="30"/>
  <c r="C14" i="30" s="1"/>
  <c r="C15" i="30" s="1"/>
  <c r="C20" i="30"/>
  <c r="C21" i="30" s="1"/>
  <c r="C22" i="30" s="1"/>
  <c r="C27" i="30"/>
  <c r="C28" i="30" s="1"/>
  <c r="C29" i="30" s="1"/>
  <c r="C34" i="30"/>
  <c r="C35" i="30" s="1"/>
  <c r="C36" i="30" s="1"/>
  <c r="L19" i="30" l="1"/>
  <c r="M18" i="30"/>
  <c r="L20" i="30"/>
  <c r="L21" i="30" s="1"/>
  <c r="L22" i="30" s="1"/>
  <c r="AX6" i="22"/>
  <c r="AX7" i="22" s="1"/>
  <c r="AX8" i="22" s="1"/>
  <c r="AY4" i="22"/>
  <c r="AY6" i="22" s="1"/>
  <c r="AY7" i="22" s="1"/>
  <c r="AY8" i="22" s="1"/>
  <c r="BK29" i="1" s="1"/>
  <c r="BK30" i="1" s="1"/>
  <c r="BK31" i="1" s="1"/>
  <c r="L7" i="30"/>
  <c r="L8" i="30" s="1"/>
  <c r="N11" i="30"/>
  <c r="M12" i="30"/>
  <c r="M13" i="30" s="1"/>
  <c r="M14" i="30" s="1"/>
  <c r="M15" i="30" s="1"/>
  <c r="M5" i="30"/>
  <c r="N4" i="30"/>
  <c r="M6" i="30"/>
  <c r="AY14" i="22"/>
  <c r="AY15" i="22" s="1"/>
  <c r="BK39" i="1" s="1"/>
  <c r="BK40" i="1" s="1"/>
  <c r="BK41" i="1" s="1"/>
  <c r="AY13" i="22"/>
  <c r="AY18" i="22"/>
  <c r="AY20" i="22" s="1"/>
  <c r="AY21" i="22" s="1"/>
  <c r="AY22" i="22" s="1"/>
  <c r="BK49" i="1" s="1"/>
  <c r="BK50" i="1" s="1"/>
  <c r="BK51" i="1" s="1"/>
  <c r="AX20" i="22"/>
  <c r="AX21" i="22" s="1"/>
  <c r="AX22" i="22" s="1"/>
  <c r="AX32" i="22"/>
  <c r="AW34" i="22"/>
  <c r="AW35" i="22" s="1"/>
  <c r="AW36" i="22" s="1"/>
  <c r="AW27" i="22"/>
  <c r="AW28" i="22" s="1"/>
  <c r="AW29" i="22" s="1"/>
  <c r="AX25" i="22"/>
  <c r="L26" i="30"/>
  <c r="M25" i="30"/>
  <c r="L27" i="30"/>
  <c r="L28" i="30" s="1"/>
  <c r="L29" i="30" s="1"/>
  <c r="L33" i="30"/>
  <c r="L34" i="30" s="1"/>
  <c r="L35" i="30" s="1"/>
  <c r="L36" i="30" s="1"/>
  <c r="M32" i="30"/>
  <c r="K27" i="30"/>
  <c r="K28" i="30"/>
  <c r="K29" i="30" s="1"/>
  <c r="AN31" i="22"/>
  <c r="AN24" i="22"/>
  <c r="AN17" i="22"/>
  <c r="AN10" i="22"/>
  <c r="AY64" i="11"/>
  <c r="AY63" i="11"/>
  <c r="AY62" i="11"/>
  <c r="AY61" i="11"/>
  <c r="AY60" i="11"/>
  <c r="AY55" i="11"/>
  <c r="AY28" i="11"/>
  <c r="AY96" i="1"/>
  <c r="N25" i="30" l="1"/>
  <c r="M26" i="30"/>
  <c r="N12" i="30"/>
  <c r="N13" i="30" s="1"/>
  <c r="N14" i="30" s="1"/>
  <c r="N15" i="30" s="1"/>
  <c r="N5" i="30"/>
  <c r="N6" i="30" s="1"/>
  <c r="N7" i="30" s="1"/>
  <c r="N8" i="30" s="1"/>
  <c r="M7" i="30"/>
  <c r="M8" i="30" s="1"/>
  <c r="M19" i="30"/>
  <c r="M20" i="30" s="1"/>
  <c r="M21" i="30" s="1"/>
  <c r="M22" i="30" s="1"/>
  <c r="N18" i="30"/>
  <c r="AY25" i="22"/>
  <c r="AY27" i="22" s="1"/>
  <c r="AY28" i="22" s="1"/>
  <c r="AY29" i="22" s="1"/>
  <c r="BK59" i="1" s="1"/>
  <c r="BK60" i="1" s="1"/>
  <c r="BK61" i="1" s="1"/>
  <c r="AX27" i="22"/>
  <c r="AX28" i="22" s="1"/>
  <c r="AX29" i="22" s="1"/>
  <c r="M33" i="30"/>
  <c r="M34" i="30" s="1"/>
  <c r="N32" i="30"/>
  <c r="AX34" i="22"/>
  <c r="AX35" i="22" s="1"/>
  <c r="AX36" i="22" s="1"/>
  <c r="AY32" i="22"/>
  <c r="AY34" i="22" s="1"/>
  <c r="AY35" i="22" s="1"/>
  <c r="AY36" i="22" s="1"/>
  <c r="BK69" i="1" s="1"/>
  <c r="AN13" i="22"/>
  <c r="AN14" i="22" s="1"/>
  <c r="AN15" i="22" s="1"/>
  <c r="AN20" i="22"/>
  <c r="AN21" i="22" s="1"/>
  <c r="AN22" i="22" s="1"/>
  <c r="AN27" i="22"/>
  <c r="AN6" i="22"/>
  <c r="AN7" i="22" s="1"/>
  <c r="AN8" i="22" s="1"/>
  <c r="AN34" i="22"/>
  <c r="AY65" i="11"/>
  <c r="AY70" i="11" s="1"/>
  <c r="AY11" i="11"/>
  <c r="M35" i="30" l="1"/>
  <c r="M36" i="30" s="1"/>
  <c r="N33" i="30"/>
  <c r="N34" i="30"/>
  <c r="N35" i="30" s="1"/>
  <c r="N36" i="30" s="1"/>
  <c r="M27" i="30"/>
  <c r="M28" i="30"/>
  <c r="M29" i="30" s="1"/>
  <c r="BK18" i="1"/>
  <c r="BK70" i="1"/>
  <c r="N19" i="30"/>
  <c r="N20" i="30" s="1"/>
  <c r="N21" i="30" s="1"/>
  <c r="N22" i="30" s="1"/>
  <c r="N26" i="30"/>
  <c r="AN28" i="22"/>
  <c r="AN29" i="22" s="1"/>
  <c r="AN35" i="22"/>
  <c r="AN36" i="22" s="1"/>
  <c r="AY71" i="11"/>
  <c r="AY72" i="11"/>
  <c r="AY68" i="11"/>
  <c r="AY69" i="11"/>
  <c r="BK19" i="1" l="1"/>
  <c r="BK71" i="1"/>
  <c r="BK20" i="1" s="1"/>
  <c r="N27" i="30"/>
  <c r="N28" i="30" s="1"/>
  <c r="N29" i="30" s="1"/>
  <c r="AY73" i="11"/>
  <c r="N5" i="28" l="1"/>
  <c r="N6" i="28"/>
  <c r="N7" i="28" l="1"/>
  <c r="N8" i="28"/>
  <c r="AX10" i="11" l="1"/>
  <c r="AY19" i="11" s="1"/>
  <c r="AX9" i="11"/>
  <c r="AY18" i="11" s="1"/>
  <c r="AY35" i="11" s="1"/>
  <c r="N10" i="28" l="1"/>
  <c r="N9" i="28"/>
  <c r="AX8" i="11" l="1"/>
  <c r="AY17" i="11" s="1"/>
  <c r="AY34" i="11" s="1"/>
  <c r="AX7" i="11"/>
  <c r="AY16" i="11" s="1"/>
  <c r="AY33" i="11" s="1"/>
  <c r="AX6" i="11"/>
  <c r="AY15" i="11" s="1"/>
  <c r="AY32" i="11" s="1"/>
  <c r="AX5" i="11"/>
  <c r="AY14" i="11" s="1"/>
  <c r="AY20" i="11" l="1"/>
  <c r="AY31" i="11"/>
  <c r="AY36" i="11" s="1"/>
  <c r="AY8" i="1"/>
  <c r="AX64" i="11"/>
  <c r="AX63" i="11"/>
  <c r="AX62" i="11"/>
  <c r="AX61" i="11"/>
  <c r="AX60" i="11"/>
  <c r="AX55" i="11"/>
  <c r="AX28" i="11"/>
  <c r="AX65" i="11" l="1"/>
  <c r="AX70" i="11" s="1"/>
  <c r="AX11" i="11"/>
  <c r="AX69" i="11" l="1"/>
  <c r="AX72" i="11"/>
  <c r="AX71" i="11"/>
  <c r="AX68" i="11"/>
  <c r="AX73" i="11" s="1"/>
  <c r="AW10" i="11" l="1"/>
  <c r="AX19" i="11" s="1"/>
  <c r="AW9" i="11"/>
  <c r="AX18" i="11" s="1"/>
  <c r="AW8" i="11"/>
  <c r="AX17" i="11" s="1"/>
  <c r="AW7" i="11"/>
  <c r="AX16" i="11" s="1"/>
  <c r="AW6" i="11"/>
  <c r="AX15" i="11" s="1"/>
  <c r="AX32" i="11" s="1"/>
  <c r="AX33" i="11" l="1"/>
  <c r="AX34" i="11"/>
  <c r="AX35" i="11"/>
  <c r="AW5" i="11"/>
  <c r="AX14" i="11" s="1"/>
  <c r="AX20" i="11" s="1"/>
  <c r="AX31" i="11" l="1"/>
  <c r="AX36" i="11" s="1"/>
  <c r="AV10" i="11" l="1"/>
  <c r="AV9" i="11"/>
  <c r="AV8" i="11"/>
  <c r="AV7" i="11"/>
  <c r="AV6" i="11"/>
  <c r="AV5" i="11"/>
  <c r="L14" i="28" l="1"/>
  <c r="L19" i="28"/>
  <c r="L18" i="28"/>
  <c r="L17" i="28"/>
  <c r="L16" i="28"/>
  <c r="L15" i="28"/>
  <c r="K14" i="28"/>
  <c r="AV85" i="1"/>
  <c r="BC98" i="1" l="1"/>
  <c r="BC99" i="1" s="1"/>
  <c r="BD98" i="1"/>
  <c r="BD99" i="1" s="1"/>
  <c r="BH98" i="1"/>
  <c r="BH99" i="1" s="1"/>
  <c r="BI98" i="1"/>
  <c r="BI99" i="1" s="1"/>
  <c r="AW98" i="1"/>
  <c r="AW99" i="1" s="1"/>
  <c r="BJ98" i="1"/>
  <c r="BJ99" i="1" s="1"/>
  <c r="BG99" i="1"/>
  <c r="BE98" i="1"/>
  <c r="BE99" i="1" s="1"/>
  <c r="BB98" i="1"/>
  <c r="BB99" i="1" s="1"/>
  <c r="BA98" i="1"/>
  <c r="BA99" i="1" s="1"/>
  <c r="AZ98" i="1"/>
  <c r="AZ99" i="1" s="1"/>
  <c r="AY98" i="1"/>
  <c r="AY99" i="1" s="1"/>
  <c r="AX96" i="1"/>
  <c r="AX98" i="1" s="1"/>
  <c r="AX99" i="1" s="1"/>
  <c r="AV87" i="1"/>
  <c r="AV88" i="1" s="1"/>
  <c r="J84" i="29" l="1"/>
  <c r="J91" i="29" s="1"/>
  <c r="J47" i="29" s="1"/>
  <c r="I84" i="29"/>
  <c r="I91" i="29" s="1"/>
  <c r="I47" i="29" s="1"/>
  <c r="H84" i="29"/>
  <c r="H87" i="29" s="1"/>
  <c r="H7" i="29" s="1"/>
  <c r="G84" i="29"/>
  <c r="F84" i="29"/>
  <c r="F90" i="29" s="1"/>
  <c r="F37" i="29" s="1"/>
  <c r="E84" i="29"/>
  <c r="E87" i="29" s="1"/>
  <c r="E7" i="29" s="1"/>
  <c r="D84" i="29"/>
  <c r="D88" i="29" s="1"/>
  <c r="D17" i="29" s="1"/>
  <c r="C84" i="29"/>
  <c r="C76" i="29"/>
  <c r="J67" i="29"/>
  <c r="I67" i="29"/>
  <c r="H67" i="29"/>
  <c r="G67" i="29"/>
  <c r="F67" i="29"/>
  <c r="E67" i="29"/>
  <c r="D67" i="29"/>
  <c r="C67" i="29"/>
  <c r="G87" i="29" l="1"/>
  <c r="G7" i="29" s="1"/>
  <c r="G89" i="29"/>
  <c r="G27" i="29" s="1"/>
  <c r="C88" i="29"/>
  <c r="C17" i="29" s="1"/>
  <c r="C89" i="29"/>
  <c r="C27" i="29" s="1"/>
  <c r="F89" i="29"/>
  <c r="F27" i="29" s="1"/>
  <c r="C91" i="29"/>
  <c r="C47" i="29" s="1"/>
  <c r="C90" i="29"/>
  <c r="C37" i="29" s="1"/>
  <c r="D89" i="29"/>
  <c r="D27" i="29" s="1"/>
  <c r="D90" i="29"/>
  <c r="D37" i="29" s="1"/>
  <c r="E91" i="29"/>
  <c r="E47" i="29" s="1"/>
  <c r="E89" i="29"/>
  <c r="E27" i="29" s="1"/>
  <c r="E90" i="29"/>
  <c r="E37" i="29" s="1"/>
  <c r="F88" i="29"/>
  <c r="F17" i="29" s="1"/>
  <c r="E88" i="29"/>
  <c r="E17" i="29" s="1"/>
  <c r="I89" i="29"/>
  <c r="I27" i="29" s="1"/>
  <c r="C87" i="29"/>
  <c r="I87" i="29"/>
  <c r="F87" i="29"/>
  <c r="F7" i="29" s="1"/>
  <c r="H91" i="29"/>
  <c r="H47" i="29" s="1"/>
  <c r="I90" i="29"/>
  <c r="I37" i="29" s="1"/>
  <c r="I88" i="29"/>
  <c r="I17" i="29" s="1"/>
  <c r="G91" i="29"/>
  <c r="G47" i="29" s="1"/>
  <c r="H88" i="29"/>
  <c r="H17" i="29" s="1"/>
  <c r="F91" i="29"/>
  <c r="H89" i="29"/>
  <c r="H27" i="29" s="1"/>
  <c r="D87" i="29"/>
  <c r="D7" i="29" s="1"/>
  <c r="J90" i="29"/>
  <c r="J37" i="29" s="1"/>
  <c r="G88" i="29"/>
  <c r="G17" i="29" s="1"/>
  <c r="D91" i="29"/>
  <c r="D47" i="29" s="1"/>
  <c r="H90" i="29"/>
  <c r="H37" i="29" s="1"/>
  <c r="G90" i="29"/>
  <c r="G37" i="29" s="1"/>
  <c r="J88" i="29"/>
  <c r="J17" i="29" s="1"/>
  <c r="J89" i="29"/>
  <c r="J27" i="29" s="1"/>
  <c r="J87" i="29"/>
  <c r="J7" i="29" s="1"/>
  <c r="E76" i="29"/>
  <c r="D76" i="29"/>
  <c r="G76" i="29"/>
  <c r="H76" i="29"/>
  <c r="I76" i="29"/>
  <c r="F76" i="29"/>
  <c r="J76" i="29"/>
  <c r="AP51" i="26"/>
  <c r="AO52" i="26"/>
  <c r="AO51" i="26"/>
  <c r="C92" i="29" l="1"/>
  <c r="F92" i="29"/>
  <c r="F47" i="29"/>
  <c r="C7" i="29"/>
  <c r="E92" i="29"/>
  <c r="I92" i="29"/>
  <c r="I7" i="29"/>
  <c r="G92" i="29"/>
  <c r="J92" i="29"/>
  <c r="H92" i="29"/>
  <c r="D92" i="29"/>
  <c r="AU10" i="11" l="1"/>
  <c r="AV19" i="11" s="1"/>
  <c r="AU9" i="11"/>
  <c r="AU8" i="11"/>
  <c r="AU7" i="11"/>
  <c r="AU6" i="11"/>
  <c r="AU5" i="11"/>
  <c r="AV14" i="11" s="1"/>
  <c r="AU60" i="11" l="1"/>
  <c r="AU61" i="11"/>
  <c r="AU62" i="11"/>
  <c r="AU63" i="11"/>
  <c r="AU64" i="11"/>
  <c r="AR56" i="26" l="1"/>
  <c r="AQ56" i="26"/>
  <c r="AP56" i="26"/>
  <c r="AO56" i="26"/>
  <c r="AN56" i="26"/>
  <c r="AM56" i="26"/>
  <c r="AL56" i="26"/>
  <c r="AK56" i="26"/>
  <c r="AJ56" i="26"/>
  <c r="AI56" i="26"/>
  <c r="AH56" i="26"/>
  <c r="AG56" i="26"/>
  <c r="AF56" i="26"/>
  <c r="AE56" i="26"/>
  <c r="AD56" i="26"/>
  <c r="AC56" i="26"/>
  <c r="AB56" i="26"/>
  <c r="AA56" i="26"/>
  <c r="Z56" i="26"/>
  <c r="Y56" i="26"/>
  <c r="X56" i="26"/>
  <c r="W56" i="26"/>
  <c r="U56" i="26"/>
  <c r="T56" i="26"/>
  <c r="S56" i="26"/>
  <c r="R56" i="26"/>
  <c r="Q56" i="26"/>
  <c r="P56" i="26"/>
  <c r="O56" i="26"/>
  <c r="N56" i="26"/>
  <c r="M56" i="26"/>
  <c r="L56" i="26"/>
  <c r="K56" i="26"/>
  <c r="J56" i="26"/>
  <c r="I56" i="26"/>
  <c r="H56" i="26"/>
  <c r="G56" i="26"/>
  <c r="F56" i="26"/>
  <c r="E56" i="26"/>
  <c r="AR55" i="26"/>
  <c r="AQ55" i="26"/>
  <c r="AP55" i="26"/>
  <c r="AO55" i="26"/>
  <c r="AN55" i="26"/>
  <c r="AM55" i="26"/>
  <c r="AL55" i="26"/>
  <c r="AK55" i="26"/>
  <c r="AJ55" i="26"/>
  <c r="AI55" i="26"/>
  <c r="AH55" i="26"/>
  <c r="AG55" i="26"/>
  <c r="AF55" i="26"/>
  <c r="AE55" i="26"/>
  <c r="AD55" i="26"/>
  <c r="AC55" i="26"/>
  <c r="AB55" i="26"/>
  <c r="AA55" i="26"/>
  <c r="Z55" i="26"/>
  <c r="Y55" i="26"/>
  <c r="X55" i="26"/>
  <c r="W55" i="26"/>
  <c r="V55" i="26"/>
  <c r="U55" i="26"/>
  <c r="T55" i="26"/>
  <c r="S55" i="26"/>
  <c r="R55" i="26"/>
  <c r="Q55" i="26"/>
  <c r="P55" i="26"/>
  <c r="O55" i="26"/>
  <c r="N55" i="26"/>
  <c r="M55" i="26"/>
  <c r="L55" i="26"/>
  <c r="K55" i="26"/>
  <c r="J55" i="26"/>
  <c r="I55" i="26"/>
  <c r="H55" i="26"/>
  <c r="G55" i="26"/>
  <c r="F55" i="26"/>
  <c r="E55" i="26"/>
  <c r="AR54" i="26"/>
  <c r="AQ54" i="26"/>
  <c r="AP54" i="26"/>
  <c r="AO54" i="26"/>
  <c r="AN54" i="26"/>
  <c r="AM54" i="26"/>
  <c r="AL54" i="26"/>
  <c r="AK54" i="26"/>
  <c r="AJ54" i="26"/>
  <c r="AI54" i="26"/>
  <c r="AH54" i="26"/>
  <c r="AG54" i="26"/>
  <c r="AF54" i="26"/>
  <c r="AE54" i="26"/>
  <c r="AD54" i="26"/>
  <c r="AC54" i="26"/>
  <c r="AB54" i="26"/>
  <c r="AA54" i="26"/>
  <c r="Z54" i="26"/>
  <c r="Y54" i="26"/>
  <c r="X54" i="26"/>
  <c r="W54" i="26"/>
  <c r="V54" i="26"/>
  <c r="U54" i="26"/>
  <c r="T54" i="26"/>
  <c r="S54" i="26"/>
  <c r="R54" i="26"/>
  <c r="Q54" i="26"/>
  <c r="P54" i="26"/>
  <c r="O54" i="26"/>
  <c r="N54" i="26"/>
  <c r="M54" i="26"/>
  <c r="L54" i="26"/>
  <c r="K54" i="26"/>
  <c r="J54" i="26"/>
  <c r="I54" i="26"/>
  <c r="H54" i="26"/>
  <c r="G54" i="26"/>
  <c r="F54" i="26"/>
  <c r="E54" i="26"/>
  <c r="AR53" i="26"/>
  <c r="AQ53" i="26"/>
  <c r="AP53" i="26"/>
  <c r="AO53" i="26"/>
  <c r="AN53" i="26"/>
  <c r="AM53" i="26"/>
  <c r="AL53" i="26"/>
  <c r="AK53" i="26"/>
  <c r="AJ53" i="26"/>
  <c r="AI53"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I53" i="26"/>
  <c r="H53" i="26"/>
  <c r="G53" i="26"/>
  <c r="F53" i="26"/>
  <c r="E53" i="26"/>
  <c r="AR52" i="26"/>
  <c r="AQ52" i="26"/>
  <c r="AP52" i="26"/>
  <c r="AP57" i="26" s="1"/>
  <c r="AP31" i="26" s="1"/>
  <c r="AN52" i="26"/>
  <c r="AM52" i="26"/>
  <c r="AL52" i="26"/>
  <c r="AK52" i="26"/>
  <c r="AJ52" i="26"/>
  <c r="AI52" i="26"/>
  <c r="AH52" i="26"/>
  <c r="AG52" i="26"/>
  <c r="AF52" i="26"/>
  <c r="AE52" i="26"/>
  <c r="AD52" i="26"/>
  <c r="AC52" i="26"/>
  <c r="AB52" i="26"/>
  <c r="AA52" i="26"/>
  <c r="Z52" i="26"/>
  <c r="Y52" i="26"/>
  <c r="X52" i="26"/>
  <c r="W52" i="26"/>
  <c r="V52" i="26"/>
  <c r="U52" i="26"/>
  <c r="T52" i="26"/>
  <c r="S52" i="26"/>
  <c r="R52" i="26"/>
  <c r="Q52" i="26"/>
  <c r="P52" i="26"/>
  <c r="O52" i="26"/>
  <c r="N52" i="26"/>
  <c r="M52" i="26"/>
  <c r="L52" i="26"/>
  <c r="K52" i="26"/>
  <c r="J52" i="26"/>
  <c r="I52" i="26"/>
  <c r="H52" i="26"/>
  <c r="G52" i="26"/>
  <c r="F52" i="26"/>
  <c r="E52" i="26"/>
  <c r="AR51" i="26"/>
  <c r="AR57" i="26" s="1"/>
  <c r="AR31" i="26" s="1"/>
  <c r="AQ51" i="26"/>
  <c r="AO57" i="26"/>
  <c r="AO31" i="26" s="1"/>
  <c r="AN51" i="26"/>
  <c r="AN57" i="26" s="1"/>
  <c r="AN31" i="26" s="1"/>
  <c r="AM51" i="26"/>
  <c r="AM57" i="26" s="1"/>
  <c r="AM31" i="26" s="1"/>
  <c r="AL51" i="26"/>
  <c r="AL57" i="26" s="1"/>
  <c r="AL31" i="26" s="1"/>
  <c r="AK51" i="26"/>
  <c r="AK57" i="26" s="1"/>
  <c r="AK31" i="26" s="1"/>
  <c r="AJ51" i="26"/>
  <c r="AJ57" i="26" s="1"/>
  <c r="AJ31" i="26" s="1"/>
  <c r="AI51" i="26"/>
  <c r="AH51" i="26"/>
  <c r="AG51" i="26"/>
  <c r="AG57" i="26" s="1"/>
  <c r="AG31" i="26" s="1"/>
  <c r="AF51" i="26"/>
  <c r="AF57" i="26" s="1"/>
  <c r="AF31" i="26" s="1"/>
  <c r="AE51" i="26"/>
  <c r="AE57" i="26" s="1"/>
  <c r="AE31" i="26" s="1"/>
  <c r="AD51" i="26"/>
  <c r="AD57" i="26" s="1"/>
  <c r="AD31" i="26" s="1"/>
  <c r="AC51" i="26"/>
  <c r="AC57" i="26" s="1"/>
  <c r="AC31" i="26" s="1"/>
  <c r="AB51" i="26"/>
  <c r="AB57" i="26" s="1"/>
  <c r="AB31" i="26" s="1"/>
  <c r="AA51" i="26"/>
  <c r="Z51" i="26"/>
  <c r="Y51" i="26"/>
  <c r="Y57" i="26" s="1"/>
  <c r="Y31" i="26" s="1"/>
  <c r="X51" i="26"/>
  <c r="X57" i="26" s="1"/>
  <c r="X31" i="26" s="1"/>
  <c r="W51" i="26"/>
  <c r="W57" i="26" s="1"/>
  <c r="W31" i="26" s="1"/>
  <c r="V51" i="26"/>
  <c r="U51" i="26"/>
  <c r="U57" i="26" s="1"/>
  <c r="U31" i="26" s="1"/>
  <c r="T51" i="26"/>
  <c r="T57" i="26" s="1"/>
  <c r="T31" i="26" s="1"/>
  <c r="S51" i="26"/>
  <c r="S57" i="26" s="1"/>
  <c r="S31" i="26" s="1"/>
  <c r="R51" i="26"/>
  <c r="Q51" i="26"/>
  <c r="P51" i="26"/>
  <c r="P57" i="26" s="1"/>
  <c r="P31" i="26" s="1"/>
  <c r="O51" i="26"/>
  <c r="O57" i="26" s="1"/>
  <c r="O31" i="26" s="1"/>
  <c r="N51" i="26"/>
  <c r="N57" i="26" s="1"/>
  <c r="N31" i="26" s="1"/>
  <c r="N35" i="26" s="1"/>
  <c r="M51" i="26"/>
  <c r="M57" i="26" s="1"/>
  <c r="M31" i="26" s="1"/>
  <c r="M35" i="26" s="1"/>
  <c r="L51" i="26"/>
  <c r="L57" i="26" s="1"/>
  <c r="L31" i="26" s="1"/>
  <c r="L35" i="26" s="1"/>
  <c r="K51" i="26"/>
  <c r="K57" i="26" s="1"/>
  <c r="K31" i="26" s="1"/>
  <c r="K35" i="26" s="1"/>
  <c r="J51" i="26"/>
  <c r="I51" i="26"/>
  <c r="I57" i="26" s="1"/>
  <c r="I31" i="26" s="1"/>
  <c r="I35" i="26" s="1"/>
  <c r="H51" i="26"/>
  <c r="H57" i="26" s="1"/>
  <c r="H31" i="26" s="1"/>
  <c r="H35" i="26" s="1"/>
  <c r="G51" i="26"/>
  <c r="G57" i="26" s="1"/>
  <c r="G31" i="26" s="1"/>
  <c r="G35" i="26" s="1"/>
  <c r="F51" i="26"/>
  <c r="F57" i="26" s="1"/>
  <c r="F31" i="26" s="1"/>
  <c r="F35" i="26" s="1"/>
  <c r="E51" i="26"/>
  <c r="E57" i="26" s="1"/>
  <c r="E31" i="26" s="1"/>
  <c r="E35" i="26" s="1"/>
  <c r="AR48" i="26"/>
  <c r="AQ48" i="26"/>
  <c r="AP48" i="26"/>
  <c r="AO48" i="26"/>
  <c r="AN48" i="26"/>
  <c r="AM48" i="26"/>
  <c r="AL48" i="26"/>
  <c r="AK48" i="26"/>
  <c r="AJ48" i="26"/>
  <c r="AI48" i="26"/>
  <c r="AH48" i="26"/>
  <c r="AG48" i="26"/>
  <c r="AF48" i="26"/>
  <c r="AE48" i="26"/>
  <c r="AD48" i="26"/>
  <c r="AC48" i="26"/>
  <c r="AB48" i="26"/>
  <c r="AA48" i="26"/>
  <c r="Z48" i="26"/>
  <c r="Y48" i="26"/>
  <c r="X48" i="26"/>
  <c r="W48" i="26"/>
  <c r="V48" i="26"/>
  <c r="U48" i="26"/>
  <c r="T48" i="26"/>
  <c r="S48" i="26"/>
  <c r="R48" i="26"/>
  <c r="Q48" i="26"/>
  <c r="P48" i="26"/>
  <c r="O48" i="26"/>
  <c r="N48" i="26"/>
  <c r="M48" i="26"/>
  <c r="L48" i="26"/>
  <c r="K48" i="26"/>
  <c r="J48" i="26"/>
  <c r="I48" i="26"/>
  <c r="H48" i="26"/>
  <c r="G48" i="26"/>
  <c r="F48" i="26"/>
  <c r="E48" i="26"/>
  <c r="V56" i="26"/>
  <c r="J57" i="26" l="1"/>
  <c r="J31" i="26" s="1"/>
  <c r="J35" i="26" s="1"/>
  <c r="R57" i="26"/>
  <c r="R31" i="26" s="1"/>
  <c r="Z57" i="26"/>
  <c r="Z31" i="26" s="1"/>
  <c r="AH57" i="26"/>
  <c r="AH31" i="26" s="1"/>
  <c r="AA57" i="26"/>
  <c r="AA31" i="26" s="1"/>
  <c r="AI57" i="26"/>
  <c r="AI31" i="26" s="1"/>
  <c r="AQ57" i="26"/>
  <c r="AQ31" i="26" s="1"/>
  <c r="E36" i="26"/>
  <c r="E37" i="26" s="1"/>
  <c r="V57" i="26"/>
  <c r="V31" i="26" s="1"/>
  <c r="Q57" i="26"/>
  <c r="Q31" i="26" s="1"/>
  <c r="E38" i="26" l="1"/>
  <c r="E39" i="26" s="1"/>
  <c r="F36" i="26" l="1"/>
  <c r="F38" i="26" l="1"/>
  <c r="F39" i="26" s="1"/>
  <c r="G36" i="26" s="1"/>
  <c r="G38" i="26" s="1"/>
  <c r="G39" i="26" s="1"/>
  <c r="H36" i="26" s="1"/>
  <c r="H38" i="26" s="1"/>
  <c r="H39" i="26" s="1"/>
  <c r="I36" i="26" s="1"/>
  <c r="I38" i="26" s="1"/>
  <c r="I39" i="26" s="1"/>
  <c r="J36" i="26" s="1"/>
  <c r="J38" i="26" s="1"/>
  <c r="J39" i="26" s="1"/>
  <c r="F37" i="26"/>
  <c r="G37" i="26" l="1"/>
  <c r="H37" i="26" s="1"/>
  <c r="I37" i="26" s="1"/>
  <c r="J37" i="26" s="1"/>
  <c r="K36" i="26"/>
  <c r="K38" i="26" s="1"/>
  <c r="K39" i="26" s="1"/>
  <c r="K37" i="26" l="1"/>
  <c r="L36" i="26"/>
  <c r="L38" i="26" s="1"/>
  <c r="L39" i="26" s="1"/>
  <c r="L37" i="26" l="1"/>
  <c r="M36" i="26"/>
  <c r="M38" i="26" s="1"/>
  <c r="M39" i="26" s="1"/>
  <c r="M37" i="26" l="1"/>
  <c r="N36" i="26"/>
  <c r="N38" i="26" s="1"/>
  <c r="N39" i="26" s="1"/>
  <c r="N37" i="26" l="1"/>
  <c r="E14" i="28" l="1"/>
  <c r="AW65" i="28"/>
  <c r="AU65" i="28"/>
  <c r="AT65" i="28"/>
  <c r="AS65" i="28"/>
  <c r="AR65" i="28"/>
  <c r="AQ65" i="28"/>
  <c r="AP65" i="28"/>
  <c r="AO65" i="28"/>
  <c r="AN65" i="28"/>
  <c r="AM65" i="28"/>
  <c r="AL65" i="28"/>
  <c r="AK65" i="28"/>
  <c r="AJ65" i="28"/>
  <c r="AI65" i="28"/>
  <c r="AH65" i="28"/>
  <c r="AG65"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AW64" i="28"/>
  <c r="AU64" i="28"/>
  <c r="AT64" i="28"/>
  <c r="AS64" i="28"/>
  <c r="AR64" i="28"/>
  <c r="AQ64" i="28"/>
  <c r="AP64" i="28"/>
  <c r="AO64" i="28"/>
  <c r="AN64" i="28"/>
  <c r="AM64" i="28"/>
  <c r="AL64" i="28"/>
  <c r="AK64" i="28"/>
  <c r="AJ64" i="28"/>
  <c r="AI64" i="28"/>
  <c r="AH64" i="28"/>
  <c r="AG64" i="28"/>
  <c r="AF64" i="28"/>
  <c r="AE64" i="28"/>
  <c r="AD64" i="28"/>
  <c r="AC64" i="28"/>
  <c r="AB64" i="28"/>
  <c r="AA64" i="28"/>
  <c r="Z64" i="28"/>
  <c r="Y64" i="28"/>
  <c r="X64" i="28"/>
  <c r="W64" i="28"/>
  <c r="V64" i="28"/>
  <c r="U64" i="28"/>
  <c r="T64" i="28"/>
  <c r="S64" i="28"/>
  <c r="R64" i="28"/>
  <c r="Q64" i="28"/>
  <c r="P64" i="28"/>
  <c r="O64" i="28"/>
  <c r="N64" i="28"/>
  <c r="M64" i="28"/>
  <c r="L64" i="28"/>
  <c r="K64" i="28"/>
  <c r="J64" i="28"/>
  <c r="I64" i="28"/>
  <c r="H64" i="28"/>
  <c r="G64" i="28"/>
  <c r="F64" i="28"/>
  <c r="E64" i="28"/>
  <c r="D64" i="28"/>
  <c r="AW63" i="28"/>
  <c r="AU63" i="28"/>
  <c r="AT63" i="28"/>
  <c r="AS63" i="28"/>
  <c r="AR63" i="28"/>
  <c r="AQ63" i="28"/>
  <c r="AP63" i="28"/>
  <c r="AO63" i="28"/>
  <c r="AN63" i="28"/>
  <c r="AM63" i="28"/>
  <c r="AL63" i="28"/>
  <c r="AK63" i="28"/>
  <c r="AJ63" i="28"/>
  <c r="AI63" i="28"/>
  <c r="AH63" i="28"/>
  <c r="AG63"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AW62" i="28"/>
  <c r="AU62" i="28"/>
  <c r="AT62" i="28"/>
  <c r="AS62" i="28"/>
  <c r="AR62" i="28"/>
  <c r="AQ62" i="28"/>
  <c r="AP62" i="28"/>
  <c r="AO62" i="28"/>
  <c r="AN62" i="28"/>
  <c r="AM62" i="28"/>
  <c r="AL62" i="28"/>
  <c r="AK62" i="28"/>
  <c r="AJ62" i="28"/>
  <c r="AI62" i="28"/>
  <c r="AH62" i="28"/>
  <c r="AG62" i="28"/>
  <c r="AF62" i="28"/>
  <c r="AE62" i="28"/>
  <c r="AD62" i="28"/>
  <c r="AC62" i="28"/>
  <c r="AB62" i="28"/>
  <c r="AA62" i="28"/>
  <c r="Z62" i="28"/>
  <c r="Y62" i="28"/>
  <c r="X62" i="28"/>
  <c r="W62" i="28"/>
  <c r="V62" i="28"/>
  <c r="U62" i="28"/>
  <c r="T62" i="28"/>
  <c r="S62" i="28"/>
  <c r="R62" i="28"/>
  <c r="Q62" i="28"/>
  <c r="P62" i="28"/>
  <c r="O62" i="28"/>
  <c r="N62" i="28"/>
  <c r="M62" i="28"/>
  <c r="L62" i="28"/>
  <c r="K62" i="28"/>
  <c r="J62" i="28"/>
  <c r="I62" i="28"/>
  <c r="H62" i="28"/>
  <c r="G62" i="28"/>
  <c r="F62" i="28"/>
  <c r="E62" i="28"/>
  <c r="D62" i="28"/>
  <c r="AW61" i="28"/>
  <c r="AU61" i="28"/>
  <c r="AT61" i="28"/>
  <c r="AS61" i="28"/>
  <c r="AR61" i="28"/>
  <c r="AQ61" i="28"/>
  <c r="AP61" i="28"/>
  <c r="AO61" i="28"/>
  <c r="AN61" i="28"/>
  <c r="AM61" i="28"/>
  <c r="AL61" i="28"/>
  <c r="AK61" i="28"/>
  <c r="AJ61" i="28"/>
  <c r="AI61" i="28"/>
  <c r="AH61" i="28"/>
  <c r="AG61"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AW56" i="28"/>
  <c r="AU56" i="28"/>
  <c r="AT56" i="28"/>
  <c r="AS56" i="28"/>
  <c r="AR56" i="28"/>
  <c r="AQ56" i="28"/>
  <c r="AP56" i="28"/>
  <c r="AO56" i="28"/>
  <c r="AN56" i="28"/>
  <c r="AM56" i="28"/>
  <c r="AL56" i="28"/>
  <c r="AK56" i="28"/>
  <c r="AJ56" i="28"/>
  <c r="AI56" i="28"/>
  <c r="AH56" i="28"/>
  <c r="AG56" i="28"/>
  <c r="AF56" i="28"/>
  <c r="AE56" i="28"/>
  <c r="AD56" i="28"/>
  <c r="AC56" i="28"/>
  <c r="AB56" i="28"/>
  <c r="AA56" i="28"/>
  <c r="Z56" i="28"/>
  <c r="Y56" i="28"/>
  <c r="X56" i="28"/>
  <c r="W56" i="28"/>
  <c r="V56" i="28"/>
  <c r="U56" i="28"/>
  <c r="T56" i="28"/>
  <c r="S56" i="28"/>
  <c r="R56" i="28"/>
  <c r="P56" i="28"/>
  <c r="O56" i="28"/>
  <c r="N56" i="28"/>
  <c r="M56" i="28"/>
  <c r="L56" i="28"/>
  <c r="K56" i="28"/>
  <c r="J56" i="28"/>
  <c r="I56" i="28"/>
  <c r="H56" i="28"/>
  <c r="G56" i="28"/>
  <c r="F56" i="28"/>
  <c r="E56" i="28"/>
  <c r="D56" i="28"/>
  <c r="AW28" i="28"/>
  <c r="AU28" i="28"/>
  <c r="AT28" i="28"/>
  <c r="AS28" i="28"/>
  <c r="AR28" i="28"/>
  <c r="AQ28" i="28"/>
  <c r="AP28" i="28"/>
  <c r="AO28" i="28"/>
  <c r="AN28" i="28"/>
  <c r="AM28" i="28"/>
  <c r="AL28" i="28"/>
  <c r="AK28" i="28"/>
  <c r="AJ28" i="28"/>
  <c r="AI28" i="28"/>
  <c r="AH28" i="28"/>
  <c r="AG28" i="28"/>
  <c r="AF28" i="28"/>
  <c r="AE28" i="28"/>
  <c r="AD28" i="28"/>
  <c r="AC28" i="28"/>
  <c r="AB28" i="28"/>
  <c r="AA28" i="28"/>
  <c r="Z28" i="28"/>
  <c r="Y28" i="28"/>
  <c r="X28" i="28"/>
  <c r="W28" i="28"/>
  <c r="V28" i="28"/>
  <c r="U28" i="28"/>
  <c r="T28" i="28"/>
  <c r="S28" i="28"/>
  <c r="R28" i="28"/>
  <c r="Q28" i="28"/>
  <c r="P28" i="28"/>
  <c r="O28" i="28"/>
  <c r="N28" i="28"/>
  <c r="M28" i="28"/>
  <c r="L28" i="28"/>
  <c r="L32" i="28" s="1"/>
  <c r="N37" i="27" s="1"/>
  <c r="K28" i="28"/>
  <c r="J28" i="28"/>
  <c r="I28" i="28"/>
  <c r="H28" i="28"/>
  <c r="G28" i="28"/>
  <c r="F28" i="28"/>
  <c r="E28" i="28"/>
  <c r="D28" i="28"/>
  <c r="AW19" i="28"/>
  <c r="AU19" i="28"/>
  <c r="AT19" i="28"/>
  <c r="AS19" i="28"/>
  <c r="AR19" i="28"/>
  <c r="AQ19" i="28"/>
  <c r="AP19" i="28"/>
  <c r="AO19" i="28"/>
  <c r="AN19" i="28"/>
  <c r="AM19" i="28"/>
  <c r="AL19" i="28"/>
  <c r="AK19" i="28"/>
  <c r="AJ19" i="28"/>
  <c r="AI19" i="28"/>
  <c r="AH19" i="28"/>
  <c r="AG19" i="28"/>
  <c r="AF19" i="28"/>
  <c r="AE19" i="28"/>
  <c r="AD19" i="28"/>
  <c r="AC19" i="28"/>
  <c r="AB19" i="28"/>
  <c r="AA19" i="28"/>
  <c r="Z19" i="28"/>
  <c r="Y19" i="28"/>
  <c r="X19" i="28"/>
  <c r="W19" i="28"/>
  <c r="V19" i="28"/>
  <c r="S19" i="28"/>
  <c r="R19" i="28"/>
  <c r="Q19" i="28"/>
  <c r="P19" i="28"/>
  <c r="O19" i="28"/>
  <c r="N19" i="28"/>
  <c r="M19" i="28"/>
  <c r="K19" i="28"/>
  <c r="J19" i="28"/>
  <c r="I19" i="28"/>
  <c r="H19" i="28"/>
  <c r="G19" i="28"/>
  <c r="F19" i="28"/>
  <c r="E19" i="28"/>
  <c r="D19" i="28"/>
  <c r="AW18" i="28"/>
  <c r="AU18" i="28"/>
  <c r="AT18" i="28"/>
  <c r="AS18" i="28"/>
  <c r="AR18" i="28"/>
  <c r="AQ18" i="28"/>
  <c r="AP18" i="28"/>
  <c r="AO18" i="28"/>
  <c r="AN18" i="28"/>
  <c r="AM18" i="28"/>
  <c r="AL18" i="28"/>
  <c r="AK18" i="28"/>
  <c r="AJ18" i="28"/>
  <c r="AI18" i="28"/>
  <c r="AH18" i="28"/>
  <c r="AG18" i="28"/>
  <c r="AF18" i="28"/>
  <c r="AE18" i="28"/>
  <c r="AD18" i="28"/>
  <c r="AC18" i="28"/>
  <c r="AB18" i="28"/>
  <c r="AA18" i="28"/>
  <c r="AA35" i="28" s="1"/>
  <c r="AC67" i="27" s="1"/>
  <c r="Z18" i="28"/>
  <c r="Y18" i="28"/>
  <c r="X18" i="28"/>
  <c r="W18" i="28"/>
  <c r="V18" i="28"/>
  <c r="U18" i="28"/>
  <c r="T18" i="28"/>
  <c r="S18" i="28"/>
  <c r="R18" i="28"/>
  <c r="Q18" i="28"/>
  <c r="P18" i="28"/>
  <c r="O18" i="28"/>
  <c r="N18" i="28"/>
  <c r="M18" i="28"/>
  <c r="K18" i="28"/>
  <c r="J18" i="28"/>
  <c r="I18" i="28"/>
  <c r="H18" i="28"/>
  <c r="G18" i="28"/>
  <c r="F18" i="28"/>
  <c r="E18" i="28"/>
  <c r="D18" i="28"/>
  <c r="AW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V17" i="28"/>
  <c r="U17" i="28"/>
  <c r="T17" i="28"/>
  <c r="S17" i="28"/>
  <c r="R17" i="28"/>
  <c r="Q17" i="28"/>
  <c r="P17" i="28"/>
  <c r="O17" i="28"/>
  <c r="N17" i="28"/>
  <c r="M17" i="28"/>
  <c r="K17" i="28"/>
  <c r="J17" i="28"/>
  <c r="I17" i="28"/>
  <c r="H17" i="28"/>
  <c r="G17" i="28"/>
  <c r="F17" i="28"/>
  <c r="E17" i="28"/>
  <c r="D17" i="28"/>
  <c r="AW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V16" i="28"/>
  <c r="U16" i="28"/>
  <c r="T16" i="28"/>
  <c r="S16" i="28"/>
  <c r="R16" i="28"/>
  <c r="Q16" i="28"/>
  <c r="P16" i="28"/>
  <c r="O16" i="28"/>
  <c r="N16" i="28"/>
  <c r="M16" i="28"/>
  <c r="K16" i="28"/>
  <c r="J16" i="28"/>
  <c r="I16" i="28"/>
  <c r="H16" i="28"/>
  <c r="G16" i="28"/>
  <c r="F16" i="28"/>
  <c r="E16" i="28"/>
  <c r="D16" i="28"/>
  <c r="AW15" i="28"/>
  <c r="AU15" i="28"/>
  <c r="AT15" i="28"/>
  <c r="AS15" i="28"/>
  <c r="AR15" i="28"/>
  <c r="AQ15" i="28"/>
  <c r="AP15" i="28"/>
  <c r="AO15" i="28"/>
  <c r="AN15" i="28"/>
  <c r="AM15" i="28"/>
  <c r="AM32" i="28" s="1"/>
  <c r="AO37" i="27" s="1"/>
  <c r="AL15" i="28"/>
  <c r="AK15" i="28"/>
  <c r="AJ15" i="28"/>
  <c r="AI15" i="28"/>
  <c r="AH15" i="28"/>
  <c r="AG15" i="28"/>
  <c r="AF15" i="28"/>
  <c r="AE15" i="28"/>
  <c r="AD15" i="28"/>
  <c r="AC15" i="28"/>
  <c r="AB15" i="28"/>
  <c r="AA15" i="28"/>
  <c r="Z15" i="28"/>
  <c r="Y15" i="28"/>
  <c r="X15" i="28"/>
  <c r="W15" i="28"/>
  <c r="V15" i="28"/>
  <c r="U15" i="28"/>
  <c r="T15" i="28"/>
  <c r="S15" i="28"/>
  <c r="R15" i="28"/>
  <c r="Q15" i="28"/>
  <c r="P15" i="28"/>
  <c r="O15" i="28"/>
  <c r="N15" i="28"/>
  <c r="M15" i="28"/>
  <c r="K15" i="28"/>
  <c r="J15" i="28"/>
  <c r="I15" i="28"/>
  <c r="H15" i="28"/>
  <c r="G15" i="28"/>
  <c r="F15" i="28"/>
  <c r="E15" i="28"/>
  <c r="D15" i="28"/>
  <c r="AW14" i="28"/>
  <c r="AU14" i="28"/>
  <c r="AT14" i="28"/>
  <c r="AS14" i="28"/>
  <c r="AR14" i="28"/>
  <c r="AQ14" i="28"/>
  <c r="AP14" i="28"/>
  <c r="AO14" i="28"/>
  <c r="AN14" i="28"/>
  <c r="AM14" i="28"/>
  <c r="AM31" i="28" s="1"/>
  <c r="AO27" i="27" s="1"/>
  <c r="AL14" i="28"/>
  <c r="AK14" i="28"/>
  <c r="AJ14" i="28"/>
  <c r="AJ31" i="28" s="1"/>
  <c r="AL27" i="27" s="1"/>
  <c r="AI14" i="28"/>
  <c r="AH14" i="28"/>
  <c r="AG14" i="28"/>
  <c r="AF14" i="28"/>
  <c r="AE14" i="28"/>
  <c r="AD14" i="28"/>
  <c r="AC14" i="28"/>
  <c r="AB14" i="28"/>
  <c r="AA14" i="28"/>
  <c r="Z14" i="28"/>
  <c r="Y14" i="28"/>
  <c r="X14" i="28"/>
  <c r="W14" i="28"/>
  <c r="V14" i="28"/>
  <c r="U14" i="28"/>
  <c r="T14" i="28"/>
  <c r="S14" i="28"/>
  <c r="R14" i="28"/>
  <c r="Q14" i="28"/>
  <c r="P14" i="28"/>
  <c r="O14" i="28"/>
  <c r="N14" i="28"/>
  <c r="M14" i="28"/>
  <c r="L31" i="28"/>
  <c r="N27" i="27" s="1"/>
  <c r="J14" i="28"/>
  <c r="I14" i="28"/>
  <c r="H14" i="28"/>
  <c r="G14" i="28"/>
  <c r="F14" i="28"/>
  <c r="D14" i="28"/>
  <c r="AW11" i="28"/>
  <c r="AU11" i="28"/>
  <c r="AT11" i="28"/>
  <c r="AS11" i="28"/>
  <c r="AR11" i="28"/>
  <c r="AQ11" i="28"/>
  <c r="AP11" i="28"/>
  <c r="AO11" i="28"/>
  <c r="AN11" i="28"/>
  <c r="AM11" i="28"/>
  <c r="AL11" i="28"/>
  <c r="AK11" i="28"/>
  <c r="AJ11" i="28"/>
  <c r="AI11" i="28"/>
  <c r="AH11" i="28"/>
  <c r="AG11" i="28"/>
  <c r="AF11" i="28"/>
  <c r="AE11" i="28"/>
  <c r="AD11" i="28"/>
  <c r="AC11" i="28"/>
  <c r="AB11" i="28"/>
  <c r="AA11" i="28"/>
  <c r="Z11" i="28"/>
  <c r="Y11" i="28"/>
  <c r="X11" i="28"/>
  <c r="W11" i="28"/>
  <c r="V11" i="28"/>
  <c r="U11" i="28"/>
  <c r="S11" i="28"/>
  <c r="R11" i="28"/>
  <c r="Q11" i="28"/>
  <c r="P11" i="28"/>
  <c r="O11" i="28"/>
  <c r="N11" i="28"/>
  <c r="M11" i="28"/>
  <c r="L11" i="28"/>
  <c r="K11" i="28"/>
  <c r="J11" i="28"/>
  <c r="I11" i="28"/>
  <c r="H11" i="28"/>
  <c r="G11" i="28"/>
  <c r="F11" i="28"/>
  <c r="E11" i="28"/>
  <c r="D11" i="28"/>
  <c r="U19" i="28"/>
  <c r="G34" i="28" l="1"/>
  <c r="I57" i="27" s="1"/>
  <c r="J31" i="28"/>
  <c r="L34" i="28"/>
  <c r="N57" i="27" s="1"/>
  <c r="AJ34" i="28"/>
  <c r="AL57" i="27" s="1"/>
  <c r="L35" i="28"/>
  <c r="N67" i="27" s="1"/>
  <c r="AA33" i="28"/>
  <c r="AC47" i="27" s="1"/>
  <c r="F32" i="28"/>
  <c r="H37" i="27" s="1"/>
  <c r="E32" i="28"/>
  <c r="D32" i="28"/>
  <c r="F37" i="27" s="1"/>
  <c r="G33" i="28"/>
  <c r="I47" i="27" s="1"/>
  <c r="N32" i="28"/>
  <c r="P37" i="27" s="1"/>
  <c r="O32" i="28"/>
  <c r="Q37" i="27" s="1"/>
  <c r="AQ33" i="28"/>
  <c r="AS47" i="27" s="1"/>
  <c r="AQ32" i="28"/>
  <c r="AS37" i="27" s="1"/>
  <c r="N34" i="28"/>
  <c r="P57" i="27" s="1"/>
  <c r="AP31" i="28"/>
  <c r="AR27" i="27" s="1"/>
  <c r="R35" i="28"/>
  <c r="T67" i="27" s="1"/>
  <c r="AE33" i="28"/>
  <c r="AG47" i="27" s="1"/>
  <c r="R31" i="28"/>
  <c r="T27" i="27" s="1"/>
  <c r="AP35" i="28"/>
  <c r="AR67" i="27" s="1"/>
  <c r="AQ31" i="28"/>
  <c r="AS27" i="27" s="1"/>
  <c r="L33" i="28"/>
  <c r="N47" i="27" s="1"/>
  <c r="O34" i="28"/>
  <c r="Q57" i="27" s="1"/>
  <c r="G31" i="28"/>
  <c r="I27" i="27" s="1"/>
  <c r="K31" i="28"/>
  <c r="G32" i="28"/>
  <c r="I37" i="27" s="1"/>
  <c r="F34" i="28"/>
  <c r="H57" i="27" s="1"/>
  <c r="H33" i="28"/>
  <c r="J47" i="27" s="1"/>
  <c r="P33" i="28"/>
  <c r="R47" i="27" s="1"/>
  <c r="AF33" i="28"/>
  <c r="AH47" i="27" s="1"/>
  <c r="AN33" i="28"/>
  <c r="AP47" i="27" s="1"/>
  <c r="H35" i="28"/>
  <c r="J67" i="27" s="1"/>
  <c r="H32" i="28"/>
  <c r="J37" i="27" s="1"/>
  <c r="P32" i="28"/>
  <c r="R37" i="27" s="1"/>
  <c r="AF32" i="28"/>
  <c r="AH37" i="27" s="1"/>
  <c r="J32" i="28"/>
  <c r="L37" i="27" s="1"/>
  <c r="H34" i="28"/>
  <c r="J57" i="27" s="1"/>
  <c r="P34" i="28"/>
  <c r="R57" i="27" s="1"/>
  <c r="P31" i="28"/>
  <c r="R27" i="27" s="1"/>
  <c r="AF31" i="28"/>
  <c r="AH27" i="27" s="1"/>
  <c r="AJ35" i="28"/>
  <c r="AL67" i="27" s="1"/>
  <c r="H31" i="28"/>
  <c r="J27" i="27" s="1"/>
  <c r="J34" i="28"/>
  <c r="L57" i="27" s="1"/>
  <c r="AE35" i="28"/>
  <c r="AG67" i="27" s="1"/>
  <c r="Y66" i="28"/>
  <c r="Y72" i="28" s="1"/>
  <c r="AA58" i="27" s="1"/>
  <c r="AA59" i="27" s="1"/>
  <c r="AL31" i="28"/>
  <c r="AN27" i="27" s="1"/>
  <c r="K32" i="28"/>
  <c r="M37" i="27" s="1"/>
  <c r="V33" i="28"/>
  <c r="X47" i="27" s="1"/>
  <c r="E66" i="28"/>
  <c r="E70" i="28" s="1"/>
  <c r="E69" i="28"/>
  <c r="AK66" i="28"/>
  <c r="AK70" i="28" s="1"/>
  <c r="AM38" i="27" s="1"/>
  <c r="AM39" i="27" s="1"/>
  <c r="AM40" i="27" s="1"/>
  <c r="K34" i="28"/>
  <c r="M57" i="27" s="1"/>
  <c r="AW35" i="28"/>
  <c r="AY67" i="27" s="1"/>
  <c r="AW32" i="28"/>
  <c r="AY37" i="27" s="1"/>
  <c r="AW34" i="28"/>
  <c r="AY57" i="27" s="1"/>
  <c r="AW33" i="28"/>
  <c r="AY47" i="27" s="1"/>
  <c r="AW66" i="28"/>
  <c r="AW69" i="28" s="1"/>
  <c r="AU33" i="28"/>
  <c r="AW47" i="27" s="1"/>
  <c r="AU31" i="28"/>
  <c r="AW27" i="27" s="1"/>
  <c r="AU66" i="28"/>
  <c r="AU69" i="28" s="1"/>
  <c r="AU32" i="28"/>
  <c r="AW37" i="27" s="1"/>
  <c r="AU35" i="28"/>
  <c r="AW67" i="27" s="1"/>
  <c r="AU34" i="28"/>
  <c r="AW57" i="27" s="1"/>
  <c r="AT31" i="28"/>
  <c r="AV27" i="27" s="1"/>
  <c r="AT35" i="28"/>
  <c r="AV67" i="27" s="1"/>
  <c r="AT66" i="28"/>
  <c r="AT72" i="28" s="1"/>
  <c r="AV58" i="27" s="1"/>
  <c r="AV59" i="27" s="1"/>
  <c r="AV60" i="27" s="1"/>
  <c r="AT33" i="28"/>
  <c r="AV47" i="27" s="1"/>
  <c r="AT34" i="28"/>
  <c r="AV57" i="27" s="1"/>
  <c r="AT32" i="28"/>
  <c r="AV37" i="27" s="1"/>
  <c r="AS34" i="28"/>
  <c r="AU57" i="27" s="1"/>
  <c r="AS33" i="28"/>
  <c r="AU47" i="27" s="1"/>
  <c r="AS66" i="28"/>
  <c r="AS71" i="28" s="1"/>
  <c r="AU48" i="27" s="1"/>
  <c r="AU49" i="27" s="1"/>
  <c r="AU50" i="27" s="1"/>
  <c r="AS32" i="28"/>
  <c r="AU37" i="27" s="1"/>
  <c r="AS35" i="28"/>
  <c r="AU67" i="27" s="1"/>
  <c r="AR32" i="28"/>
  <c r="AT37" i="27" s="1"/>
  <c r="AR33" i="28"/>
  <c r="AT47" i="27" s="1"/>
  <c r="AR35" i="28"/>
  <c r="AT67" i="27" s="1"/>
  <c r="AR66" i="28"/>
  <c r="AR70" i="28" s="1"/>
  <c r="AT38" i="27" s="1"/>
  <c r="AT39" i="27" s="1"/>
  <c r="AT40" i="27" s="1"/>
  <c r="AR34" i="28"/>
  <c r="AT57" i="27" s="1"/>
  <c r="AQ35" i="28"/>
  <c r="AS67" i="27" s="1"/>
  <c r="AQ34" i="28"/>
  <c r="AS57" i="27" s="1"/>
  <c r="AQ66" i="28"/>
  <c r="AQ69" i="28" s="1"/>
  <c r="AP34" i="28"/>
  <c r="AR57" i="27" s="1"/>
  <c r="AP33" i="28"/>
  <c r="AR47" i="27" s="1"/>
  <c r="AP66" i="28"/>
  <c r="AP69" i="28" s="1"/>
  <c r="AP32" i="28"/>
  <c r="AR37" i="27" s="1"/>
  <c r="AO33" i="28"/>
  <c r="AQ47" i="27" s="1"/>
  <c r="AO66" i="28"/>
  <c r="AO71" i="28" s="1"/>
  <c r="AQ48" i="27" s="1"/>
  <c r="AQ49" i="27" s="1"/>
  <c r="AQ50" i="27" s="1"/>
  <c r="AO32" i="28"/>
  <c r="AQ37" i="27" s="1"/>
  <c r="AO35" i="28"/>
  <c r="AQ67" i="27" s="1"/>
  <c r="AO34" i="28"/>
  <c r="AQ57" i="27" s="1"/>
  <c r="AN32" i="28"/>
  <c r="AP37" i="27" s="1"/>
  <c r="AN31" i="28"/>
  <c r="AP27" i="27" s="1"/>
  <c r="AN35" i="28"/>
  <c r="AP67" i="27" s="1"/>
  <c r="AN34" i="28"/>
  <c r="AP57" i="27" s="1"/>
  <c r="AM35" i="28"/>
  <c r="AO67" i="27" s="1"/>
  <c r="AM34" i="28"/>
  <c r="AO57" i="27" s="1"/>
  <c r="AM33" i="28"/>
  <c r="AO47" i="27" s="1"/>
  <c r="AL33" i="28"/>
  <c r="AN47" i="27" s="1"/>
  <c r="AJ33" i="28"/>
  <c r="AL47" i="27" s="1"/>
  <c r="AJ32" i="28"/>
  <c r="AL37" i="27" s="1"/>
  <c r="AI33" i="28"/>
  <c r="AK47" i="27" s="1"/>
  <c r="AI34" i="28"/>
  <c r="AK57" i="27" s="1"/>
  <c r="AI32" i="28"/>
  <c r="AK37" i="27" s="1"/>
  <c r="AI35" i="28"/>
  <c r="AK67" i="27" s="1"/>
  <c r="AH31" i="28"/>
  <c r="AJ27" i="27" s="1"/>
  <c r="AH35" i="28"/>
  <c r="AJ67" i="27" s="1"/>
  <c r="AI20" i="28"/>
  <c r="AH66" i="28"/>
  <c r="AH69" i="28" s="1"/>
  <c r="AJ28" i="27" s="1"/>
  <c r="AJ29" i="27" s="1"/>
  <c r="AJ30" i="27" s="1"/>
  <c r="AG66" i="28"/>
  <c r="AG70" i="28" s="1"/>
  <c r="AI38" i="27" s="1"/>
  <c r="AI39" i="27" s="1"/>
  <c r="AI40" i="27" s="1"/>
  <c r="AF34" i="28"/>
  <c r="AH57" i="27" s="1"/>
  <c r="AF35" i="28"/>
  <c r="AH67" i="27" s="1"/>
  <c r="AE20" i="28"/>
  <c r="AD33" i="28"/>
  <c r="AF47" i="27" s="1"/>
  <c r="AD20" i="28"/>
  <c r="AC66" i="28"/>
  <c r="AC71" i="28" s="1"/>
  <c r="AE48" i="27" s="1"/>
  <c r="AE49" i="27" s="1"/>
  <c r="AB33" i="28"/>
  <c r="AD47" i="27" s="1"/>
  <c r="AB32" i="28"/>
  <c r="AD37" i="27" s="1"/>
  <c r="AB35" i="28"/>
  <c r="AD67" i="27" s="1"/>
  <c r="AB31" i="28"/>
  <c r="AD27" i="27" s="1"/>
  <c r="AB34" i="28"/>
  <c r="AD57" i="27" s="1"/>
  <c r="Z35" i="28"/>
  <c r="AB67" i="27" s="1"/>
  <c r="AA20" i="28"/>
  <c r="Z20" i="28"/>
  <c r="X34" i="28"/>
  <c r="Z57" i="27" s="1"/>
  <c r="X33" i="28"/>
  <c r="Z47" i="27" s="1"/>
  <c r="X32" i="28"/>
  <c r="Z37" i="27" s="1"/>
  <c r="X31" i="28"/>
  <c r="Z27" i="27" s="1"/>
  <c r="X35" i="28"/>
  <c r="Z67" i="27" s="1"/>
  <c r="W33" i="28"/>
  <c r="Y47" i="27" s="1"/>
  <c r="W31" i="28"/>
  <c r="Y27" i="27" s="1"/>
  <c r="W35" i="28"/>
  <c r="Y67" i="27" s="1"/>
  <c r="V31" i="28"/>
  <c r="X27" i="27" s="1"/>
  <c r="V66" i="28"/>
  <c r="V73" i="28" s="1"/>
  <c r="X68" i="27" s="1"/>
  <c r="X69" i="27" s="1"/>
  <c r="U66" i="28"/>
  <c r="U73" i="28" s="1"/>
  <c r="W68" i="27" s="1"/>
  <c r="W69" i="27" s="1"/>
  <c r="S32" i="28"/>
  <c r="U37" i="27" s="1"/>
  <c r="S33" i="28"/>
  <c r="U47" i="27" s="1"/>
  <c r="S35" i="28"/>
  <c r="U67" i="27" s="1"/>
  <c r="S34" i="28"/>
  <c r="U57" i="27" s="1"/>
  <c r="S20" i="28"/>
  <c r="R32" i="28"/>
  <c r="T37" i="27" s="1"/>
  <c r="R34" i="28"/>
  <c r="T57" i="27" s="1"/>
  <c r="R66" i="28"/>
  <c r="R69" i="28" s="1"/>
  <c r="T28" i="27" s="1"/>
  <c r="T29" i="27" s="1"/>
  <c r="Q31" i="28"/>
  <c r="S27" i="27" s="1"/>
  <c r="Q66" i="28"/>
  <c r="Q73" i="28" s="1"/>
  <c r="S68" i="27" s="1"/>
  <c r="S69" i="27" s="1"/>
  <c r="P35" i="28"/>
  <c r="R67" i="27" s="1"/>
  <c r="O33" i="28"/>
  <c r="Q47" i="27" s="1"/>
  <c r="O35" i="28"/>
  <c r="Q67" i="27" s="1"/>
  <c r="O20" i="28"/>
  <c r="N33" i="28"/>
  <c r="P47" i="27" s="1"/>
  <c r="M66" i="28"/>
  <c r="M73" i="28" s="1"/>
  <c r="O68" i="27" s="1"/>
  <c r="O69" i="27" s="1"/>
  <c r="N20" i="28"/>
  <c r="K20" i="28"/>
  <c r="K33" i="28"/>
  <c r="M47" i="27" s="1"/>
  <c r="K35" i="28"/>
  <c r="M67" i="27" s="1"/>
  <c r="J33" i="28"/>
  <c r="L47" i="27" s="1"/>
  <c r="J35" i="28"/>
  <c r="L67" i="27" s="1"/>
  <c r="J20" i="28"/>
  <c r="I66" i="28"/>
  <c r="I71" i="28" s="1"/>
  <c r="G35" i="28"/>
  <c r="I67" i="27" s="1"/>
  <c r="F31" i="28"/>
  <c r="H27" i="27" s="1"/>
  <c r="F33" i="28"/>
  <c r="H47" i="27" s="1"/>
  <c r="D33" i="28"/>
  <c r="F47" i="27" s="1"/>
  <c r="D31" i="28"/>
  <c r="F27" i="27" s="1"/>
  <c r="S31" i="28"/>
  <c r="U27" i="27" s="1"/>
  <c r="W32" i="28"/>
  <c r="Y37" i="27" s="1"/>
  <c r="AA32" i="28"/>
  <c r="AC37" i="27" s="1"/>
  <c r="AE32" i="28"/>
  <c r="AG37" i="27" s="1"/>
  <c r="W34" i="28"/>
  <c r="Y57" i="27" s="1"/>
  <c r="AA34" i="28"/>
  <c r="AC57" i="27" s="1"/>
  <c r="AE34" i="28"/>
  <c r="AG57" i="27" s="1"/>
  <c r="U32" i="28"/>
  <c r="W37" i="27" s="1"/>
  <c r="D20" i="28"/>
  <c r="D34" i="28"/>
  <c r="F57" i="27" s="1"/>
  <c r="D35" i="28"/>
  <c r="F66" i="28"/>
  <c r="F73" i="28" s="1"/>
  <c r="AL66" i="28"/>
  <c r="AL70" i="28" s="1"/>
  <c r="AN38" i="27" s="1"/>
  <c r="AN39" i="27" s="1"/>
  <c r="AN40" i="27" s="1"/>
  <c r="D66" i="28"/>
  <c r="D71" i="28" s="1"/>
  <c r="H66" i="28"/>
  <c r="H71" i="28" s="1"/>
  <c r="L66" i="28"/>
  <c r="L73" i="28" s="1"/>
  <c r="N68" i="27" s="1"/>
  <c r="N69" i="27" s="1"/>
  <c r="P66" i="28"/>
  <c r="P69" i="28" s="1"/>
  <c r="T66" i="28"/>
  <c r="T73" i="28" s="1"/>
  <c r="V68" i="27" s="1"/>
  <c r="V69" i="27" s="1"/>
  <c r="X66" i="28"/>
  <c r="X71" i="28" s="1"/>
  <c r="Z48" i="27" s="1"/>
  <c r="Z49" i="27" s="1"/>
  <c r="AB66" i="28"/>
  <c r="AB71" i="28" s="1"/>
  <c r="AD48" i="27" s="1"/>
  <c r="AD49" i="27" s="1"/>
  <c r="AF66" i="28"/>
  <c r="AF71" i="28" s="1"/>
  <c r="AH48" i="27" s="1"/>
  <c r="AH49" i="27" s="1"/>
  <c r="AH50" i="27" s="1"/>
  <c r="AJ66" i="28"/>
  <c r="AJ69" i="28" s="1"/>
  <c r="AL28" i="27" s="1"/>
  <c r="AL29" i="27" s="1"/>
  <c r="AL30" i="27" s="1"/>
  <c r="AL31" i="27" s="1"/>
  <c r="AN66" i="28"/>
  <c r="AN71" i="28" s="1"/>
  <c r="AP48" i="27" s="1"/>
  <c r="AP49" i="27" s="1"/>
  <c r="AP50" i="27" s="1"/>
  <c r="AP51" i="27" s="1"/>
  <c r="J66" i="28"/>
  <c r="J69" i="28" s="1"/>
  <c r="N66" i="28"/>
  <c r="N70" i="28" s="1"/>
  <c r="P38" i="27" s="1"/>
  <c r="P39" i="27" s="1"/>
  <c r="Z66" i="28"/>
  <c r="Z69" i="28" s="1"/>
  <c r="AB28" i="27" s="1"/>
  <c r="AB29" i="27" s="1"/>
  <c r="AD66" i="28"/>
  <c r="AD70" i="28" s="1"/>
  <c r="AF38" i="27" s="1"/>
  <c r="AF39" i="27" s="1"/>
  <c r="AF40" i="27" s="1"/>
  <c r="Z33" i="28"/>
  <c r="AB47" i="27" s="1"/>
  <c r="AL35" i="28"/>
  <c r="AN67" i="27" s="1"/>
  <c r="AJ20" i="28"/>
  <c r="AD35" i="28"/>
  <c r="AF67" i="27" s="1"/>
  <c r="X20" i="28"/>
  <c r="F35" i="28"/>
  <c r="H67" i="27" s="1"/>
  <c r="N35" i="28"/>
  <c r="P67" i="27" s="1"/>
  <c r="R33" i="28"/>
  <c r="T47" i="27" s="1"/>
  <c r="AI31" i="28"/>
  <c r="V35" i="28"/>
  <c r="X67" i="27" s="1"/>
  <c r="AH33" i="28"/>
  <c r="AJ47" i="27" s="1"/>
  <c r="E20" i="28"/>
  <c r="M20" i="28"/>
  <c r="Q20" i="28"/>
  <c r="Y20" i="28"/>
  <c r="AC20" i="28"/>
  <c r="AK20" i="28"/>
  <c r="G37" i="27"/>
  <c r="AK32" i="28"/>
  <c r="AM37" i="27" s="1"/>
  <c r="I32" i="28"/>
  <c r="K37" i="27" s="1"/>
  <c r="M32" i="28"/>
  <c r="O37" i="27" s="1"/>
  <c r="Q32" i="28"/>
  <c r="S37" i="27" s="1"/>
  <c r="Y32" i="28"/>
  <c r="AA37" i="27" s="1"/>
  <c r="AC32" i="28"/>
  <c r="AE37" i="27" s="1"/>
  <c r="AG32" i="28"/>
  <c r="AI37" i="27" s="1"/>
  <c r="E34" i="28"/>
  <c r="G57" i="27" s="1"/>
  <c r="I34" i="28"/>
  <c r="K57" i="27" s="1"/>
  <c r="M34" i="28"/>
  <c r="O57" i="27" s="1"/>
  <c r="Q34" i="28"/>
  <c r="S57" i="27" s="1"/>
  <c r="U34" i="28"/>
  <c r="W57" i="27" s="1"/>
  <c r="Y34" i="28"/>
  <c r="AA57" i="27" s="1"/>
  <c r="AC34" i="28"/>
  <c r="AE57" i="27" s="1"/>
  <c r="AG34" i="28"/>
  <c r="AI57" i="27" s="1"/>
  <c r="AK34" i="28"/>
  <c r="AM57" i="27" s="1"/>
  <c r="H20" i="28"/>
  <c r="AN20" i="28"/>
  <c r="AD31" i="28"/>
  <c r="AF27" i="27" s="1"/>
  <c r="AR31" i="28"/>
  <c r="AR20" i="28"/>
  <c r="V32" i="28"/>
  <c r="X37" i="27" s="1"/>
  <c r="AD32" i="28"/>
  <c r="AF37" i="27" s="1"/>
  <c r="Z34" i="28"/>
  <c r="AB57" i="27" s="1"/>
  <c r="AH34" i="28"/>
  <c r="AJ57" i="27" s="1"/>
  <c r="L20" i="28"/>
  <c r="AB20" i="28"/>
  <c r="AT20" i="28"/>
  <c r="N31" i="28"/>
  <c r="P27" i="27" s="1"/>
  <c r="L36" i="28"/>
  <c r="Z32" i="28"/>
  <c r="AB37" i="27" s="1"/>
  <c r="AH32" i="28"/>
  <c r="AJ37" i="27" s="1"/>
  <c r="AL32" i="28"/>
  <c r="AN37" i="27" s="1"/>
  <c r="V34" i="28"/>
  <c r="X57" i="27" s="1"/>
  <c r="AD34" i="28"/>
  <c r="AF57" i="27" s="1"/>
  <c r="AL34" i="28"/>
  <c r="AN57" i="27" s="1"/>
  <c r="P20" i="28"/>
  <c r="AF20" i="28"/>
  <c r="I31" i="28"/>
  <c r="K27" i="27" s="1"/>
  <c r="U31" i="28"/>
  <c r="W27" i="27" s="1"/>
  <c r="AG31" i="28"/>
  <c r="AI27" i="27" s="1"/>
  <c r="AS31" i="28"/>
  <c r="AS20" i="28"/>
  <c r="E33" i="28"/>
  <c r="G47" i="27" s="1"/>
  <c r="I33" i="28"/>
  <c r="K47" i="27" s="1"/>
  <c r="M33" i="28"/>
  <c r="O47" i="27" s="1"/>
  <c r="Q33" i="28"/>
  <c r="S47" i="27" s="1"/>
  <c r="U33" i="28"/>
  <c r="W47" i="27" s="1"/>
  <c r="Y33" i="28"/>
  <c r="AA47" i="27" s="1"/>
  <c r="AC33" i="28"/>
  <c r="AE47" i="27" s="1"/>
  <c r="AG33" i="28"/>
  <c r="AI47" i="27" s="1"/>
  <c r="AK33" i="28"/>
  <c r="AM47" i="27" s="1"/>
  <c r="E35" i="28"/>
  <c r="G67" i="27" s="1"/>
  <c r="I35" i="28"/>
  <c r="K67" i="27" s="1"/>
  <c r="M35" i="28"/>
  <c r="O67" i="27" s="1"/>
  <c r="Q35" i="28"/>
  <c r="S67" i="27" s="1"/>
  <c r="U35" i="28"/>
  <c r="W67" i="27" s="1"/>
  <c r="Y35" i="28"/>
  <c r="AA67" i="27" s="1"/>
  <c r="AC35" i="28"/>
  <c r="AE67" i="27" s="1"/>
  <c r="AG35" i="28"/>
  <c r="AI67" i="27" s="1"/>
  <c r="AK35" i="28"/>
  <c r="AM67" i="27" s="1"/>
  <c r="I20" i="28"/>
  <c r="U20" i="28"/>
  <c r="AG20" i="28"/>
  <c r="AP20" i="28"/>
  <c r="AU20" i="28"/>
  <c r="L27" i="27"/>
  <c r="O31" i="28"/>
  <c r="Q27" i="27" s="1"/>
  <c r="Z31" i="28"/>
  <c r="AB27" i="27" s="1"/>
  <c r="AE31" i="28"/>
  <c r="AG27" i="27" s="1"/>
  <c r="E31" i="28"/>
  <c r="G27" i="27" s="1"/>
  <c r="M31" i="28"/>
  <c r="O27" i="27" s="1"/>
  <c r="AC31" i="28"/>
  <c r="AE27" i="27" s="1"/>
  <c r="AO31" i="28"/>
  <c r="AO20" i="28"/>
  <c r="T11" i="28"/>
  <c r="T19" i="28"/>
  <c r="T32" i="28" s="1"/>
  <c r="V37" i="27" s="1"/>
  <c r="F20" i="28"/>
  <c r="R20" i="28"/>
  <c r="V20" i="28"/>
  <c r="AH20" i="28"/>
  <c r="AL20" i="28"/>
  <c r="AQ20" i="28"/>
  <c r="M27" i="27"/>
  <c r="AA31" i="28"/>
  <c r="AC27" i="27" s="1"/>
  <c r="Y31" i="28"/>
  <c r="AA27" i="27" s="1"/>
  <c r="AK31" i="28"/>
  <c r="AM27" i="27" s="1"/>
  <c r="AW31" i="28"/>
  <c r="AW20" i="28"/>
  <c r="G20" i="28"/>
  <c r="W20" i="28"/>
  <c r="AM20" i="28"/>
  <c r="Q56" i="28"/>
  <c r="G66" i="28"/>
  <c r="G73" i="28" s="1"/>
  <c r="K66" i="28"/>
  <c r="K70" i="28" s="1"/>
  <c r="O66" i="28"/>
  <c r="O73" i="28" s="1"/>
  <c r="Q68" i="27" s="1"/>
  <c r="Q69" i="27" s="1"/>
  <c r="S66" i="28"/>
  <c r="S71" i="28" s="1"/>
  <c r="U48" i="27" s="1"/>
  <c r="U49" i="27" s="1"/>
  <c r="W66" i="28"/>
  <c r="W71" i="28" s="1"/>
  <c r="Y48" i="27" s="1"/>
  <c r="Y49" i="27" s="1"/>
  <c r="AA66" i="28"/>
  <c r="AA73" i="28" s="1"/>
  <c r="AC68" i="27" s="1"/>
  <c r="AC69" i="27" s="1"/>
  <c r="AE66" i="28"/>
  <c r="AE72" i="28" s="1"/>
  <c r="AG58" i="27" s="1"/>
  <c r="AG59" i="27" s="1"/>
  <c r="AG60" i="27" s="1"/>
  <c r="AI66" i="28"/>
  <c r="AI72" i="28" s="1"/>
  <c r="AK58" i="27" s="1"/>
  <c r="AK59" i="27" s="1"/>
  <c r="AK60" i="27" s="1"/>
  <c r="AM66" i="28"/>
  <c r="AM69" i="28" s="1"/>
  <c r="AO28" i="27" s="1"/>
  <c r="AO29" i="27" s="1"/>
  <c r="AO30" i="27" s="1"/>
  <c r="AO31" i="27" s="1"/>
  <c r="AY27" i="1"/>
  <c r="AZ27" i="1"/>
  <c r="BA27" i="1"/>
  <c r="BB27" i="1"/>
  <c r="BC27" i="1"/>
  <c r="BD27" i="1"/>
  <c r="BE27" i="1"/>
  <c r="BF27" i="1"/>
  <c r="BG27" i="1"/>
  <c r="BH27" i="1"/>
  <c r="BI27" i="1"/>
  <c r="BJ27" i="1"/>
  <c r="AY28" i="1"/>
  <c r="AZ28" i="1"/>
  <c r="AZ29" i="1" s="1"/>
  <c r="AZ30" i="1" s="1"/>
  <c r="BA28" i="1"/>
  <c r="BA29" i="1" s="1"/>
  <c r="BA30" i="1" s="1"/>
  <c r="BB28" i="1"/>
  <c r="BB29" i="1" s="1"/>
  <c r="BB30" i="1" s="1"/>
  <c r="BC28" i="1"/>
  <c r="BC29" i="1" s="1"/>
  <c r="BC30" i="1" s="1"/>
  <c r="BD28" i="1"/>
  <c r="BD29" i="1" s="1"/>
  <c r="BD30" i="1" s="1"/>
  <c r="BE28" i="1"/>
  <c r="BE29" i="1" s="1"/>
  <c r="BE30" i="1" s="1"/>
  <c r="BF28" i="1"/>
  <c r="BF29" i="1" s="1"/>
  <c r="BF30" i="1" s="1"/>
  <c r="BG28" i="1"/>
  <c r="BG29" i="1" s="1"/>
  <c r="BG30" i="1" s="1"/>
  <c r="BH28" i="1"/>
  <c r="BH29" i="1" s="1"/>
  <c r="BH30" i="1" s="1"/>
  <c r="BI28" i="1"/>
  <c r="BI29" i="1" s="1"/>
  <c r="BJ28" i="1"/>
  <c r="BJ29" i="1" s="1"/>
  <c r="BJ30" i="1" s="1"/>
  <c r="AY37" i="1"/>
  <c r="AZ37" i="1"/>
  <c r="BA37" i="1"/>
  <c r="BB37" i="1"/>
  <c r="BC37" i="1"/>
  <c r="BD37" i="1"/>
  <c r="BE37" i="1"/>
  <c r="BF37" i="1"/>
  <c r="BG37" i="1"/>
  <c r="BH37" i="1"/>
  <c r="BI37" i="1"/>
  <c r="BJ37" i="1"/>
  <c r="AY38" i="1"/>
  <c r="AZ38" i="1"/>
  <c r="AZ39" i="1" s="1"/>
  <c r="AZ40" i="1" s="1"/>
  <c r="BA38" i="1"/>
  <c r="BA39" i="1" s="1"/>
  <c r="BA40" i="1" s="1"/>
  <c r="BB38" i="1"/>
  <c r="BB39" i="1" s="1"/>
  <c r="BB40" i="1" s="1"/>
  <c r="BC38" i="1"/>
  <c r="BC39" i="1" s="1"/>
  <c r="BC40" i="1" s="1"/>
  <c r="BD38" i="1"/>
  <c r="BE38" i="1"/>
  <c r="BE39" i="1" s="1"/>
  <c r="BE40" i="1" s="1"/>
  <c r="BF38" i="1"/>
  <c r="BF39" i="1" s="1"/>
  <c r="BF40" i="1" s="1"/>
  <c r="BG38" i="1"/>
  <c r="BG39" i="1" s="1"/>
  <c r="BG40" i="1" s="1"/>
  <c r="BH38" i="1"/>
  <c r="BH39" i="1" s="1"/>
  <c r="BH40" i="1" s="1"/>
  <c r="BI38" i="1"/>
  <c r="BI39" i="1" s="1"/>
  <c r="BJ38" i="1"/>
  <c r="BJ39" i="1" s="1"/>
  <c r="BJ40" i="1" s="1"/>
  <c r="BD39" i="1"/>
  <c r="BD40" i="1" s="1"/>
  <c r="AY47" i="1"/>
  <c r="AZ47" i="1"/>
  <c r="BA47" i="1"/>
  <c r="BB47" i="1"/>
  <c r="BC47" i="1"/>
  <c r="BD47" i="1"/>
  <c r="BE47" i="1"/>
  <c r="BF47" i="1"/>
  <c r="BG47" i="1"/>
  <c r="BH47" i="1"/>
  <c r="BI47" i="1"/>
  <c r="BJ47" i="1"/>
  <c r="AY48" i="1"/>
  <c r="AZ48" i="1"/>
  <c r="AZ49" i="1" s="1"/>
  <c r="AZ50" i="1" s="1"/>
  <c r="BA48" i="1"/>
  <c r="BA49" i="1" s="1"/>
  <c r="BA50" i="1" s="1"/>
  <c r="BB48" i="1"/>
  <c r="BB49" i="1" s="1"/>
  <c r="BB50" i="1" s="1"/>
  <c r="BC48" i="1"/>
  <c r="BC49" i="1" s="1"/>
  <c r="BC50" i="1" s="1"/>
  <c r="BD48" i="1"/>
  <c r="BD49" i="1" s="1"/>
  <c r="BD50" i="1" s="1"/>
  <c r="BE48" i="1"/>
  <c r="BE49" i="1" s="1"/>
  <c r="BE50" i="1" s="1"/>
  <c r="BF48" i="1"/>
  <c r="BF49" i="1" s="1"/>
  <c r="BF50" i="1" s="1"/>
  <c r="BG48" i="1"/>
  <c r="BG49" i="1" s="1"/>
  <c r="BG50" i="1" s="1"/>
  <c r="BH48" i="1"/>
  <c r="BH49" i="1" s="1"/>
  <c r="BH50" i="1" s="1"/>
  <c r="BI48" i="1"/>
  <c r="BI49" i="1" s="1"/>
  <c r="BJ48" i="1"/>
  <c r="BJ49" i="1" s="1"/>
  <c r="BJ50" i="1" s="1"/>
  <c r="AY57" i="1"/>
  <c r="AZ57" i="1"/>
  <c r="BA57" i="1"/>
  <c r="BB57" i="1"/>
  <c r="BC57" i="1"/>
  <c r="BD57" i="1"/>
  <c r="BE57" i="1"/>
  <c r="BF57" i="1"/>
  <c r="BG57" i="1"/>
  <c r="BH57" i="1"/>
  <c r="BI57" i="1"/>
  <c r="BJ57" i="1"/>
  <c r="AY58" i="1"/>
  <c r="AZ58" i="1"/>
  <c r="AZ59" i="1" s="1"/>
  <c r="AZ60" i="1" s="1"/>
  <c r="BA58" i="1"/>
  <c r="BA59" i="1" s="1"/>
  <c r="BA60" i="1" s="1"/>
  <c r="BB58" i="1"/>
  <c r="BB59" i="1" s="1"/>
  <c r="BB60" i="1" s="1"/>
  <c r="BC58" i="1"/>
  <c r="BC59" i="1" s="1"/>
  <c r="BC60" i="1" s="1"/>
  <c r="BC61" i="1" s="1"/>
  <c r="BD58" i="1"/>
  <c r="BD59" i="1" s="1"/>
  <c r="BD60" i="1" s="1"/>
  <c r="BE58" i="1"/>
  <c r="BE59" i="1" s="1"/>
  <c r="BE60" i="1" s="1"/>
  <c r="BF58" i="1"/>
  <c r="BF59" i="1" s="1"/>
  <c r="BF60" i="1" s="1"/>
  <c r="BG58" i="1"/>
  <c r="BG59" i="1" s="1"/>
  <c r="BG60" i="1" s="1"/>
  <c r="BH58" i="1"/>
  <c r="BH59" i="1" s="1"/>
  <c r="BH60" i="1" s="1"/>
  <c r="BI58" i="1"/>
  <c r="BI59" i="1" s="1"/>
  <c r="BJ58" i="1"/>
  <c r="BJ59" i="1" s="1"/>
  <c r="BJ60" i="1" s="1"/>
  <c r="AY67" i="1"/>
  <c r="AZ67" i="1"/>
  <c r="BA67" i="1"/>
  <c r="BC67" i="1"/>
  <c r="BD67" i="1"/>
  <c r="BE67" i="1"/>
  <c r="BF67" i="1"/>
  <c r="BG67" i="1"/>
  <c r="BH67" i="1"/>
  <c r="BI67" i="1"/>
  <c r="BJ67" i="1"/>
  <c r="AY68" i="1"/>
  <c r="AZ68" i="1"/>
  <c r="AZ69" i="1" s="1"/>
  <c r="BA68" i="1"/>
  <c r="BA69" i="1" s="1"/>
  <c r="BB68" i="1"/>
  <c r="BB69" i="1" s="1"/>
  <c r="BC68" i="1"/>
  <c r="BC69" i="1" s="1"/>
  <c r="BD68" i="1"/>
  <c r="BD69" i="1" s="1"/>
  <c r="BE68" i="1"/>
  <c r="BE69" i="1" s="1"/>
  <c r="BF68" i="1"/>
  <c r="BF69" i="1" s="1"/>
  <c r="BG68" i="1"/>
  <c r="BG69" i="1" s="1"/>
  <c r="BH68" i="1"/>
  <c r="BH69" i="1" s="1"/>
  <c r="BI68" i="1"/>
  <c r="BI69" i="1" s="1"/>
  <c r="BJ68" i="1"/>
  <c r="BJ69" i="1" s="1"/>
  <c r="AC3" i="22"/>
  <c r="AC4" i="22" s="1"/>
  <c r="AD3" i="22"/>
  <c r="AE3" i="22"/>
  <c r="AF3" i="22"/>
  <c r="AG3" i="22"/>
  <c r="AH3" i="22"/>
  <c r="AI3" i="22"/>
  <c r="AJ3" i="22"/>
  <c r="AK3" i="22"/>
  <c r="AL3" i="22"/>
  <c r="AM3" i="22"/>
  <c r="AD10" i="22"/>
  <c r="AE10" i="22"/>
  <c r="AF10" i="22"/>
  <c r="AG10" i="22"/>
  <c r="AH10" i="22"/>
  <c r="AI10" i="22"/>
  <c r="AJ10" i="22"/>
  <c r="AK10" i="22"/>
  <c r="AL10" i="22"/>
  <c r="AM10" i="22"/>
  <c r="AD17" i="22"/>
  <c r="AE17" i="22"/>
  <c r="AF17" i="22"/>
  <c r="AG17" i="22"/>
  <c r="AH17" i="22"/>
  <c r="AI17" i="22"/>
  <c r="AJ17" i="22"/>
  <c r="AK17" i="22"/>
  <c r="AL17" i="22"/>
  <c r="AM17" i="22"/>
  <c r="AD24" i="22"/>
  <c r="AE24" i="22"/>
  <c r="AF24" i="22"/>
  <c r="AG24" i="22"/>
  <c r="AH24" i="22"/>
  <c r="AI24" i="22"/>
  <c r="AJ24" i="22"/>
  <c r="AK24" i="22"/>
  <c r="AL24" i="22"/>
  <c r="AM24" i="22"/>
  <c r="AD31" i="22"/>
  <c r="AE31" i="22"/>
  <c r="AF31" i="22"/>
  <c r="AG31" i="22"/>
  <c r="AH31" i="22"/>
  <c r="AI31" i="22"/>
  <c r="AJ31" i="22"/>
  <c r="AK31" i="22"/>
  <c r="AL31" i="22"/>
  <c r="AM31" i="22"/>
  <c r="AC31" i="22"/>
  <c r="AC24" i="22"/>
  <c r="AC17" i="22"/>
  <c r="AC19" i="22" s="1"/>
  <c r="AC10" i="22"/>
  <c r="AK69" i="28" l="1"/>
  <c r="AM28" i="27" s="1"/>
  <c r="AM29" i="27" s="1"/>
  <c r="AM30" i="27" s="1"/>
  <c r="AW73" i="28"/>
  <c r="AY68" i="27" s="1"/>
  <c r="G36" i="28"/>
  <c r="AU73" i="28"/>
  <c r="AW68" i="27" s="1"/>
  <c r="AH51" i="27"/>
  <c r="H36" i="28"/>
  <c r="AN70" i="28"/>
  <c r="AP38" i="27" s="1"/>
  <c r="AP39" i="27" s="1"/>
  <c r="AP40" i="27" s="1"/>
  <c r="AP71" i="28"/>
  <c r="AR48" i="27" s="1"/>
  <c r="AR49" i="27" s="1"/>
  <c r="AR50" i="27" s="1"/>
  <c r="AR51" i="27" s="1"/>
  <c r="AI70" i="28"/>
  <c r="AK38" i="27" s="1"/>
  <c r="AK39" i="27" s="1"/>
  <c r="AK40" i="27" s="1"/>
  <c r="AK41" i="27" s="1"/>
  <c r="Z70" i="28"/>
  <c r="AB38" i="27" s="1"/>
  <c r="AB39" i="27" s="1"/>
  <c r="AM31" i="27"/>
  <c r="AS16" i="27"/>
  <c r="AT41" i="27"/>
  <c r="AU72" i="28"/>
  <c r="AW58" i="27" s="1"/>
  <c r="AW59" i="27" s="1"/>
  <c r="AW60" i="27" s="1"/>
  <c r="AL72" i="28"/>
  <c r="AN58" i="27" s="1"/>
  <c r="AN59" i="27" s="1"/>
  <c r="AN60" i="27" s="1"/>
  <c r="AN61" i="27" s="1"/>
  <c r="AK72" i="28"/>
  <c r="AM58" i="27" s="1"/>
  <c r="AM59" i="27" s="1"/>
  <c r="AM60" i="27" s="1"/>
  <c r="AM61" i="27" s="1"/>
  <c r="F70" i="28"/>
  <c r="H38" i="27" s="1"/>
  <c r="H39" i="27" s="1"/>
  <c r="H40" i="27" s="1"/>
  <c r="Y69" i="28"/>
  <c r="G70" i="28"/>
  <c r="F18" i="29" s="1"/>
  <c r="S72" i="28"/>
  <c r="U58" i="27" s="1"/>
  <c r="U59" i="27" s="1"/>
  <c r="I69" i="28"/>
  <c r="H8" i="29" s="1"/>
  <c r="O72" i="28"/>
  <c r="Q58" i="27" s="1"/>
  <c r="Q59" i="27" s="1"/>
  <c r="U70" i="28"/>
  <c r="W38" i="27" s="1"/>
  <c r="W39" i="27" s="1"/>
  <c r="K73" i="28"/>
  <c r="M68" i="27" s="1"/>
  <c r="M69" i="27" s="1"/>
  <c r="Y70" i="28"/>
  <c r="AA38" i="27" s="1"/>
  <c r="AA39" i="27" s="1"/>
  <c r="M69" i="28"/>
  <c r="O28" i="27" s="1"/>
  <c r="O29" i="27" s="1"/>
  <c r="M71" i="28"/>
  <c r="O48" i="27" s="1"/>
  <c r="O49" i="27" s="1"/>
  <c r="X70" i="28"/>
  <c r="Z38" i="27" s="1"/>
  <c r="Z39" i="27" s="1"/>
  <c r="Z40" i="27" s="1"/>
  <c r="Z41" i="27" s="1"/>
  <c r="I70" i="28"/>
  <c r="AN69" i="28"/>
  <c r="AP28" i="27" s="1"/>
  <c r="AP29" i="27" s="1"/>
  <c r="AP30" i="27" s="1"/>
  <c r="AP31" i="27" s="1"/>
  <c r="D73" i="28"/>
  <c r="F68" i="27" s="1"/>
  <c r="F69" i="27" s="1"/>
  <c r="W69" i="28"/>
  <c r="Y28" i="27" s="1"/>
  <c r="Y29" i="27" s="1"/>
  <c r="AU70" i="28"/>
  <c r="AW38" i="27" s="1"/>
  <c r="AW39" i="27" s="1"/>
  <c r="AW40" i="27" s="1"/>
  <c r="AW41" i="27" s="1"/>
  <c r="D72" i="28"/>
  <c r="C38" i="29" s="1"/>
  <c r="AP72" i="28"/>
  <c r="AR58" i="27" s="1"/>
  <c r="AR59" i="27" s="1"/>
  <c r="AR60" i="27" s="1"/>
  <c r="AR61" i="27" s="1"/>
  <c r="AB72" i="28"/>
  <c r="AD58" i="27" s="1"/>
  <c r="AD59" i="27" s="1"/>
  <c r="AQ71" i="28"/>
  <c r="AS48" i="27" s="1"/>
  <c r="AS49" i="27" s="1"/>
  <c r="AS50" i="27" s="1"/>
  <c r="AS51" i="27" s="1"/>
  <c r="AU71" i="28"/>
  <c r="AW48" i="27" s="1"/>
  <c r="AW49" i="27" s="1"/>
  <c r="AW50" i="27" s="1"/>
  <c r="AW51" i="27" s="1"/>
  <c r="Y73" i="28"/>
  <c r="AA68" i="27" s="1"/>
  <c r="AA69" i="27" s="1"/>
  <c r="AF73" i="28"/>
  <c r="AH68" i="27" s="1"/>
  <c r="AH69" i="27" s="1"/>
  <c r="Y71" i="28"/>
  <c r="AA48" i="27" s="1"/>
  <c r="AA49" i="27" s="1"/>
  <c r="G71" i="28"/>
  <c r="R28" i="27"/>
  <c r="R29" i="27" s="1"/>
  <c r="I8" i="29"/>
  <c r="L28" i="27"/>
  <c r="L29" i="27" s="1"/>
  <c r="L30" i="27" s="1"/>
  <c r="J18" i="29"/>
  <c r="M38" i="27"/>
  <c r="M39" i="27" s="1"/>
  <c r="M40" i="27" s="1"/>
  <c r="G28" i="29"/>
  <c r="J48" i="27"/>
  <c r="J49" i="27" s="1"/>
  <c r="J50" i="27" s="1"/>
  <c r="F48" i="29"/>
  <c r="I68" i="27"/>
  <c r="I69" i="27" s="1"/>
  <c r="C28" i="29"/>
  <c r="F48" i="27"/>
  <c r="F49" i="27" s="1"/>
  <c r="F50" i="27" s="1"/>
  <c r="AR28" i="27"/>
  <c r="AR29" i="27" s="1"/>
  <c r="AR30" i="27" s="1"/>
  <c r="AR31" i="27" s="1"/>
  <c r="E48" i="29"/>
  <c r="H68" i="27"/>
  <c r="H69" i="27" s="1"/>
  <c r="D18" i="29"/>
  <c r="G38" i="27"/>
  <c r="G39" i="27" s="1"/>
  <c r="G40" i="27" s="1"/>
  <c r="H28" i="29"/>
  <c r="K48" i="27"/>
  <c r="K49" i="27" s="1"/>
  <c r="K50" i="27" s="1"/>
  <c r="AD19" i="22"/>
  <c r="AC5" i="22"/>
  <c r="AC6" i="22" s="1"/>
  <c r="AC7" i="22" s="1"/>
  <c r="AC8" i="22" s="1"/>
  <c r="AD4" i="22"/>
  <c r="AE4" i="22" s="1"/>
  <c r="AN41" i="27"/>
  <c r="N69" i="28"/>
  <c r="P28" i="27" s="1"/>
  <c r="P29" i="27" s="1"/>
  <c r="AO69" i="28"/>
  <c r="AQ70" i="28"/>
  <c r="AS38" i="27" s="1"/>
  <c r="AS39" i="27" s="1"/>
  <c r="AS40" i="27" s="1"/>
  <c r="AS41" i="27" s="1"/>
  <c r="AW70" i="28"/>
  <c r="AY38" i="27" s="1"/>
  <c r="AY39" i="27" s="1"/>
  <c r="AY40" i="27" s="1"/>
  <c r="AY41" i="27" s="1"/>
  <c r="W72" i="28"/>
  <c r="Y58" i="27" s="1"/>
  <c r="Y59" i="27" s="1"/>
  <c r="Q70" i="28"/>
  <c r="S38" i="27" s="1"/>
  <c r="S39" i="27" s="1"/>
  <c r="I73" i="28"/>
  <c r="K71" i="28"/>
  <c r="U69" i="28"/>
  <c r="W28" i="27" s="1"/>
  <c r="W29" i="27" s="1"/>
  <c r="AN73" i="28"/>
  <c r="AP68" i="27" s="1"/>
  <c r="E72" i="28"/>
  <c r="O70" i="28"/>
  <c r="Q38" i="27" s="1"/>
  <c r="Q39" i="27" s="1"/>
  <c r="AL71" i="28"/>
  <c r="AN48" i="27" s="1"/>
  <c r="AN49" i="27" s="1"/>
  <c r="AN50" i="27" s="1"/>
  <c r="AN51" i="27" s="1"/>
  <c r="L72" i="28"/>
  <c r="N58" i="27" s="1"/>
  <c r="N59" i="27" s="1"/>
  <c r="V70" i="28"/>
  <c r="X38" i="27" s="1"/>
  <c r="X39" i="27" s="1"/>
  <c r="I72" i="28"/>
  <c r="AA72" i="28"/>
  <c r="AC58" i="27" s="1"/>
  <c r="AC59" i="27" s="1"/>
  <c r="AC70" i="28"/>
  <c r="AE38" i="27" s="1"/>
  <c r="AE39" i="27" s="1"/>
  <c r="E73" i="28"/>
  <c r="O71" i="28"/>
  <c r="Q48" i="27" s="1"/>
  <c r="Q49" i="27" s="1"/>
  <c r="Q69" i="28"/>
  <c r="S28" i="27" s="1"/>
  <c r="S29" i="27" s="1"/>
  <c r="S73" i="28"/>
  <c r="U68" i="27" s="1"/>
  <c r="U69" i="27" s="1"/>
  <c r="U71" i="28"/>
  <c r="W48" i="27" s="1"/>
  <c r="W49" i="27" s="1"/>
  <c r="AE69" i="28"/>
  <c r="AG28" i="27" s="1"/>
  <c r="AG29" i="27" s="1"/>
  <c r="AG30" i="27" s="1"/>
  <c r="AG31" i="27" s="1"/>
  <c r="AF41" i="27"/>
  <c r="AM41" i="27"/>
  <c r="AB73" i="28"/>
  <c r="AD68" i="27" s="1"/>
  <c r="AD69" i="27" s="1"/>
  <c r="AP41" i="27"/>
  <c r="AQ72" i="28"/>
  <c r="AS58" i="27" s="1"/>
  <c r="AS59" i="27" s="1"/>
  <c r="AS60" i="27" s="1"/>
  <c r="AS61" i="27" s="1"/>
  <c r="AP73" i="28"/>
  <c r="AR68" i="27" s="1"/>
  <c r="G72" i="28"/>
  <c r="AL69" i="28"/>
  <c r="AN28" i="27" s="1"/>
  <c r="AN29" i="27" s="1"/>
  <c r="AN30" i="27" s="1"/>
  <c r="AN31" i="27" s="1"/>
  <c r="AG72" i="28"/>
  <c r="AI58" i="27" s="1"/>
  <c r="AI59" i="27" s="1"/>
  <c r="AI60" i="27" s="1"/>
  <c r="AI61" i="27" s="1"/>
  <c r="AD72" i="28"/>
  <c r="AF58" i="27" s="1"/>
  <c r="AF59" i="27" s="1"/>
  <c r="AF60" i="27" s="1"/>
  <c r="AF61" i="27" s="1"/>
  <c r="AF70" i="28"/>
  <c r="AH38" i="27" s="1"/>
  <c r="AH39" i="27" s="1"/>
  <c r="AH40" i="27" s="1"/>
  <c r="AH41" i="27" s="1"/>
  <c r="D8" i="29"/>
  <c r="G28" i="27"/>
  <c r="G29" i="27" s="1"/>
  <c r="G30" i="27" s="1"/>
  <c r="P73" i="28"/>
  <c r="R68" i="27" s="1"/>
  <c r="R69" i="27" s="1"/>
  <c r="AH71" i="28"/>
  <c r="AJ48" i="27" s="1"/>
  <c r="AJ49" i="27" s="1"/>
  <c r="AJ50" i="27" s="1"/>
  <c r="AJ51" i="27" s="1"/>
  <c r="T69" i="28"/>
  <c r="V28" i="27" s="1"/>
  <c r="V29" i="27" s="1"/>
  <c r="AM73" i="28"/>
  <c r="AO68" i="27" s="1"/>
  <c r="AG71" i="28"/>
  <c r="AI48" i="27" s="1"/>
  <c r="AI49" i="27" s="1"/>
  <c r="AI50" i="27" s="1"/>
  <c r="AI51" i="27" s="1"/>
  <c r="AI69" i="28"/>
  <c r="AK28" i="27" s="1"/>
  <c r="AK29" i="27" s="1"/>
  <c r="AK30" i="27" s="1"/>
  <c r="K72" i="28"/>
  <c r="M70" i="28"/>
  <c r="O38" i="27" s="1"/>
  <c r="O39" i="27" s="1"/>
  <c r="F71" i="28"/>
  <c r="AH72" i="28"/>
  <c r="AJ58" i="27" s="1"/>
  <c r="AJ59" i="27" s="1"/>
  <c r="AJ60" i="27" s="1"/>
  <c r="AJ61" i="27" s="1"/>
  <c r="T70" i="28"/>
  <c r="V38" i="27" s="1"/>
  <c r="V39" i="27" s="1"/>
  <c r="AN72" i="28"/>
  <c r="AP58" i="27" s="1"/>
  <c r="AP59" i="27" s="1"/>
  <c r="AP60" i="27" s="1"/>
  <c r="AP61" i="27" s="1"/>
  <c r="E71" i="28"/>
  <c r="O69" i="28"/>
  <c r="Q28" i="27" s="1"/>
  <c r="Q29" i="27" s="1"/>
  <c r="E18" i="29"/>
  <c r="AB69" i="28"/>
  <c r="AD28" i="27" s="1"/>
  <c r="AD29" i="27" s="1"/>
  <c r="AQ73" i="28"/>
  <c r="AS68" i="27" s="1"/>
  <c r="AS69" i="27" s="1"/>
  <c r="AH73" i="28"/>
  <c r="AJ68" i="27" s="1"/>
  <c r="T71" i="28"/>
  <c r="V48" i="27" s="1"/>
  <c r="V49" i="27" s="1"/>
  <c r="AD69" i="28"/>
  <c r="AF28" i="27" s="1"/>
  <c r="AF29" i="27" s="1"/>
  <c r="AF30" i="27" s="1"/>
  <c r="AF31" i="27" s="1"/>
  <c r="V71" i="28"/>
  <c r="X48" i="27" s="1"/>
  <c r="X49" i="27" s="1"/>
  <c r="V72" i="28"/>
  <c r="X58" i="27" s="1"/>
  <c r="X59" i="27" s="1"/>
  <c r="P70" i="28"/>
  <c r="R38" i="27" s="1"/>
  <c r="R39" i="27" s="1"/>
  <c r="H73" i="28"/>
  <c r="R71" i="28"/>
  <c r="T48" i="27" s="1"/>
  <c r="T49" i="27" s="1"/>
  <c r="L69" i="28"/>
  <c r="AE73" i="28"/>
  <c r="AG68" i="27" s="1"/>
  <c r="AA69" i="28"/>
  <c r="AC28" i="27" s="1"/>
  <c r="AC29" i="27" s="1"/>
  <c r="AL73" i="28"/>
  <c r="AN68" i="27" s="1"/>
  <c r="AF69" i="28"/>
  <c r="AH28" i="27" s="1"/>
  <c r="AH29" i="27" s="1"/>
  <c r="AH30" i="27" s="1"/>
  <c r="AH31" i="27" s="1"/>
  <c r="R72" i="28"/>
  <c r="T58" i="27" s="1"/>
  <c r="T59" i="27" s="1"/>
  <c r="L70" i="28"/>
  <c r="N38" i="27" s="1"/>
  <c r="N39" i="27" s="1"/>
  <c r="Q72" i="28"/>
  <c r="S58" i="27" s="1"/>
  <c r="S59" i="27" s="1"/>
  <c r="AF72" i="28"/>
  <c r="AH58" i="27" s="1"/>
  <c r="AH59" i="27" s="1"/>
  <c r="AH60" i="27" s="1"/>
  <c r="AH61" i="27" s="1"/>
  <c r="AP70" i="28"/>
  <c r="AR38" i="27" s="1"/>
  <c r="AR39" i="27" s="1"/>
  <c r="AR40" i="27" s="1"/>
  <c r="AR41" i="27" s="1"/>
  <c r="G69" i="28"/>
  <c r="AI41" i="27"/>
  <c r="AG61" i="27"/>
  <c r="AJ31" i="27"/>
  <c r="R73" i="28"/>
  <c r="T68" i="27" s="1"/>
  <c r="T69" i="27" s="1"/>
  <c r="L71" i="28"/>
  <c r="N48" i="27" s="1"/>
  <c r="N49" i="27" s="1"/>
  <c r="V69" i="28"/>
  <c r="X28" i="27" s="1"/>
  <c r="X29" i="27" s="1"/>
  <c r="H69" i="28"/>
  <c r="F72" i="28"/>
  <c r="H70" i="28"/>
  <c r="J71" i="28"/>
  <c r="D69" i="28"/>
  <c r="W73" i="28"/>
  <c r="Y68" i="27" s="1"/>
  <c r="Y69" i="27" s="1"/>
  <c r="Q71" i="28"/>
  <c r="S48" i="27" s="1"/>
  <c r="S49" i="27" s="1"/>
  <c r="S69" i="28"/>
  <c r="U28" i="27" s="1"/>
  <c r="U29" i="27" s="1"/>
  <c r="AD73" i="28"/>
  <c r="AF68" i="27" s="1"/>
  <c r="AK73" i="28"/>
  <c r="AM68" i="27" s="1"/>
  <c r="J72" i="28"/>
  <c r="D70" i="28"/>
  <c r="AA70" i="28"/>
  <c r="AC38" i="27" s="1"/>
  <c r="AC39" i="27" s="1"/>
  <c r="P72" i="28"/>
  <c r="R58" i="27" s="1"/>
  <c r="R59" i="27" s="1"/>
  <c r="AH70" i="28"/>
  <c r="AJ38" i="27" s="1"/>
  <c r="AJ39" i="27" s="1"/>
  <c r="AJ40" i="27" s="1"/>
  <c r="AJ41" i="27" s="1"/>
  <c r="H18" i="29"/>
  <c r="K38" i="27"/>
  <c r="K39" i="27" s="1"/>
  <c r="K40" i="27" s="1"/>
  <c r="F28" i="29"/>
  <c r="I48" i="27"/>
  <c r="I49" i="27" s="1"/>
  <c r="I50" i="27" s="1"/>
  <c r="J73" i="28"/>
  <c r="F69" i="28"/>
  <c r="AG73" i="28"/>
  <c r="AI68" i="27" s="1"/>
  <c r="AI71" i="28"/>
  <c r="AK48" i="27" s="1"/>
  <c r="AK49" i="27" s="1"/>
  <c r="AK50" i="27" s="1"/>
  <c r="AK51" i="27" s="1"/>
  <c r="AC72" i="28"/>
  <c r="AE58" i="27" s="1"/>
  <c r="AE59" i="27" s="1"/>
  <c r="AM70" i="28"/>
  <c r="AO38" i="27" s="1"/>
  <c r="AO39" i="27" s="1"/>
  <c r="AO40" i="27" s="1"/>
  <c r="AO41" i="27" s="1"/>
  <c r="K69" i="28"/>
  <c r="P71" i="28"/>
  <c r="R48" i="27" s="1"/>
  <c r="R49" i="27" s="1"/>
  <c r="AC73" i="28"/>
  <c r="AE68" i="27" s="1"/>
  <c r="AE69" i="27" s="1"/>
  <c r="AM71" i="28"/>
  <c r="AO48" i="27" s="1"/>
  <c r="AO49" i="27" s="1"/>
  <c r="AO50" i="27" s="1"/>
  <c r="AO51" i="27" s="1"/>
  <c r="AG69" i="28"/>
  <c r="AI28" i="27" s="1"/>
  <c r="AI29" i="27" s="1"/>
  <c r="AI30" i="27" s="1"/>
  <c r="AI31" i="27" s="1"/>
  <c r="H72" i="28"/>
  <c r="R70" i="28"/>
  <c r="T38" i="27" s="1"/>
  <c r="T39" i="27" s="1"/>
  <c r="AJ36" i="28"/>
  <c r="AO72" i="28"/>
  <c r="AQ58" i="27" s="1"/>
  <c r="AQ59" i="27" s="1"/>
  <c r="AQ60" i="27" s="1"/>
  <c r="AQ61" i="27" s="1"/>
  <c r="AM72" i="28"/>
  <c r="AO58" i="27" s="1"/>
  <c r="AO59" i="27" s="1"/>
  <c r="AO60" i="27" s="1"/>
  <c r="AO61" i="27" s="1"/>
  <c r="AA71" i="28"/>
  <c r="AC48" i="27" s="1"/>
  <c r="AC49" i="27" s="1"/>
  <c r="AD71" i="28"/>
  <c r="AF48" i="27" s="1"/>
  <c r="AF49" i="27" s="1"/>
  <c r="AF50" i="27" s="1"/>
  <c r="AF51" i="27" s="1"/>
  <c r="U72" i="28"/>
  <c r="W58" i="27" s="1"/>
  <c r="W59" i="27" s="1"/>
  <c r="AE70" i="28"/>
  <c r="AG38" i="27" s="1"/>
  <c r="AG39" i="27" s="1"/>
  <c r="AG40" i="27" s="1"/>
  <c r="AG41" i="27" s="1"/>
  <c r="AE71" i="28"/>
  <c r="AG48" i="27" s="1"/>
  <c r="AG49" i="27" s="1"/>
  <c r="AG50" i="27" s="1"/>
  <c r="AG51" i="27" s="1"/>
  <c r="AI73" i="28"/>
  <c r="AK68" i="27" s="1"/>
  <c r="AK71" i="28"/>
  <c r="AM48" i="27" s="1"/>
  <c r="AM49" i="27" s="1"/>
  <c r="AM50" i="27" s="1"/>
  <c r="AM51" i="27" s="1"/>
  <c r="J70" i="28"/>
  <c r="S70" i="28"/>
  <c r="U38" i="27" s="1"/>
  <c r="U39" i="27" s="1"/>
  <c r="BJ16" i="1"/>
  <c r="P36" i="28"/>
  <c r="N71" i="28"/>
  <c r="P48" i="27" s="1"/>
  <c r="P49" i="27" s="1"/>
  <c r="X72" i="28"/>
  <c r="Z58" i="27" s="1"/>
  <c r="Z59" i="27" s="1"/>
  <c r="AK61" i="27"/>
  <c r="AO73" i="28"/>
  <c r="AQ68" i="27" s="1"/>
  <c r="AQ69" i="27" s="1"/>
  <c r="AW72" i="28"/>
  <c r="AY58" i="27" s="1"/>
  <c r="AY59" i="27" s="1"/>
  <c r="AY60" i="27" s="1"/>
  <c r="AY61" i="27" s="1"/>
  <c r="AC69" i="28"/>
  <c r="AE28" i="27" s="1"/>
  <c r="AE29" i="27" s="1"/>
  <c r="M72" i="28"/>
  <c r="O58" i="27" s="1"/>
  <c r="O59" i="27" s="1"/>
  <c r="W70" i="28"/>
  <c r="Y38" i="27" s="1"/>
  <c r="Y39" i="27" s="1"/>
  <c r="T72" i="28"/>
  <c r="V58" i="27" s="1"/>
  <c r="V59" i="27" s="1"/>
  <c r="AY28" i="27"/>
  <c r="AY29" i="27" s="1"/>
  <c r="AY30" i="27" s="1"/>
  <c r="AY69" i="27"/>
  <c r="AW71" i="28"/>
  <c r="AY48" i="27" s="1"/>
  <c r="AY49" i="27" s="1"/>
  <c r="AY50" i="27" s="1"/>
  <c r="AY51" i="27" s="1"/>
  <c r="AW36" i="28"/>
  <c r="AY27" i="27"/>
  <c r="AU36" i="28"/>
  <c r="AW16" i="27"/>
  <c r="AW61" i="27"/>
  <c r="AW28" i="27"/>
  <c r="AW29" i="27" s="1"/>
  <c r="AW30" i="27" s="1"/>
  <c r="AW69" i="27"/>
  <c r="AT73" i="28"/>
  <c r="AV68" i="27" s="1"/>
  <c r="AT69" i="28"/>
  <c r="AT70" i="28"/>
  <c r="AV38" i="27" s="1"/>
  <c r="AV39" i="27" s="1"/>
  <c r="AV40" i="27" s="1"/>
  <c r="AV41" i="27" s="1"/>
  <c r="AV61" i="27"/>
  <c r="AT71" i="28"/>
  <c r="AV48" i="27" s="1"/>
  <c r="AV49" i="27" s="1"/>
  <c r="AV50" i="27" s="1"/>
  <c r="AV51" i="27" s="1"/>
  <c r="AV16" i="27"/>
  <c r="AT36" i="28"/>
  <c r="AU51" i="27"/>
  <c r="AS72" i="28"/>
  <c r="AU58" i="27" s="1"/>
  <c r="AU59" i="27" s="1"/>
  <c r="AU60" i="27" s="1"/>
  <c r="AU61" i="27" s="1"/>
  <c r="AS73" i="28"/>
  <c r="AU68" i="27" s="1"/>
  <c r="AS69" i="28"/>
  <c r="AS70" i="28"/>
  <c r="AU38" i="27" s="1"/>
  <c r="AU39" i="27" s="1"/>
  <c r="AU40" i="27" s="1"/>
  <c r="AU41" i="27" s="1"/>
  <c r="AS36" i="28"/>
  <c r="AU27" i="27"/>
  <c r="AU16" i="27" s="1"/>
  <c r="AR71" i="28"/>
  <c r="AT48" i="27" s="1"/>
  <c r="AT49" i="27" s="1"/>
  <c r="AT50" i="27" s="1"/>
  <c r="AT51" i="27" s="1"/>
  <c r="AR72" i="28"/>
  <c r="AT58" i="27" s="1"/>
  <c r="AT59" i="27" s="1"/>
  <c r="AT60" i="27" s="1"/>
  <c r="AT61" i="27" s="1"/>
  <c r="AR69" i="28"/>
  <c r="AT28" i="27" s="1"/>
  <c r="AT29" i="27" s="1"/>
  <c r="AT30" i="27" s="1"/>
  <c r="AR73" i="28"/>
  <c r="AT68" i="27" s="1"/>
  <c r="AR36" i="28"/>
  <c r="AT27" i="27"/>
  <c r="AQ36" i="28"/>
  <c r="AS28" i="27"/>
  <c r="AS29" i="27" s="1"/>
  <c r="AS30" i="27" s="1"/>
  <c r="AS31" i="27" s="1"/>
  <c r="AP36" i="28"/>
  <c r="AR16" i="27"/>
  <c r="AQ51" i="27"/>
  <c r="AQ28" i="27"/>
  <c r="AQ29" i="27" s="1"/>
  <c r="AQ30" i="27" s="1"/>
  <c r="AO70" i="28"/>
  <c r="AQ38" i="27" s="1"/>
  <c r="AQ39" i="27" s="1"/>
  <c r="AQ40" i="27" s="1"/>
  <c r="AQ41" i="27" s="1"/>
  <c r="AO36" i="28"/>
  <c r="AQ27" i="27"/>
  <c r="AQ16" i="27" s="1"/>
  <c r="AN36" i="28"/>
  <c r="AP16" i="27"/>
  <c r="AO16" i="27"/>
  <c r="AM36" i="28"/>
  <c r="AN16" i="27"/>
  <c r="AM16" i="27"/>
  <c r="AL16" i="27"/>
  <c r="AJ70" i="28"/>
  <c r="AL38" i="27" s="1"/>
  <c r="AL39" i="27" s="1"/>
  <c r="AL40" i="27" s="1"/>
  <c r="AL41" i="27" s="1"/>
  <c r="AJ71" i="28"/>
  <c r="AL48" i="27" s="1"/>
  <c r="AL49" i="27" s="1"/>
  <c r="AL50" i="27" s="1"/>
  <c r="AL51" i="27" s="1"/>
  <c r="AJ72" i="28"/>
  <c r="AL58" i="27" s="1"/>
  <c r="AL59" i="27" s="1"/>
  <c r="AL60" i="27" s="1"/>
  <c r="AL61" i="27" s="1"/>
  <c r="AJ73" i="28"/>
  <c r="AL68" i="27" s="1"/>
  <c r="AI36" i="28"/>
  <c r="AK27" i="27"/>
  <c r="AJ16" i="27"/>
  <c r="AI16" i="27"/>
  <c r="AH16" i="27"/>
  <c r="AF36" i="28"/>
  <c r="AG16" i="27"/>
  <c r="AF16" i="27"/>
  <c r="AB36" i="28"/>
  <c r="AB70" i="28"/>
  <c r="AD38" i="27" s="1"/>
  <c r="AD39" i="27" s="1"/>
  <c r="Z16" i="27"/>
  <c r="AZ18" i="1"/>
  <c r="Z71" i="28"/>
  <c r="AB48" i="27" s="1"/>
  <c r="AB49" i="27" s="1"/>
  <c r="Z72" i="28"/>
  <c r="AB58" i="27" s="1"/>
  <c r="AB59" i="27" s="1"/>
  <c r="Z73" i="28"/>
  <c r="AB68" i="27" s="1"/>
  <c r="AB69" i="27" s="1"/>
  <c r="BJ31" i="1"/>
  <c r="BJ61" i="1"/>
  <c r="BJ41" i="1"/>
  <c r="BJ51" i="1"/>
  <c r="BI30" i="1"/>
  <c r="BI31" i="1" s="1"/>
  <c r="BI60" i="1"/>
  <c r="BI61" i="1" s="1"/>
  <c r="BI40" i="1"/>
  <c r="BI41" i="1" s="1"/>
  <c r="BI50" i="1"/>
  <c r="BI51" i="1" s="1"/>
  <c r="X36" i="28"/>
  <c r="X73" i="28"/>
  <c r="Z68" i="27" s="1"/>
  <c r="X69" i="28"/>
  <c r="BI18" i="1"/>
  <c r="BH61" i="1"/>
  <c r="BH51" i="1"/>
  <c r="BH31" i="1"/>
  <c r="BH41" i="1"/>
  <c r="BH18" i="1"/>
  <c r="BG61" i="1"/>
  <c r="BG51" i="1"/>
  <c r="W36" i="28"/>
  <c r="BG31" i="1"/>
  <c r="BG41" i="1"/>
  <c r="BF61" i="1"/>
  <c r="BF41" i="1"/>
  <c r="BF31" i="1"/>
  <c r="BE61" i="1"/>
  <c r="BE18" i="1"/>
  <c r="BE41" i="1"/>
  <c r="BE31" i="1"/>
  <c r="BD18" i="1"/>
  <c r="BD41" i="1"/>
  <c r="BD31" i="1"/>
  <c r="BD61" i="1"/>
  <c r="BD51" i="1"/>
  <c r="S36" i="28"/>
  <c r="BC31" i="1"/>
  <c r="BC51" i="1"/>
  <c r="BC41" i="1"/>
  <c r="BB16" i="1"/>
  <c r="BF51" i="1"/>
  <c r="BE51" i="1"/>
  <c r="BE70" i="1"/>
  <c r="BE19" i="1" s="1"/>
  <c r="BB31" i="1"/>
  <c r="BB41" i="1"/>
  <c r="BB61" i="1"/>
  <c r="BB51" i="1"/>
  <c r="BA41" i="1"/>
  <c r="BA61" i="1"/>
  <c r="BA18" i="1"/>
  <c r="AZ61" i="1"/>
  <c r="AZ51" i="1"/>
  <c r="AZ41" i="1"/>
  <c r="AZ31" i="1"/>
  <c r="BA31" i="1"/>
  <c r="BA51" i="1"/>
  <c r="N72" i="28"/>
  <c r="P58" i="27" s="1"/>
  <c r="P59" i="27" s="1"/>
  <c r="N73" i="28"/>
  <c r="P68" i="27" s="1"/>
  <c r="P69" i="27" s="1"/>
  <c r="BA70" i="1"/>
  <c r="AZ70" i="1"/>
  <c r="AZ19" i="1" s="1"/>
  <c r="BH70" i="1"/>
  <c r="BH19" i="1" s="1"/>
  <c r="F36" i="28"/>
  <c r="AE19" i="22"/>
  <c r="AF19" i="22" s="1"/>
  <c r="AG19" i="22" s="1"/>
  <c r="AH19" i="22" s="1"/>
  <c r="D36" i="28"/>
  <c r="F67" i="27"/>
  <c r="F16" i="27" s="1"/>
  <c r="R36" i="28"/>
  <c r="AA36" i="28"/>
  <c r="AE36" i="28"/>
  <c r="K36" i="28"/>
  <c r="O36" i="28"/>
  <c r="AH36" i="28"/>
  <c r="J36" i="28"/>
  <c r="AK36" i="28"/>
  <c r="AC36" i="28"/>
  <c r="V36" i="28"/>
  <c r="Z36" i="28"/>
  <c r="N36" i="28"/>
  <c r="AD36" i="28"/>
  <c r="AL36" i="28"/>
  <c r="Y36" i="28"/>
  <c r="M36" i="28"/>
  <c r="AG36" i="28"/>
  <c r="Q36" i="28"/>
  <c r="E36" i="28"/>
  <c r="U36" i="28"/>
  <c r="T34" i="28"/>
  <c r="V57" i="27" s="1"/>
  <c r="T20" i="28"/>
  <c r="I36" i="28"/>
  <c r="T33" i="28"/>
  <c r="V47" i="27" s="1"/>
  <c r="T31" i="28"/>
  <c r="V27" i="27" s="1"/>
  <c r="T35" i="28"/>
  <c r="V67" i="27" s="1"/>
  <c r="AC33" i="22"/>
  <c r="AD33" i="22" s="1"/>
  <c r="AE33" i="22" s="1"/>
  <c r="BF18" i="1"/>
  <c r="BF70" i="1"/>
  <c r="BC18" i="1"/>
  <c r="BC70" i="1"/>
  <c r="BG18" i="1"/>
  <c r="BG70" i="1"/>
  <c r="BB18" i="1"/>
  <c r="BB70" i="1"/>
  <c r="BJ18" i="1"/>
  <c r="BJ70" i="1"/>
  <c r="BI70" i="1"/>
  <c r="BD70" i="1"/>
  <c r="AC11" i="22"/>
  <c r="AC25" i="22"/>
  <c r="AD25" i="22" s="1"/>
  <c r="AC12" i="22"/>
  <c r="AD12" i="22" s="1"/>
  <c r="AE12" i="22" s="1"/>
  <c r="AF12" i="22" s="1"/>
  <c r="AC26" i="22"/>
  <c r="AD26" i="22" s="1"/>
  <c r="AE26" i="22" s="1"/>
  <c r="AF26" i="22" s="1"/>
  <c r="AG26" i="22" s="1"/>
  <c r="AC18" i="22"/>
  <c r="AC20" i="22" s="1"/>
  <c r="AC21" i="22" s="1"/>
  <c r="AC22" i="22" s="1"/>
  <c r="AC32" i="22"/>
  <c r="AC34" i="22" s="1"/>
  <c r="AC35" i="22" s="1"/>
  <c r="AC36" i="22" s="1"/>
  <c r="C48" i="29" l="1"/>
  <c r="J48" i="29"/>
  <c r="I38" i="27"/>
  <c r="I39" i="27" s="1"/>
  <c r="I40" i="27" s="1"/>
  <c r="R74" i="28"/>
  <c r="F58" i="27"/>
  <c r="F59" i="27" s="1"/>
  <c r="F60" i="27" s="1"/>
  <c r="AD74" i="28"/>
  <c r="K28" i="27"/>
  <c r="K29" i="27" s="1"/>
  <c r="K30" i="27" s="1"/>
  <c r="AU74" i="28"/>
  <c r="AN74" i="28"/>
  <c r="AK74" i="28"/>
  <c r="M74" i="28"/>
  <c r="I74" i="28"/>
  <c r="T74" i="28"/>
  <c r="AG74" i="28"/>
  <c r="G74" i="28"/>
  <c r="G31" i="27"/>
  <c r="S74" i="28"/>
  <c r="J74" i="28"/>
  <c r="AK31" i="27"/>
  <c r="AA28" i="27"/>
  <c r="AA29" i="27" s="1"/>
  <c r="Y74" i="28"/>
  <c r="Z74" i="28"/>
  <c r="AH74" i="28"/>
  <c r="AL74" i="28"/>
  <c r="N74" i="28"/>
  <c r="Q74" i="28"/>
  <c r="AA74" i="28"/>
  <c r="O74" i="28"/>
  <c r="V74" i="28"/>
  <c r="AC74" i="28"/>
  <c r="U74" i="28"/>
  <c r="T18" i="27"/>
  <c r="AY31" i="27"/>
  <c r="AF4" i="22"/>
  <c r="AI19" i="22"/>
  <c r="AJ19" i="22" s="1"/>
  <c r="AG12" i="22"/>
  <c r="AH12" i="22" s="1"/>
  <c r="AI12" i="22" s="1"/>
  <c r="AJ12" i="22" s="1"/>
  <c r="AD27" i="22"/>
  <c r="AD28" i="22" s="1"/>
  <c r="AD29" i="22" s="1"/>
  <c r="AE25" i="22"/>
  <c r="AF33" i="22"/>
  <c r="AG33" i="22" s="1"/>
  <c r="AH33" i="22" s="1"/>
  <c r="AI33" i="22" s="1"/>
  <c r="AJ33" i="22" s="1"/>
  <c r="AK33" i="22" s="1"/>
  <c r="AH26" i="22"/>
  <c r="AI26" i="22" s="1"/>
  <c r="AJ26" i="22" s="1"/>
  <c r="AK26" i="22" s="1"/>
  <c r="AQ74" i="28"/>
  <c r="I48" i="29"/>
  <c r="L68" i="27"/>
  <c r="L69" i="27" s="1"/>
  <c r="C18" i="29"/>
  <c r="F38" i="27"/>
  <c r="F39" i="27" s="1"/>
  <c r="F40" i="27" s="1"/>
  <c r="I28" i="29"/>
  <c r="L48" i="27"/>
  <c r="L49" i="27" s="1"/>
  <c r="L50" i="27" s="1"/>
  <c r="F8" i="29"/>
  <c r="I28" i="27"/>
  <c r="I29" i="27" s="1"/>
  <c r="I30" i="27" s="1"/>
  <c r="F38" i="29"/>
  <c r="I58" i="27"/>
  <c r="I59" i="27" s="1"/>
  <c r="I60" i="27" s="1"/>
  <c r="D48" i="29"/>
  <c r="G68" i="27"/>
  <c r="G69" i="27" s="1"/>
  <c r="J49" i="29"/>
  <c r="J50" i="29" s="1"/>
  <c r="J51" i="29"/>
  <c r="AD18" i="22"/>
  <c r="J19" i="29"/>
  <c r="J20" i="29" s="1"/>
  <c r="J21" i="29"/>
  <c r="E19" i="29"/>
  <c r="E20" i="29" s="1"/>
  <c r="E21" i="29"/>
  <c r="AR69" i="27"/>
  <c r="AR17" i="27"/>
  <c r="F19" i="29"/>
  <c r="F20" i="29" s="1"/>
  <c r="F21" i="29"/>
  <c r="AH18" i="27"/>
  <c r="AH70" i="27"/>
  <c r="AC13" i="22"/>
  <c r="AC14" i="22" s="1"/>
  <c r="AC15" i="22" s="1"/>
  <c r="AB74" i="28"/>
  <c r="AW17" i="27"/>
  <c r="J8" i="29"/>
  <c r="M28" i="27"/>
  <c r="F29" i="29"/>
  <c r="F30" i="29" s="1"/>
  <c r="F31" i="29"/>
  <c r="AM69" i="27"/>
  <c r="AM17" i="27"/>
  <c r="E38" i="29"/>
  <c r="H58" i="27"/>
  <c r="H59" i="27" s="1"/>
  <c r="H60" i="27" s="1"/>
  <c r="N28" i="27"/>
  <c r="N29" i="27" s="1"/>
  <c r="L74" i="28"/>
  <c r="AJ69" i="27"/>
  <c r="AJ17" i="27"/>
  <c r="AP17" i="27"/>
  <c r="AP69" i="27"/>
  <c r="AH17" i="27"/>
  <c r="D19" i="29"/>
  <c r="D20" i="29" s="1"/>
  <c r="D21" i="29"/>
  <c r="C29" i="29"/>
  <c r="C30" i="29" s="1"/>
  <c r="C31" i="29"/>
  <c r="C32" i="29" s="1"/>
  <c r="C33" i="29" s="1"/>
  <c r="C34" i="29" s="1"/>
  <c r="AF69" i="27"/>
  <c r="AF17" i="27"/>
  <c r="G8" i="29"/>
  <c r="J28" i="27"/>
  <c r="J29" i="27" s="1"/>
  <c r="J30" i="27" s="1"/>
  <c r="H74" i="28"/>
  <c r="C39" i="29"/>
  <c r="C40" i="29" s="1"/>
  <c r="C41" i="29"/>
  <c r="J38" i="29"/>
  <c r="M58" i="27"/>
  <c r="M59" i="27" s="1"/>
  <c r="M60" i="27" s="1"/>
  <c r="D9" i="29"/>
  <c r="D10" i="29" s="1"/>
  <c r="D11" i="29"/>
  <c r="H70" i="27"/>
  <c r="I70" i="27"/>
  <c r="I9" i="29"/>
  <c r="I10" i="29" s="1"/>
  <c r="I11" i="29"/>
  <c r="I38" i="29"/>
  <c r="L58" i="27"/>
  <c r="L59" i="27" s="1"/>
  <c r="L60" i="27" s="1"/>
  <c r="AG69" i="27"/>
  <c r="AG17" i="27"/>
  <c r="D38" i="29"/>
  <c r="G58" i="27"/>
  <c r="G59" i="27" s="1"/>
  <c r="G60" i="27" s="1"/>
  <c r="E74" i="28"/>
  <c r="H19" i="29"/>
  <c r="H20" i="29" s="1"/>
  <c r="H21" i="29"/>
  <c r="G48" i="29"/>
  <c r="J68" i="27"/>
  <c r="J69" i="27" s="1"/>
  <c r="H38" i="29"/>
  <c r="K58" i="27"/>
  <c r="K59" i="27" s="1"/>
  <c r="K60" i="27" s="1"/>
  <c r="J28" i="29"/>
  <c r="M48" i="27"/>
  <c r="M49" i="27" s="1"/>
  <c r="M50" i="27" s="1"/>
  <c r="E49" i="29"/>
  <c r="E50" i="29" s="1"/>
  <c r="E51" i="29"/>
  <c r="F49" i="29"/>
  <c r="F50" i="29" s="1"/>
  <c r="F51" i="29"/>
  <c r="G38" i="29"/>
  <c r="J58" i="27"/>
  <c r="J59" i="27" s="1"/>
  <c r="J60" i="27" s="1"/>
  <c r="D28" i="29"/>
  <c r="G48" i="27"/>
  <c r="G49" i="27" s="1"/>
  <c r="G50" i="27" s="1"/>
  <c r="H48" i="29"/>
  <c r="K68" i="27"/>
  <c r="K69" i="27" s="1"/>
  <c r="P74" i="28"/>
  <c r="AK69" i="27"/>
  <c r="AK17" i="27"/>
  <c r="AI69" i="27"/>
  <c r="AI17" i="27"/>
  <c r="AO17" i="27"/>
  <c r="AO69" i="27"/>
  <c r="F70" i="27"/>
  <c r="AD32" i="22"/>
  <c r="H29" i="29"/>
  <c r="H30" i="29" s="1"/>
  <c r="H31" i="29"/>
  <c r="G29" i="29"/>
  <c r="G30" i="29" s="1"/>
  <c r="G31" i="29"/>
  <c r="R18" i="27"/>
  <c r="G18" i="29"/>
  <c r="J38" i="27"/>
  <c r="J39" i="27" s="1"/>
  <c r="J40" i="27" s="1"/>
  <c r="E28" i="29"/>
  <c r="H48" i="27"/>
  <c r="H49" i="27" s="1"/>
  <c r="H50" i="27" s="1"/>
  <c r="AD5" i="22"/>
  <c r="AE5" i="22" s="1"/>
  <c r="AF5" i="22" s="1"/>
  <c r="AG5" i="22" s="1"/>
  <c r="I18" i="29"/>
  <c r="L38" i="27"/>
  <c r="L39" i="27" s="1"/>
  <c r="L40" i="27" s="1"/>
  <c r="E8" i="29"/>
  <c r="H28" i="27"/>
  <c r="H29" i="27" s="1"/>
  <c r="H30" i="27" s="1"/>
  <c r="F74" i="28"/>
  <c r="C8" i="29"/>
  <c r="F28" i="27"/>
  <c r="F29" i="27" s="1"/>
  <c r="F30" i="27" s="1"/>
  <c r="AN69" i="27"/>
  <c r="AN17" i="27"/>
  <c r="H11" i="29"/>
  <c r="H9" i="29"/>
  <c r="H10" i="29" s="1"/>
  <c r="C49" i="29"/>
  <c r="C50" i="29" s="1"/>
  <c r="C51" i="29"/>
  <c r="M70" i="27"/>
  <c r="AD11" i="22"/>
  <c r="AP74" i="28"/>
  <c r="AY17" i="27"/>
  <c r="AY70" i="27"/>
  <c r="AY18" i="27"/>
  <c r="AW74" i="28"/>
  <c r="AY16" i="27"/>
  <c r="AW31" i="27"/>
  <c r="AW70" i="27"/>
  <c r="AW71" i="27" s="1"/>
  <c r="AW18" i="27"/>
  <c r="AV28" i="27"/>
  <c r="AV29" i="27" s="1"/>
  <c r="AT74" i="28"/>
  <c r="AV69" i="27"/>
  <c r="AU28" i="27"/>
  <c r="AU29" i="27" s="1"/>
  <c r="AU30" i="27" s="1"/>
  <c r="AU31" i="27" s="1"/>
  <c r="AS74" i="28"/>
  <c r="AU69" i="27"/>
  <c r="AT69" i="27"/>
  <c r="AT17" i="27"/>
  <c r="AR74" i="28"/>
  <c r="AT31" i="27"/>
  <c r="AT16" i="27"/>
  <c r="AS17" i="27"/>
  <c r="AS70" i="27"/>
  <c r="AS18" i="27"/>
  <c r="AO74" i="28"/>
  <c r="AQ17" i="27"/>
  <c r="AQ31" i="27"/>
  <c r="AQ70" i="27"/>
  <c r="AQ18" i="27"/>
  <c r="AL69" i="27"/>
  <c r="AL17" i="27"/>
  <c r="AK16" i="27"/>
  <c r="Z69" i="27"/>
  <c r="BE71" i="1"/>
  <c r="BE20" i="1" s="1"/>
  <c r="Z28" i="27"/>
  <c r="Z29" i="27" s="1"/>
  <c r="Z30" i="27" s="1"/>
  <c r="Z31" i="27" s="1"/>
  <c r="X74" i="28"/>
  <c r="BH71" i="1"/>
  <c r="AZ71" i="1"/>
  <c r="BA19" i="1"/>
  <c r="BA71" i="1"/>
  <c r="AD6" i="22"/>
  <c r="AD7" i="22" s="1"/>
  <c r="AD8" i="22" s="1"/>
  <c r="AM74" i="28"/>
  <c r="AI74" i="28"/>
  <c r="AF74" i="28"/>
  <c r="W74" i="28"/>
  <c r="AJ74" i="28"/>
  <c r="D74" i="28"/>
  <c r="T36" i="28"/>
  <c r="AE74" i="28"/>
  <c r="K74" i="28"/>
  <c r="AC27" i="22"/>
  <c r="AC28" i="22" s="1"/>
  <c r="AC29" i="22" s="1"/>
  <c r="BI19" i="1"/>
  <c r="BI71" i="1"/>
  <c r="BB19" i="1"/>
  <c r="BB71" i="1"/>
  <c r="BJ19" i="1"/>
  <c r="BJ71" i="1"/>
  <c r="BD19" i="1"/>
  <c r="BD71" i="1"/>
  <c r="BG19" i="1"/>
  <c r="BG71" i="1"/>
  <c r="BC19" i="1"/>
  <c r="BC71" i="1"/>
  <c r="BF19" i="1"/>
  <c r="BF71" i="1"/>
  <c r="AV17" i="27" l="1"/>
  <c r="AU17" i="27"/>
  <c r="F18" i="27"/>
  <c r="C9" i="29"/>
  <c r="C10" i="29" s="1"/>
  <c r="C11" i="29"/>
  <c r="C12" i="29" s="1"/>
  <c r="C13" i="29" s="1"/>
  <c r="C14" i="29" s="1"/>
  <c r="D12" i="29" s="1"/>
  <c r="D13" i="29" s="1"/>
  <c r="D14" i="29" s="1"/>
  <c r="E29" i="29"/>
  <c r="E30" i="29" s="1"/>
  <c r="E31" i="29"/>
  <c r="AD34" i="22"/>
  <c r="AD35" i="22" s="1"/>
  <c r="AD36" i="22" s="1"/>
  <c r="AE32" i="22"/>
  <c r="AK70" i="27"/>
  <c r="AK18" i="27"/>
  <c r="J70" i="27"/>
  <c r="J19" i="27" s="1"/>
  <c r="J18" i="27"/>
  <c r="AG70" i="27"/>
  <c r="AG18" i="27"/>
  <c r="H19" i="27"/>
  <c r="E39" i="29"/>
  <c r="E40" i="29" s="1"/>
  <c r="E41" i="29"/>
  <c r="D49" i="29"/>
  <c r="D50" i="29" s="1"/>
  <c r="D51" i="29"/>
  <c r="C19" i="29"/>
  <c r="C20" i="29" s="1"/>
  <c r="C21" i="29"/>
  <c r="AF25" i="22"/>
  <c r="AE27" i="22"/>
  <c r="AE28" i="22" s="1"/>
  <c r="AE29" i="22" s="1"/>
  <c r="C52" i="29"/>
  <c r="C53" i="29" s="1"/>
  <c r="C54" i="29" s="1"/>
  <c r="G19" i="29"/>
  <c r="G20" i="29" s="1"/>
  <c r="G21" i="29"/>
  <c r="K70" i="27"/>
  <c r="K19" i="27" s="1"/>
  <c r="K18" i="27"/>
  <c r="I39" i="29"/>
  <c r="I40" i="29" s="1"/>
  <c r="I41" i="29"/>
  <c r="AM70" i="27"/>
  <c r="AM18" i="27"/>
  <c r="AH19" i="27"/>
  <c r="AH71" i="27"/>
  <c r="AH20" i="27" s="1"/>
  <c r="F39" i="29"/>
  <c r="F40" i="29" s="1"/>
  <c r="F41" i="29"/>
  <c r="I49" i="29"/>
  <c r="I50" i="29" s="1"/>
  <c r="I51" i="29"/>
  <c r="AK12" i="22"/>
  <c r="E11" i="29"/>
  <c r="E9" i="29"/>
  <c r="E10" i="29" s="1"/>
  <c r="AO18" i="27"/>
  <c r="AO70" i="27"/>
  <c r="H49" i="29"/>
  <c r="H50" i="29" s="1"/>
  <c r="H51" i="29"/>
  <c r="AF70" i="27"/>
  <c r="AF18" i="27"/>
  <c r="AP70" i="27"/>
  <c r="AP18" i="27"/>
  <c r="J39" i="29"/>
  <c r="J40" i="29" s="1"/>
  <c r="J41" i="29"/>
  <c r="AJ70" i="27"/>
  <c r="AJ18" i="27"/>
  <c r="AD20" i="22"/>
  <c r="AD21" i="22" s="1"/>
  <c r="AD22" i="22" s="1"/>
  <c r="AE18" i="22"/>
  <c r="F9" i="29"/>
  <c r="F10" i="29" s="1"/>
  <c r="F11" i="29"/>
  <c r="AL26" i="22"/>
  <c r="AM26" i="22" s="1"/>
  <c r="AK19" i="22"/>
  <c r="AL19" i="22" s="1"/>
  <c r="I19" i="29"/>
  <c r="I20" i="29" s="1"/>
  <c r="I21" i="29"/>
  <c r="D31" i="29"/>
  <c r="D32" i="29" s="1"/>
  <c r="D33" i="29" s="1"/>
  <c r="D34" i="29" s="1"/>
  <c r="D29" i="29"/>
  <c r="D30" i="29" s="1"/>
  <c r="J29" i="29"/>
  <c r="J30" i="29" s="1"/>
  <c r="J31" i="29"/>
  <c r="I18" i="27"/>
  <c r="C42" i="29"/>
  <c r="C43" i="29" s="1"/>
  <c r="C44" i="29" s="1"/>
  <c r="M29" i="27"/>
  <c r="M30" i="27" s="1"/>
  <c r="M19" i="27" s="1"/>
  <c r="M31" i="27"/>
  <c r="L70" i="27"/>
  <c r="L19" i="27" s="1"/>
  <c r="L18" i="27"/>
  <c r="AD13" i="22"/>
  <c r="AD14" i="22" s="1"/>
  <c r="AD15" i="22" s="1"/>
  <c r="AE11" i="22"/>
  <c r="AN70" i="27"/>
  <c r="AN18" i="27"/>
  <c r="AH5" i="22"/>
  <c r="AI5" i="22" s="1"/>
  <c r="AJ5" i="22" s="1"/>
  <c r="AK5" i="22" s="1"/>
  <c r="AI70" i="27"/>
  <c r="AI18" i="27"/>
  <c r="D39" i="29"/>
  <c r="D40" i="29" s="1"/>
  <c r="D41" i="29"/>
  <c r="I19" i="27"/>
  <c r="N30" i="27"/>
  <c r="N31" i="27" s="1"/>
  <c r="N18" i="27"/>
  <c r="J9" i="29"/>
  <c r="J10" i="29" s="1"/>
  <c r="J11" i="29"/>
  <c r="I29" i="29"/>
  <c r="I30" i="29" s="1"/>
  <c r="I31" i="29"/>
  <c r="AL33" i="22"/>
  <c r="AM33" i="22" s="1"/>
  <c r="AE6" i="22"/>
  <c r="AE7" i="22" s="1"/>
  <c r="AE8" i="22" s="1"/>
  <c r="G49" i="29"/>
  <c r="G50" i="29" s="1"/>
  <c r="G51" i="29"/>
  <c r="G9" i="29"/>
  <c r="G10" i="29" s="1"/>
  <c r="G11" i="29"/>
  <c r="G39" i="29"/>
  <c r="G40" i="29" s="1"/>
  <c r="G41" i="29"/>
  <c r="H39" i="29"/>
  <c r="H40" i="29" s="1"/>
  <c r="H41" i="29"/>
  <c r="H18" i="27"/>
  <c r="AR70" i="27"/>
  <c r="AR18" i="27"/>
  <c r="G70" i="27"/>
  <c r="G19" i="27" s="1"/>
  <c r="G18" i="27"/>
  <c r="F19" i="27"/>
  <c r="AF6" i="22"/>
  <c r="AF7" i="22" s="1"/>
  <c r="AF8" i="22" s="1"/>
  <c r="AG4" i="22"/>
  <c r="AY19" i="27"/>
  <c r="AY71" i="27"/>
  <c r="AV30" i="27"/>
  <c r="AV31" i="27" s="1"/>
  <c r="AW19" i="27"/>
  <c r="AV70" i="27"/>
  <c r="AV18" i="27"/>
  <c r="AU70" i="27"/>
  <c r="AU18" i="27"/>
  <c r="AT70" i="27"/>
  <c r="AT18" i="27"/>
  <c r="AS19" i="27"/>
  <c r="AS71" i="27"/>
  <c r="AQ19" i="27"/>
  <c r="AQ71" i="27"/>
  <c r="AL70" i="27"/>
  <c r="AL18" i="27"/>
  <c r="Z17" i="27"/>
  <c r="Z18" i="27"/>
  <c r="BH20" i="1"/>
  <c r="AZ20" i="1"/>
  <c r="BA20" i="1"/>
  <c r="BC20" i="1"/>
  <c r="BD20" i="1"/>
  <c r="BJ20" i="1"/>
  <c r="BB20" i="1"/>
  <c r="BI20" i="1"/>
  <c r="BF20" i="1"/>
  <c r="BG20" i="1"/>
  <c r="M18" i="27" l="1"/>
  <c r="E32" i="29"/>
  <c r="E33" i="29" s="1"/>
  <c r="E34" i="29" s="1"/>
  <c r="F32" i="29" s="1"/>
  <c r="F33" i="29" s="1"/>
  <c r="F34" i="29" s="1"/>
  <c r="G32" i="29" s="1"/>
  <c r="G33" i="29" s="1"/>
  <c r="G34" i="29" s="1"/>
  <c r="H32" i="29" s="1"/>
  <c r="H33" i="29" s="1"/>
  <c r="H34" i="29" s="1"/>
  <c r="I32" i="29" s="1"/>
  <c r="I33" i="29" s="1"/>
  <c r="I34" i="29" s="1"/>
  <c r="J32" i="29" s="1"/>
  <c r="J33" i="29" s="1"/>
  <c r="J34" i="29" s="1"/>
  <c r="E12" i="29"/>
  <c r="E13" i="29" s="1"/>
  <c r="E14" i="29" s="1"/>
  <c r="F12" i="29" s="1"/>
  <c r="F13" i="29" s="1"/>
  <c r="F14" i="29" s="1"/>
  <c r="G12" i="29" s="1"/>
  <c r="G13" i="29" s="1"/>
  <c r="G14" i="29" s="1"/>
  <c r="H12" i="29" s="1"/>
  <c r="H13" i="29" s="1"/>
  <c r="H14" i="29" s="1"/>
  <c r="I12" i="29" s="1"/>
  <c r="I13" i="29" s="1"/>
  <c r="I14" i="29" s="1"/>
  <c r="J12" i="29" s="1"/>
  <c r="J13" i="29" s="1"/>
  <c r="J14" i="29" s="1"/>
  <c r="C22" i="29"/>
  <c r="C23" i="29" s="1"/>
  <c r="C24" i="29" s="1"/>
  <c r="D22" i="29" s="1"/>
  <c r="D23" i="29" s="1"/>
  <c r="D24" i="29" s="1"/>
  <c r="E22" i="29" s="1"/>
  <c r="E23" i="29" s="1"/>
  <c r="E24" i="29" s="1"/>
  <c r="F22" i="29" s="1"/>
  <c r="F23" i="29" s="1"/>
  <c r="F24" i="29" s="1"/>
  <c r="G22" i="29" s="1"/>
  <c r="G23" i="29" s="1"/>
  <c r="G24" i="29" s="1"/>
  <c r="H22" i="29" s="1"/>
  <c r="H23" i="29" s="1"/>
  <c r="H24" i="29" s="1"/>
  <c r="I22" i="29" s="1"/>
  <c r="I23" i="29" s="1"/>
  <c r="I24" i="29" s="1"/>
  <c r="J22" i="29" s="1"/>
  <c r="J23" i="29" s="1"/>
  <c r="J24" i="29" s="1"/>
  <c r="AE13" i="22"/>
  <c r="AE14" i="22" s="1"/>
  <c r="AE15" i="22" s="1"/>
  <c r="AF11" i="22"/>
  <c r="AM19" i="22"/>
  <c r="AP19" i="27"/>
  <c r="AP71" i="27"/>
  <c r="AP20" i="27" s="1"/>
  <c r="AG25" i="22"/>
  <c r="AF27" i="22"/>
  <c r="AF28" i="22" s="1"/>
  <c r="AF29" i="22" s="1"/>
  <c r="AF32" i="22"/>
  <c r="AE34" i="22"/>
  <c r="AE35" i="22" s="1"/>
  <c r="AE36" i="22" s="1"/>
  <c r="AR19" i="27"/>
  <c r="AR71" i="27"/>
  <c r="AR20" i="27" s="1"/>
  <c r="AI19" i="27"/>
  <c r="AI71" i="27"/>
  <c r="AI20" i="27" s="1"/>
  <c r="AJ19" i="27"/>
  <c r="AJ71" i="27"/>
  <c r="AJ20" i="27" s="1"/>
  <c r="AL12" i="22"/>
  <c r="AF19" i="27"/>
  <c r="AF71" i="27"/>
  <c r="AF20" i="27" s="1"/>
  <c r="AG19" i="27"/>
  <c r="AG71" i="27"/>
  <c r="AG20" i="27" s="1"/>
  <c r="AL5" i="22"/>
  <c r="AM5" i="22" s="1"/>
  <c r="AE20" i="22"/>
  <c r="AE21" i="22" s="1"/>
  <c r="AE22" i="22" s="1"/>
  <c r="AF18" i="22"/>
  <c r="AM19" i="27"/>
  <c r="AM71" i="27"/>
  <c r="AM20" i="27" s="1"/>
  <c r="D52" i="29"/>
  <c r="D53" i="29" s="1"/>
  <c r="D54" i="29" s="1"/>
  <c r="E52" i="29" s="1"/>
  <c r="E53" i="29" s="1"/>
  <c r="E54" i="29" s="1"/>
  <c r="F52" i="29" s="1"/>
  <c r="F53" i="29" s="1"/>
  <c r="F54" i="29" s="1"/>
  <c r="G52" i="29" s="1"/>
  <c r="G53" i="29" s="1"/>
  <c r="G54" i="29" s="1"/>
  <c r="H52" i="29" s="1"/>
  <c r="H53" i="29" s="1"/>
  <c r="H54" i="29" s="1"/>
  <c r="I52" i="29" s="1"/>
  <c r="I53" i="29" s="1"/>
  <c r="I54" i="29" s="1"/>
  <c r="J52" i="29" s="1"/>
  <c r="J53" i="29" s="1"/>
  <c r="J54" i="29" s="1"/>
  <c r="AO19" i="27"/>
  <c r="AO71" i="27"/>
  <c r="AO20" i="27" s="1"/>
  <c r="AH4" i="22"/>
  <c r="AG6" i="22"/>
  <c r="AG7" i="22" s="1"/>
  <c r="AG8" i="22" s="1"/>
  <c r="D42" i="29"/>
  <c r="D43" i="29" s="1"/>
  <c r="D44" i="29" s="1"/>
  <c r="E42" i="29" s="1"/>
  <c r="E43" i="29" s="1"/>
  <c r="E44" i="29" s="1"/>
  <c r="F42" i="29" s="1"/>
  <c r="F43" i="29" s="1"/>
  <c r="F44" i="29" s="1"/>
  <c r="G42" i="29" s="1"/>
  <c r="G43" i="29" s="1"/>
  <c r="G44" i="29" s="1"/>
  <c r="H42" i="29" s="1"/>
  <c r="H43" i="29" s="1"/>
  <c r="H44" i="29" s="1"/>
  <c r="I42" i="29" s="1"/>
  <c r="I43" i="29" s="1"/>
  <c r="I44" i="29" s="1"/>
  <c r="J42" i="29" s="1"/>
  <c r="J43" i="29" s="1"/>
  <c r="J44" i="29" s="1"/>
  <c r="AN19" i="27"/>
  <c r="AN71" i="27"/>
  <c r="AN20" i="27" s="1"/>
  <c r="AK19" i="27"/>
  <c r="AK71" i="27"/>
  <c r="AK20" i="27" s="1"/>
  <c r="AY20" i="27"/>
  <c r="AW20" i="27"/>
  <c r="AV19" i="27"/>
  <c r="AV71" i="27"/>
  <c r="AU19" i="27"/>
  <c r="AU71" i="27"/>
  <c r="AT19" i="27"/>
  <c r="AT71" i="27"/>
  <c r="AS20" i="27"/>
  <c r="AQ20" i="27"/>
  <c r="AL19" i="27"/>
  <c r="AL71" i="27"/>
  <c r="AM12" i="22" l="1"/>
  <c r="AG11" i="22"/>
  <c r="AF13" i="22"/>
  <c r="AF14" i="22" s="1"/>
  <c r="AF15" i="22" s="1"/>
  <c r="AF20" i="22"/>
  <c r="AF21" i="22" s="1"/>
  <c r="AF22" i="22" s="1"/>
  <c r="AG18" i="22"/>
  <c r="AG32" i="22"/>
  <c r="AF34" i="22"/>
  <c r="AF35" i="22" s="1"/>
  <c r="AF36" i="22" s="1"/>
  <c r="AH25" i="22"/>
  <c r="AG27" i="22"/>
  <c r="AG28" i="22" s="1"/>
  <c r="AG29" i="22" s="1"/>
  <c r="AI4" i="22"/>
  <c r="AH6" i="22"/>
  <c r="AH7" i="22" s="1"/>
  <c r="AH8" i="22" s="1"/>
  <c r="AV20" i="27"/>
  <c r="AU20" i="27"/>
  <c r="AT20" i="27"/>
  <c r="AL20" i="27"/>
  <c r="AH32" i="22" l="1"/>
  <c r="AG34" i="22"/>
  <c r="AG35" i="22" s="1"/>
  <c r="AG36" i="22" s="1"/>
  <c r="AJ4" i="22"/>
  <c r="AI6" i="22"/>
  <c r="AI7" i="22" s="1"/>
  <c r="AI8" i="22" s="1"/>
  <c r="AH11" i="22"/>
  <c r="AG13" i="22"/>
  <c r="AG14" i="22" s="1"/>
  <c r="AG15" i="22" s="1"/>
  <c r="AH27" i="22"/>
  <c r="AH28" i="22" s="1"/>
  <c r="AH29" i="22" s="1"/>
  <c r="AI25" i="22"/>
  <c r="AG20" i="22"/>
  <c r="AG21" i="22" s="1"/>
  <c r="AG22" i="22" s="1"/>
  <c r="AH18" i="22"/>
  <c r="AB3" i="22"/>
  <c r="AB10" i="22"/>
  <c r="AB17" i="22"/>
  <c r="AB24" i="22"/>
  <c r="AB31" i="22"/>
  <c r="AI18" i="22" l="1"/>
  <c r="AH20" i="22"/>
  <c r="AH21" i="22" s="1"/>
  <c r="AH22" i="22" s="1"/>
  <c r="AJ6" i="22"/>
  <c r="AJ7" i="22" s="1"/>
  <c r="AJ8" i="22" s="1"/>
  <c r="AK4" i="22"/>
  <c r="AI11" i="22"/>
  <c r="AH13" i="22"/>
  <c r="AH14" i="22" s="1"/>
  <c r="AH15" i="22" s="1"/>
  <c r="AI27" i="22"/>
  <c r="AI28" i="22" s="1"/>
  <c r="AI29" i="22" s="1"/>
  <c r="AJ25" i="22"/>
  <c r="AH34" i="22"/>
  <c r="AH35" i="22" s="1"/>
  <c r="AH36" i="22" s="1"/>
  <c r="AI32" i="22"/>
  <c r="AI13" i="22" l="1"/>
  <c r="AI14" i="22" s="1"/>
  <c r="AI15" i="22" s="1"/>
  <c r="AJ11" i="22"/>
  <c r="AK6" i="22"/>
  <c r="AK7" i="22" s="1"/>
  <c r="AK8" i="22" s="1"/>
  <c r="AL4" i="22"/>
  <c r="AJ27" i="22"/>
  <c r="AJ28" i="22" s="1"/>
  <c r="AJ29" i="22" s="1"/>
  <c r="AK25" i="22"/>
  <c r="AJ32" i="22"/>
  <c r="AI34" i="22"/>
  <c r="AI35" i="22" s="1"/>
  <c r="AI36" i="22" s="1"/>
  <c r="AI20" i="22"/>
  <c r="AI21" i="22" s="1"/>
  <c r="AI22" i="22" s="1"/>
  <c r="AJ18" i="22"/>
  <c r="AJ20" i="22" l="1"/>
  <c r="AJ21" i="22" s="1"/>
  <c r="AJ22" i="22" s="1"/>
  <c r="AK18" i="22"/>
  <c r="AM4" i="22"/>
  <c r="AM6" i="22" s="1"/>
  <c r="AM7" i="22" s="1"/>
  <c r="AM8" i="22" s="1"/>
  <c r="AY29" i="1" s="1"/>
  <c r="AY30" i="1" s="1"/>
  <c r="AY31" i="1" s="1"/>
  <c r="AL6" i="22"/>
  <c r="AL7" i="22" s="1"/>
  <c r="AL8" i="22" s="1"/>
  <c r="AJ13" i="22"/>
  <c r="AJ14" i="22" s="1"/>
  <c r="AJ15" i="22" s="1"/>
  <c r="AK11" i="22"/>
  <c r="AK32" i="22"/>
  <c r="AJ34" i="22"/>
  <c r="AJ35" i="22" s="1"/>
  <c r="AJ36" i="22" s="1"/>
  <c r="AK27" i="22"/>
  <c r="AK28" i="22" s="1"/>
  <c r="AK29" i="22" s="1"/>
  <c r="AL25" i="22"/>
  <c r="AZ8" i="1"/>
  <c r="BA8" i="1"/>
  <c r="BB8" i="1"/>
  <c r="BC8" i="1"/>
  <c r="BD8" i="1"/>
  <c r="BE8" i="1"/>
  <c r="BF8" i="1"/>
  <c r="BG8" i="1"/>
  <c r="BH8" i="1"/>
  <c r="AY16" i="1"/>
  <c r="AZ16" i="1"/>
  <c r="BA16" i="1"/>
  <c r="BC16" i="1"/>
  <c r="BD16" i="1"/>
  <c r="BE16" i="1"/>
  <c r="BF16" i="1"/>
  <c r="BG16" i="1"/>
  <c r="BH16" i="1"/>
  <c r="BI16" i="1"/>
  <c r="BA17" i="1"/>
  <c r="BB17" i="1"/>
  <c r="BD17" i="1"/>
  <c r="BE17" i="1"/>
  <c r="BF17" i="1"/>
  <c r="BH17" i="1"/>
  <c r="BI17" i="1"/>
  <c r="BJ17" i="1"/>
  <c r="AZ78" i="1"/>
  <c r="BA78" i="1"/>
  <c r="BB78" i="1"/>
  <c r="BC78" i="1"/>
  <c r="BD78" i="1"/>
  <c r="BE78" i="1"/>
  <c r="BF78" i="1"/>
  <c r="BG78" i="1"/>
  <c r="BI78" i="1"/>
  <c r="BJ78" i="1"/>
  <c r="AO85" i="1"/>
  <c r="AP85" i="1"/>
  <c r="AQ85" i="1"/>
  <c r="AR85" i="1"/>
  <c r="AS85" i="1"/>
  <c r="AT85" i="1"/>
  <c r="AU85" i="1"/>
  <c r="AN85" i="1"/>
  <c r="AN87" i="1" s="1"/>
  <c r="AM95" i="1"/>
  <c r="AM87" i="1"/>
  <c r="AK13" i="22" l="1"/>
  <c r="AK14" i="22" s="1"/>
  <c r="AK15" i="22" s="1"/>
  <c r="AL11" i="22"/>
  <c r="AK34" i="22"/>
  <c r="AK35" i="22" s="1"/>
  <c r="AK36" i="22" s="1"/>
  <c r="AL32" i="22"/>
  <c r="AM25" i="22"/>
  <c r="AM27" i="22" s="1"/>
  <c r="AM28" i="22" s="1"/>
  <c r="AM29" i="22" s="1"/>
  <c r="AY59" i="1" s="1"/>
  <c r="AY60" i="1" s="1"/>
  <c r="AY61" i="1" s="1"/>
  <c r="AL27" i="22"/>
  <c r="AL28" i="22" s="1"/>
  <c r="AL29" i="22" s="1"/>
  <c r="AK20" i="22"/>
  <c r="AK21" i="22" s="1"/>
  <c r="AK22" i="22" s="1"/>
  <c r="AL18" i="22"/>
  <c r="AZ17" i="1"/>
  <c r="BG17" i="1"/>
  <c r="BC17" i="1"/>
  <c r="AY17" i="1"/>
  <c r="AM18" i="22" l="1"/>
  <c r="AM20" i="22" s="1"/>
  <c r="AM21" i="22" s="1"/>
  <c r="AM22" i="22" s="1"/>
  <c r="AY49" i="1" s="1"/>
  <c r="AY50" i="1" s="1"/>
  <c r="AY51" i="1" s="1"/>
  <c r="AL20" i="22"/>
  <c r="AL21" i="22" s="1"/>
  <c r="AL22" i="22" s="1"/>
  <c r="AL34" i="22"/>
  <c r="AL35" i="22" s="1"/>
  <c r="AL36" i="22" s="1"/>
  <c r="AM32" i="22"/>
  <c r="AM34" i="22" s="1"/>
  <c r="AM35" i="22" s="1"/>
  <c r="AM36" i="22" s="1"/>
  <c r="AY69" i="1" s="1"/>
  <c r="AL13" i="22"/>
  <c r="AL14" i="22" s="1"/>
  <c r="AL15" i="22" s="1"/>
  <c r="AM11" i="22"/>
  <c r="AM13" i="22" s="1"/>
  <c r="AM14" i="22" s="1"/>
  <c r="AM15" i="22" s="1"/>
  <c r="AY39" i="1" s="1"/>
  <c r="AY40" i="1" s="1"/>
  <c r="AY41" i="1" s="1"/>
  <c r="C8" i="27"/>
  <c r="C10" i="27" s="1"/>
  <c r="D8" i="27"/>
  <c r="O93" i="27"/>
  <c r="P93" i="27" s="1"/>
  <c r="Q93" i="27" s="1"/>
  <c r="R93" i="27" s="1"/>
  <c r="S93" i="27" s="1"/>
  <c r="T93" i="27" s="1"/>
  <c r="U93" i="27" s="1"/>
  <c r="V93" i="27" s="1"/>
  <c r="W93" i="27" s="1"/>
  <c r="X93" i="27" s="1"/>
  <c r="Y93" i="27" s="1"/>
  <c r="Z93" i="27" s="1"/>
  <c r="AA93" i="27" s="1"/>
  <c r="AB93" i="27" s="1"/>
  <c r="AC93" i="27" s="1"/>
  <c r="AD93" i="27" s="1"/>
  <c r="AE93" i="27" s="1"/>
  <c r="AF93" i="27" s="1"/>
  <c r="AG93" i="27" s="1"/>
  <c r="AH93" i="27" s="1"/>
  <c r="AI93" i="27" s="1"/>
  <c r="AJ93" i="27" s="1"/>
  <c r="AK93" i="27" s="1"/>
  <c r="AL93" i="27" s="1"/>
  <c r="AA87" i="27"/>
  <c r="AA88" i="27" s="1"/>
  <c r="Z87" i="27"/>
  <c r="Z88" i="27" s="1"/>
  <c r="Y87" i="27"/>
  <c r="Y88" i="27" s="1"/>
  <c r="X87" i="27"/>
  <c r="X88" i="27" s="1"/>
  <c r="W87" i="27"/>
  <c r="W88" i="27" s="1"/>
  <c r="V87" i="27"/>
  <c r="V88" i="27" s="1"/>
  <c r="U87" i="27"/>
  <c r="U88" i="27" s="1"/>
  <c r="T87" i="27"/>
  <c r="T88" i="27" s="1"/>
  <c r="S87" i="27"/>
  <c r="S88" i="27" s="1"/>
  <c r="R87" i="27"/>
  <c r="R88" i="27" s="1"/>
  <c r="Q87" i="27"/>
  <c r="Q88" i="27" s="1"/>
  <c r="P87" i="27"/>
  <c r="P88" i="27" s="1"/>
  <c r="O87" i="27"/>
  <c r="O88" i="27" s="1"/>
  <c r="N87" i="27"/>
  <c r="N89" i="27" s="1"/>
  <c r="N91" i="27" s="1"/>
  <c r="X79" i="27"/>
  <c r="AE16" i="27"/>
  <c r="W16" i="27"/>
  <c r="S16" i="27"/>
  <c r="M71" i="27"/>
  <c r="L71" i="27"/>
  <c r="K71" i="27"/>
  <c r="J71" i="27"/>
  <c r="I71" i="27"/>
  <c r="H71" i="27"/>
  <c r="G71" i="27"/>
  <c r="F71" i="27"/>
  <c r="F72" i="27" s="1"/>
  <c r="AB16" i="27"/>
  <c r="P16" i="27"/>
  <c r="M61" i="27"/>
  <c r="L61" i="27"/>
  <c r="K61" i="27"/>
  <c r="J61" i="27"/>
  <c r="I61" i="27"/>
  <c r="H61" i="27"/>
  <c r="G61" i="27"/>
  <c r="F61" i="27"/>
  <c r="F62" i="27" s="1"/>
  <c r="M51" i="27"/>
  <c r="L51" i="27"/>
  <c r="K51" i="27"/>
  <c r="J51" i="27"/>
  <c r="I51" i="27"/>
  <c r="H51" i="27"/>
  <c r="G51" i="27"/>
  <c r="F51" i="27"/>
  <c r="F52" i="27" s="1"/>
  <c r="M41" i="27"/>
  <c r="L41" i="27"/>
  <c r="K41" i="27"/>
  <c r="J41" i="27"/>
  <c r="I41" i="27"/>
  <c r="H41" i="27"/>
  <c r="G41" i="27"/>
  <c r="F41" i="27"/>
  <c r="F42" i="27" s="1"/>
  <c r="H31" i="27"/>
  <c r="AC16" i="27"/>
  <c r="Y16" i="27"/>
  <c r="U16" i="27"/>
  <c r="Q16" i="27"/>
  <c r="L31" i="27"/>
  <c r="K31" i="27"/>
  <c r="J31" i="27"/>
  <c r="F31" i="27"/>
  <c r="F32" i="27" s="1"/>
  <c r="AB17" i="27"/>
  <c r="AA17" i="27"/>
  <c r="X17" i="27"/>
  <c r="V17" i="27"/>
  <c r="T17" i="27"/>
  <c r="O17" i="27"/>
  <c r="N17" i="27"/>
  <c r="M17" i="27"/>
  <c r="L17" i="27"/>
  <c r="K17" i="27"/>
  <c r="J17" i="27"/>
  <c r="I17" i="27"/>
  <c r="H17" i="27"/>
  <c r="G17" i="27"/>
  <c r="F17" i="27"/>
  <c r="AD16" i="27"/>
  <c r="AA16" i="27"/>
  <c r="V16" i="27"/>
  <c r="T16" i="27"/>
  <c r="R16" i="27"/>
  <c r="O16" i="27"/>
  <c r="N16" i="27"/>
  <c r="J16" i="27"/>
  <c r="AE8" i="27"/>
  <c r="AC8" i="27"/>
  <c r="AB8" i="27"/>
  <c r="AA8" i="27"/>
  <c r="Z8" i="27"/>
  <c r="Y8" i="27"/>
  <c r="X8" i="27"/>
  <c r="W8" i="27"/>
  <c r="V8" i="27"/>
  <c r="U8" i="27"/>
  <c r="S8" i="27"/>
  <c r="R8" i="27"/>
  <c r="Q8" i="27"/>
  <c r="P8" i="27"/>
  <c r="N8" i="27"/>
  <c r="M8" i="27"/>
  <c r="L8" i="27"/>
  <c r="K8" i="27"/>
  <c r="J8" i="27"/>
  <c r="I8" i="27"/>
  <c r="H8" i="27"/>
  <c r="G8" i="27"/>
  <c r="F8" i="27"/>
  <c r="E8" i="27"/>
  <c r="O8" i="27"/>
  <c r="AY18" i="1" l="1"/>
  <c r="AY70" i="1"/>
  <c r="AM93" i="27"/>
  <c r="AN93" i="27" s="1"/>
  <c r="F21" i="27"/>
  <c r="G20" i="27"/>
  <c r="J20" i="27"/>
  <c r="L20" i="27"/>
  <c r="K16" i="27"/>
  <c r="P17" i="27"/>
  <c r="W17" i="27"/>
  <c r="L16" i="27"/>
  <c r="S17" i="27"/>
  <c r="AE17" i="27"/>
  <c r="G16" i="27"/>
  <c r="AD17" i="27"/>
  <c r="X16" i="27"/>
  <c r="Y17" i="27"/>
  <c r="C12" i="27"/>
  <c r="C13" i="27" s="1"/>
  <c r="D10" i="27" s="1"/>
  <c r="C11" i="27"/>
  <c r="N90" i="27"/>
  <c r="H16" i="27"/>
  <c r="R17" i="27"/>
  <c r="F20" i="27"/>
  <c r="H20" i="27"/>
  <c r="I31" i="27"/>
  <c r="I16" i="27"/>
  <c r="M16" i="27"/>
  <c r="F43" i="27"/>
  <c r="Q17" i="27"/>
  <c r="U17" i="27"/>
  <c r="AC17" i="27"/>
  <c r="K20" i="27"/>
  <c r="F53" i="27"/>
  <c r="F63" i="27"/>
  <c r="X81" i="27"/>
  <c r="X82" i="27" s="1"/>
  <c r="Y79" i="27" s="1"/>
  <c r="Y81" i="27" s="1"/>
  <c r="Y82" i="27" s="1"/>
  <c r="Z79" i="27" s="1"/>
  <c r="Z81" i="27" s="1"/>
  <c r="Z82" i="27" s="1"/>
  <c r="AA79" i="27" s="1"/>
  <c r="AA81" i="27" s="1"/>
  <c r="X80" i="27"/>
  <c r="AY71" i="1" l="1"/>
  <c r="AY20" i="1" s="1"/>
  <c r="AY19" i="1"/>
  <c r="D12" i="27"/>
  <c r="D13" i="27" s="1"/>
  <c r="E10" i="27" s="1"/>
  <c r="D11" i="27"/>
  <c r="F44" i="27"/>
  <c r="F54" i="27"/>
  <c r="F64" i="27"/>
  <c r="Y80" i="27"/>
  <c r="Z80" i="27" s="1"/>
  <c r="AA80" i="27" s="1"/>
  <c r="M20" i="27"/>
  <c r="F33" i="27"/>
  <c r="I20" i="27"/>
  <c r="G62" i="27" l="1"/>
  <c r="G52" i="27"/>
  <c r="G42" i="27"/>
  <c r="G43" i="27" s="1"/>
  <c r="G44" i="27" s="1"/>
  <c r="H42" i="27" s="1"/>
  <c r="F34" i="27"/>
  <c r="G53" i="27" l="1"/>
  <c r="G54" i="27" s="1"/>
  <c r="H52" i="27" s="1"/>
  <c r="H53" i="27" s="1"/>
  <c r="H54" i="27" s="1"/>
  <c r="I52" i="27" s="1"/>
  <c r="I53" i="27" s="1"/>
  <c r="I54" i="27" s="1"/>
  <c r="G63" i="27"/>
  <c r="G64" i="27" s="1"/>
  <c r="H62" i="27" s="1"/>
  <c r="H63" i="27" s="1"/>
  <c r="H64" i="27" s="1"/>
  <c r="I62" i="27" s="1"/>
  <c r="I63" i="27" s="1"/>
  <c r="I64" i="27" s="1"/>
  <c r="H43" i="27"/>
  <c r="H44" i="27" s="1"/>
  <c r="I42" i="27" s="1"/>
  <c r="I43" i="27" s="1"/>
  <c r="I44" i="27" s="1"/>
  <c r="G32" i="27"/>
  <c r="G33" i="27" l="1"/>
  <c r="G34" i="27" s="1"/>
  <c r="H32" i="27" s="1"/>
  <c r="H33" i="27" s="1"/>
  <c r="H34" i="27" s="1"/>
  <c r="I32" i="27" s="1"/>
  <c r="J62" i="27"/>
  <c r="J63" i="27" s="1"/>
  <c r="J64" i="27" s="1"/>
  <c r="J52" i="27"/>
  <c r="J53" i="27" s="1"/>
  <c r="J54" i="27" s="1"/>
  <c r="J42" i="27"/>
  <c r="J43" i="27" s="1"/>
  <c r="J44" i="27" s="1"/>
  <c r="K62" i="27" l="1"/>
  <c r="K63" i="27" s="1"/>
  <c r="K64" i="27" s="1"/>
  <c r="K52" i="27"/>
  <c r="K53" i="27" s="1"/>
  <c r="K54" i="27" s="1"/>
  <c r="K42" i="27"/>
  <c r="K43" i="27" s="1"/>
  <c r="K44" i="27" s="1"/>
  <c r="I33" i="27"/>
  <c r="I34" i="27" s="1"/>
  <c r="J32" i="27" s="1"/>
  <c r="L52" i="27" l="1"/>
  <c r="L53" i="27" s="1"/>
  <c r="L54" i="27" s="1"/>
  <c r="L62" i="27"/>
  <c r="L63" i="27" s="1"/>
  <c r="L64" i="27" s="1"/>
  <c r="L42" i="27"/>
  <c r="L43" i="27" s="1"/>
  <c r="L44" i="27" s="1"/>
  <c r="J33" i="27"/>
  <c r="J34" i="27" s="1"/>
  <c r="K32" i="27" s="1"/>
  <c r="F73" i="27"/>
  <c r="F74" i="27" s="1"/>
  <c r="F22" i="27"/>
  <c r="M62" i="27" l="1"/>
  <c r="K42" i="29" s="1"/>
  <c r="L42" i="29" s="1"/>
  <c r="N56" i="27" s="1"/>
  <c r="M52" i="27"/>
  <c r="K32" i="29" s="1"/>
  <c r="L32" i="29" s="1"/>
  <c r="N46" i="27" s="1"/>
  <c r="F24" i="27"/>
  <c r="G72" i="27"/>
  <c r="M42" i="27"/>
  <c r="K22" i="29" s="1"/>
  <c r="L22" i="29" s="1"/>
  <c r="N36" i="27" s="1"/>
  <c r="K33" i="27"/>
  <c r="K34" i="27" s="1"/>
  <c r="F23" i="27"/>
  <c r="AA3" i="22"/>
  <c r="AA10" i="22"/>
  <c r="AA17" i="22"/>
  <c r="AA24" i="22"/>
  <c r="AA31" i="22"/>
  <c r="M53" i="27" l="1"/>
  <c r="M54" i="27" s="1"/>
  <c r="M63" i="27"/>
  <c r="M64" i="27" s="1"/>
  <c r="M43" i="27"/>
  <c r="M44" i="27" s="1"/>
  <c r="L32" i="27"/>
  <c r="L33" i="27" s="1"/>
  <c r="G21" i="27"/>
  <c r="G22" i="27" s="1"/>
  <c r="G73" i="27"/>
  <c r="L34" i="27" l="1"/>
  <c r="M32" i="27" s="1"/>
  <c r="K12" i="29" s="1"/>
  <c r="G74" i="27"/>
  <c r="H72" i="27" s="1"/>
  <c r="G23" i="27"/>
  <c r="G24" i="27" l="1"/>
  <c r="H21" i="27" l="1"/>
  <c r="H22" i="27" s="1"/>
  <c r="H73" i="27"/>
  <c r="H74" i="27" l="1"/>
  <c r="I72" i="27" s="1"/>
  <c r="H23" i="27"/>
  <c r="H24" i="27" l="1"/>
  <c r="I21" i="27" l="1"/>
  <c r="I22" i="27" s="1"/>
  <c r="I73" i="27"/>
  <c r="I74" i="27" l="1"/>
  <c r="J72" i="27" s="1"/>
  <c r="I23" i="27"/>
  <c r="I24" i="27" l="1"/>
  <c r="AC60" i="11"/>
  <c r="AC61" i="11"/>
  <c r="AC62" i="11"/>
  <c r="AC63" i="11"/>
  <c r="AC64" i="11"/>
  <c r="AC65" i="11"/>
  <c r="AD104" i="1"/>
  <c r="AE104" i="1" s="1"/>
  <c r="AF104" i="1" s="1"/>
  <c r="AG104" i="1" s="1"/>
  <c r="AH104" i="1" s="1"/>
  <c r="AI104" i="1" s="1"/>
  <c r="AJ104" i="1" s="1"/>
  <c r="AK104" i="1" s="1"/>
  <c r="AL104" i="1" s="1"/>
  <c r="AM104" i="1" s="1"/>
  <c r="AN104" i="1" s="1"/>
  <c r="AO104" i="1" s="1"/>
  <c r="AP104" i="1" s="1"/>
  <c r="AQ104" i="1" s="1"/>
  <c r="AR104" i="1" s="1"/>
  <c r="AS104" i="1" s="1"/>
  <c r="AT104" i="1" s="1"/>
  <c r="AU104" i="1" s="1"/>
  <c r="AV104" i="1" s="1"/>
  <c r="V98" i="1"/>
  <c r="V99" i="1" s="1"/>
  <c r="O98" i="1"/>
  <c r="O100" i="1" s="1"/>
  <c r="AC98" i="1"/>
  <c r="AC99" i="1" s="1"/>
  <c r="AB98" i="1"/>
  <c r="AB99" i="1" s="1"/>
  <c r="AA98" i="1"/>
  <c r="AA99" i="1" s="1"/>
  <c r="Z98" i="1"/>
  <c r="Z99" i="1" s="1"/>
  <c r="Y98" i="1"/>
  <c r="Y99" i="1" s="1"/>
  <c r="X98" i="1"/>
  <c r="X99" i="1" s="1"/>
  <c r="W98" i="1"/>
  <c r="W99" i="1" s="1"/>
  <c r="U98" i="1"/>
  <c r="U99" i="1" s="1"/>
  <c r="T98" i="1"/>
  <c r="T99" i="1" s="1"/>
  <c r="S98" i="1"/>
  <c r="S99" i="1" s="1"/>
  <c r="R98" i="1"/>
  <c r="R99" i="1" s="1"/>
  <c r="Q98" i="1"/>
  <c r="Q99" i="1" s="1"/>
  <c r="P98" i="1"/>
  <c r="P99" i="1" s="1"/>
  <c r="P104" i="1"/>
  <c r="Q104" i="1"/>
  <c r="R104" i="1"/>
  <c r="S104" i="1"/>
  <c r="T104" i="1"/>
  <c r="U104" i="1"/>
  <c r="V104" i="1"/>
  <c r="W104" i="1"/>
  <c r="X104" i="1"/>
  <c r="Y104" i="1"/>
  <c r="Z104" i="1"/>
  <c r="AA104" i="1"/>
  <c r="AB104" i="1"/>
  <c r="E31" i="22"/>
  <c r="C31" i="22"/>
  <c r="AD78" i="1"/>
  <c r="AE78" i="1"/>
  <c r="Y78" i="1"/>
  <c r="Y79" i="1" s="1"/>
  <c r="AA78" i="1"/>
  <c r="AB78" i="1"/>
  <c r="AC78" i="1"/>
  <c r="AF78" i="1"/>
  <c r="AG78" i="1"/>
  <c r="AH78" i="1"/>
  <c r="AI78" i="1"/>
  <c r="AM78" i="1"/>
  <c r="AN78" i="1"/>
  <c r="AO78" i="1"/>
  <c r="AP78" i="1"/>
  <c r="AQ78" i="1"/>
  <c r="AR78" i="1"/>
  <c r="AS78" i="1"/>
  <c r="AT78" i="1"/>
  <c r="AU78" i="1"/>
  <c r="AV78" i="1"/>
  <c r="AW78" i="1"/>
  <c r="AX78" i="1"/>
  <c r="O88" i="1"/>
  <c r="Q85" i="1"/>
  <c r="Q87" i="1" s="1"/>
  <c r="Q88" i="1" s="1"/>
  <c r="R85" i="1"/>
  <c r="R87" i="1" s="1"/>
  <c r="R88" i="1" s="1"/>
  <c r="S85" i="1"/>
  <c r="S87" i="1" s="1"/>
  <c r="S88" i="1" s="1"/>
  <c r="T85" i="1"/>
  <c r="U85" i="1"/>
  <c r="U87" i="1" s="1"/>
  <c r="U88" i="1" s="1"/>
  <c r="V85" i="1"/>
  <c r="V87" i="1" s="1"/>
  <c r="V88" i="1" s="1"/>
  <c r="W85" i="1"/>
  <c r="W87" i="1" s="1"/>
  <c r="W88" i="1" s="1"/>
  <c r="X85" i="1"/>
  <c r="X87" i="1" s="1"/>
  <c r="X88" i="1" s="1"/>
  <c r="Y85" i="1"/>
  <c r="Y87" i="1" s="1"/>
  <c r="Y88" i="1" s="1"/>
  <c r="Z85" i="1"/>
  <c r="Z87" i="1" s="1"/>
  <c r="Z88" i="1" s="1"/>
  <c r="AA85" i="1"/>
  <c r="AA87" i="1" s="1"/>
  <c r="AA88" i="1" s="1"/>
  <c r="AB85" i="1"/>
  <c r="AC85" i="1"/>
  <c r="AC87" i="1" s="1"/>
  <c r="AC88" i="1" s="1"/>
  <c r="AD85" i="1"/>
  <c r="AD87" i="1" s="1"/>
  <c r="AD88" i="1" s="1"/>
  <c r="AE85" i="1"/>
  <c r="AE87" i="1" s="1"/>
  <c r="AE88" i="1" s="1"/>
  <c r="AF85" i="1"/>
  <c r="AF87" i="1" s="1"/>
  <c r="AF88" i="1" s="1"/>
  <c r="AG85" i="1"/>
  <c r="AG87" i="1" s="1"/>
  <c r="AG88" i="1" s="1"/>
  <c r="AH85" i="1"/>
  <c r="AH87" i="1" s="1"/>
  <c r="AH88" i="1" s="1"/>
  <c r="AI85" i="1"/>
  <c r="AJ85" i="1"/>
  <c r="AJ87" i="1" s="1"/>
  <c r="AJ88" i="1" s="1"/>
  <c r="AK85" i="1"/>
  <c r="AK87" i="1" s="1"/>
  <c r="AK88" i="1" s="1"/>
  <c r="AL85" i="1"/>
  <c r="AL87" i="1" s="1"/>
  <c r="AL88" i="1" s="1"/>
  <c r="P87" i="1"/>
  <c r="P88" i="1" s="1"/>
  <c r="AM88" i="1"/>
  <c r="AN88" i="1"/>
  <c r="AO87" i="1"/>
  <c r="AO88" i="1" s="1"/>
  <c r="AP87" i="1"/>
  <c r="AP88" i="1" s="1"/>
  <c r="AQ87" i="1"/>
  <c r="AQ88" i="1" s="1"/>
  <c r="AR87" i="1"/>
  <c r="AR88" i="1" s="1"/>
  <c r="AS87" i="1"/>
  <c r="AS88" i="1" s="1"/>
  <c r="AT87" i="1"/>
  <c r="AT88" i="1" s="1"/>
  <c r="AU87" i="1"/>
  <c r="AU88" i="1" s="1"/>
  <c r="O87" i="1"/>
  <c r="AI87" i="1"/>
  <c r="AI88" i="1" s="1"/>
  <c r="AB87" i="1"/>
  <c r="AB88" i="1" s="1"/>
  <c r="T87" i="1"/>
  <c r="T88" i="1" s="1"/>
  <c r="X8" i="1"/>
  <c r="X14" i="11"/>
  <c r="P7" i="1"/>
  <c r="P8" i="1" s="1"/>
  <c r="E8" i="1"/>
  <c r="E10" i="1" s="1"/>
  <c r="E11" i="1" s="1"/>
  <c r="F8" i="1"/>
  <c r="G8" i="1"/>
  <c r="H8" i="1"/>
  <c r="I8" i="1"/>
  <c r="J8" i="1"/>
  <c r="K8" i="1"/>
  <c r="L8" i="1"/>
  <c r="M8" i="1"/>
  <c r="N8" i="1"/>
  <c r="O8" i="1"/>
  <c r="Q8" i="1"/>
  <c r="R8" i="1"/>
  <c r="S8" i="1"/>
  <c r="T8" i="1"/>
  <c r="U8" i="1"/>
  <c r="V8" i="1"/>
  <c r="W8" i="1"/>
  <c r="Z8" i="1"/>
  <c r="AA8" i="1"/>
  <c r="AB8" i="1"/>
  <c r="AC8" i="1"/>
  <c r="AD8" i="1"/>
  <c r="AE8" i="1"/>
  <c r="AF8" i="1"/>
  <c r="AG8" i="1"/>
  <c r="AH8" i="1"/>
  <c r="AI8" i="1"/>
  <c r="AJ8" i="1"/>
  <c r="AK8" i="1"/>
  <c r="AL8" i="1"/>
  <c r="AM8" i="1"/>
  <c r="AN8" i="1"/>
  <c r="AO8" i="1"/>
  <c r="AP8" i="1"/>
  <c r="AQ8" i="1"/>
  <c r="AR8" i="1"/>
  <c r="AS8" i="1"/>
  <c r="AT8" i="1"/>
  <c r="AU8" i="1"/>
  <c r="AV8" i="1"/>
  <c r="AW8" i="1"/>
  <c r="AX8" i="1"/>
  <c r="P15" i="1"/>
  <c r="E17" i="1"/>
  <c r="F17" i="1"/>
  <c r="G17" i="1"/>
  <c r="H17" i="1"/>
  <c r="I17" i="1"/>
  <c r="J17" i="1"/>
  <c r="K17" i="1"/>
  <c r="L17" i="1"/>
  <c r="M17" i="1"/>
  <c r="N17" i="1"/>
  <c r="O17" i="1"/>
  <c r="AC14" i="11"/>
  <c r="AC20" i="11" s="1"/>
  <c r="AC19" i="11"/>
  <c r="AD14" i="11"/>
  <c r="AD19" i="11"/>
  <c r="AD28" i="11"/>
  <c r="P28" i="1"/>
  <c r="D3" i="22" s="1"/>
  <c r="Q28" i="1"/>
  <c r="E3" i="22" s="1"/>
  <c r="S3" i="22"/>
  <c r="AC15" i="11"/>
  <c r="AD15" i="11"/>
  <c r="AD32" i="11" s="1"/>
  <c r="AE37" i="1" s="1"/>
  <c r="P38" i="1"/>
  <c r="D10" i="22" s="1"/>
  <c r="Q38" i="1"/>
  <c r="E10" i="22" s="1"/>
  <c r="S10" i="22"/>
  <c r="AC16" i="11"/>
  <c r="AD16" i="11"/>
  <c r="P48" i="1"/>
  <c r="D17" i="22" s="1"/>
  <c r="Q48" i="1"/>
  <c r="S17" i="22"/>
  <c r="AC17" i="11"/>
  <c r="AD17" i="11"/>
  <c r="P58" i="1"/>
  <c r="D24" i="22" s="1"/>
  <c r="S24" i="22"/>
  <c r="AC18" i="11"/>
  <c r="AD18" i="11"/>
  <c r="AD35" i="11" s="1"/>
  <c r="AE67" i="1" s="1"/>
  <c r="P68" i="1"/>
  <c r="D31" i="22" s="1"/>
  <c r="P9" i="26"/>
  <c r="O9" i="26"/>
  <c r="N9" i="26"/>
  <c r="M9" i="26"/>
  <c r="K9" i="26"/>
  <c r="J9" i="26"/>
  <c r="I9" i="26"/>
  <c r="H9" i="26"/>
  <c r="G9" i="26"/>
  <c r="F9" i="26"/>
  <c r="E9" i="26"/>
  <c r="D9" i="26"/>
  <c r="L7" i="26"/>
  <c r="L9" i="26" s="1"/>
  <c r="C3" i="22"/>
  <c r="E24" i="22"/>
  <c r="C24" i="22"/>
  <c r="C17" i="22"/>
  <c r="S31" i="22"/>
  <c r="C10" i="22"/>
  <c r="Q7" i="26"/>
  <c r="Q9" i="26" s="1"/>
  <c r="T10" i="11"/>
  <c r="U19" i="11" s="1"/>
  <c r="H17" i="22"/>
  <c r="I17" i="22"/>
  <c r="J17" i="22"/>
  <c r="K17" i="22"/>
  <c r="L17" i="22"/>
  <c r="M17" i="22"/>
  <c r="N17" i="22"/>
  <c r="O17" i="22"/>
  <c r="P17" i="22"/>
  <c r="Q17" i="22"/>
  <c r="R17" i="22"/>
  <c r="T17" i="22"/>
  <c r="U17" i="22"/>
  <c r="V17" i="22"/>
  <c r="W17" i="22"/>
  <c r="X17" i="22"/>
  <c r="Y17" i="22"/>
  <c r="Z17" i="22"/>
  <c r="G17" i="22"/>
  <c r="H31" i="22"/>
  <c r="I31" i="22"/>
  <c r="J31" i="22"/>
  <c r="K31" i="22"/>
  <c r="L31" i="22"/>
  <c r="M31" i="22"/>
  <c r="N31" i="22"/>
  <c r="O31" i="22"/>
  <c r="P31" i="22"/>
  <c r="Q31" i="22"/>
  <c r="R31" i="22"/>
  <c r="T31" i="22"/>
  <c r="U31" i="22"/>
  <c r="V31" i="22"/>
  <c r="W31" i="22"/>
  <c r="X31" i="22"/>
  <c r="Y31" i="22"/>
  <c r="Z31" i="22"/>
  <c r="G31" i="22"/>
  <c r="H24" i="22"/>
  <c r="I24" i="22"/>
  <c r="J24" i="22"/>
  <c r="K24" i="22"/>
  <c r="L24" i="22"/>
  <c r="M24" i="22"/>
  <c r="N24" i="22"/>
  <c r="O24" i="22"/>
  <c r="P24" i="22"/>
  <c r="P27" i="22" s="1"/>
  <c r="P28" i="22" s="1"/>
  <c r="P29" i="22" s="1"/>
  <c r="AA60" i="27" s="1"/>
  <c r="AA61" i="27" s="1"/>
  <c r="Q24" i="22"/>
  <c r="Q26" i="22" s="1"/>
  <c r="R24" i="22"/>
  <c r="T24" i="22"/>
  <c r="U24" i="22"/>
  <c r="V24" i="22"/>
  <c r="W24" i="22"/>
  <c r="X24" i="22"/>
  <c r="Y24" i="22"/>
  <c r="Z24" i="22"/>
  <c r="G24" i="22"/>
  <c r="H10" i="22"/>
  <c r="I10" i="22"/>
  <c r="J10" i="22"/>
  <c r="K10" i="22"/>
  <c r="L10" i="22"/>
  <c r="M10" i="22"/>
  <c r="N10" i="22"/>
  <c r="O10" i="22"/>
  <c r="P10" i="22"/>
  <c r="Q10" i="22"/>
  <c r="R10" i="22"/>
  <c r="T10" i="22"/>
  <c r="U10" i="22"/>
  <c r="V10" i="22"/>
  <c r="W10" i="22"/>
  <c r="X10" i="22"/>
  <c r="Y10" i="22"/>
  <c r="Z10" i="22"/>
  <c r="G10" i="22"/>
  <c r="H3" i="22"/>
  <c r="I3" i="22"/>
  <c r="J3" i="22"/>
  <c r="K3" i="22"/>
  <c r="L3" i="22"/>
  <c r="M3" i="22"/>
  <c r="N3" i="22"/>
  <c r="O3" i="22"/>
  <c r="P3" i="22"/>
  <c r="P6" i="22" s="1"/>
  <c r="Q3" i="22"/>
  <c r="Q4" i="22" s="1"/>
  <c r="R3" i="22"/>
  <c r="T3" i="22"/>
  <c r="U3" i="22"/>
  <c r="V3" i="22"/>
  <c r="W3" i="22"/>
  <c r="X3" i="22"/>
  <c r="Y3" i="22"/>
  <c r="Z3" i="22"/>
  <c r="G3" i="22"/>
  <c r="F31" i="22"/>
  <c r="F32" i="22" s="1"/>
  <c r="F24" i="22"/>
  <c r="Q52" i="11"/>
  <c r="F17" i="22" s="1"/>
  <c r="Q51" i="11"/>
  <c r="Q50" i="11"/>
  <c r="F3" i="22" s="1"/>
  <c r="AW64" i="11"/>
  <c r="AV64" i="11"/>
  <c r="AT64" i="11"/>
  <c r="AS64" i="11"/>
  <c r="AR64" i="11"/>
  <c r="AQ64" i="11"/>
  <c r="AP64" i="11"/>
  <c r="AO64" i="11"/>
  <c r="AN64" i="11"/>
  <c r="AM64" i="11"/>
  <c r="AL64" i="11"/>
  <c r="AK64" i="11"/>
  <c r="AJ64" i="11"/>
  <c r="AI64" i="11"/>
  <c r="AH64" i="11"/>
  <c r="AG64" i="11"/>
  <c r="AF64" i="11"/>
  <c r="AE64" i="11"/>
  <c r="AD64" i="11"/>
  <c r="AB64" i="11"/>
  <c r="AA64" i="11"/>
  <c r="Z64" i="11"/>
  <c r="Y64" i="11"/>
  <c r="X64" i="11"/>
  <c r="W64" i="11"/>
  <c r="V64" i="11"/>
  <c r="U64" i="11"/>
  <c r="T64" i="11"/>
  <c r="S64" i="11"/>
  <c r="R64" i="11"/>
  <c r="Q64" i="11"/>
  <c r="P64" i="11"/>
  <c r="O64" i="11"/>
  <c r="N64" i="11"/>
  <c r="M64" i="11"/>
  <c r="L64" i="11"/>
  <c r="K64" i="11"/>
  <c r="J64" i="11"/>
  <c r="I64" i="11"/>
  <c r="H64" i="11"/>
  <c r="G64" i="11"/>
  <c r="F64" i="11"/>
  <c r="E64" i="11"/>
  <c r="D64" i="11"/>
  <c r="AW63" i="11"/>
  <c r="AV63" i="11"/>
  <c r="AT63" i="11"/>
  <c r="AS63" i="11"/>
  <c r="AR63" i="11"/>
  <c r="AQ63" i="11"/>
  <c r="AP63" i="11"/>
  <c r="AO63" i="11"/>
  <c r="AN63" i="11"/>
  <c r="AM63" i="11"/>
  <c r="AL63" i="11"/>
  <c r="AK63" i="11"/>
  <c r="AJ63" i="11"/>
  <c r="AI63" i="11"/>
  <c r="AH63" i="11"/>
  <c r="AG63" i="11"/>
  <c r="AF63" i="11"/>
  <c r="AE63" i="11"/>
  <c r="AD63" i="11"/>
  <c r="AB63" i="11"/>
  <c r="AA63" i="11"/>
  <c r="Z63" i="11"/>
  <c r="Y63" i="11"/>
  <c r="X63" i="11"/>
  <c r="W63" i="11"/>
  <c r="V63" i="11"/>
  <c r="U63" i="11"/>
  <c r="T63" i="11"/>
  <c r="S63" i="11"/>
  <c r="R63" i="11"/>
  <c r="Q63" i="11"/>
  <c r="P63" i="11"/>
  <c r="O63" i="11"/>
  <c r="N63" i="11"/>
  <c r="M63" i="11"/>
  <c r="L63" i="11"/>
  <c r="K63" i="11"/>
  <c r="J63" i="11"/>
  <c r="I63" i="11"/>
  <c r="H63" i="11"/>
  <c r="G63" i="11"/>
  <c r="F63" i="11"/>
  <c r="E63" i="11"/>
  <c r="D63" i="11"/>
  <c r="AW62" i="11"/>
  <c r="AV62" i="11"/>
  <c r="AT62" i="11"/>
  <c r="AS62" i="11"/>
  <c r="AR62" i="11"/>
  <c r="AQ62" i="11"/>
  <c r="AP62" i="11"/>
  <c r="AO62" i="11"/>
  <c r="AN62" i="11"/>
  <c r="AM62" i="11"/>
  <c r="AL62" i="11"/>
  <c r="AK62" i="11"/>
  <c r="AJ62" i="11"/>
  <c r="AI62" i="11"/>
  <c r="AH62" i="11"/>
  <c r="AG62" i="11"/>
  <c r="AF62" i="11"/>
  <c r="AE62" i="11"/>
  <c r="AD62" i="11"/>
  <c r="AB62" i="11"/>
  <c r="AA62" i="11"/>
  <c r="Z62" i="11"/>
  <c r="Y62" i="11"/>
  <c r="X62" i="11"/>
  <c r="W62" i="11"/>
  <c r="V62" i="11"/>
  <c r="U62" i="11"/>
  <c r="T62" i="11"/>
  <c r="S62" i="11"/>
  <c r="R62" i="11"/>
  <c r="Q62" i="11"/>
  <c r="P62" i="11"/>
  <c r="O62" i="11"/>
  <c r="N62" i="11"/>
  <c r="M62" i="11"/>
  <c r="L62" i="11"/>
  <c r="K62" i="11"/>
  <c r="J62" i="11"/>
  <c r="I62" i="11"/>
  <c r="H62" i="11"/>
  <c r="G62" i="11"/>
  <c r="F62" i="11"/>
  <c r="E62" i="11"/>
  <c r="D62" i="11"/>
  <c r="AW61" i="11"/>
  <c r="AV61" i="11"/>
  <c r="AT61" i="11"/>
  <c r="AS61" i="11"/>
  <c r="AR61" i="11"/>
  <c r="AQ61" i="11"/>
  <c r="AP61" i="11"/>
  <c r="AO61" i="11"/>
  <c r="AN61" i="11"/>
  <c r="AM61" i="11"/>
  <c r="AL61" i="11"/>
  <c r="AK61" i="11"/>
  <c r="AJ61" i="11"/>
  <c r="AI61" i="11"/>
  <c r="AH61" i="11"/>
  <c r="AG61" i="11"/>
  <c r="AF61" i="11"/>
  <c r="AE61" i="11"/>
  <c r="AD61" i="11"/>
  <c r="AB61" i="11"/>
  <c r="AB65" i="11" s="1"/>
  <c r="AA61" i="11"/>
  <c r="Z61" i="11"/>
  <c r="Y61" i="11"/>
  <c r="X61" i="11"/>
  <c r="W61" i="11"/>
  <c r="V61" i="11"/>
  <c r="U61" i="11"/>
  <c r="T61" i="11"/>
  <c r="S61" i="11"/>
  <c r="R61" i="11"/>
  <c r="Q61" i="11"/>
  <c r="P61" i="11"/>
  <c r="P65" i="11" s="1"/>
  <c r="O61" i="11"/>
  <c r="O65" i="11" s="1"/>
  <c r="O69" i="11" s="1"/>
  <c r="N61" i="11"/>
  <c r="M61" i="11"/>
  <c r="L61" i="11"/>
  <c r="K61" i="11"/>
  <c r="J61" i="11"/>
  <c r="I61" i="11"/>
  <c r="H61" i="11"/>
  <c r="G61" i="11"/>
  <c r="F61" i="11"/>
  <c r="E61" i="11"/>
  <c r="D61" i="11"/>
  <c r="AW60" i="11"/>
  <c r="AV60" i="11"/>
  <c r="AT60" i="11"/>
  <c r="AS60" i="11"/>
  <c r="AR60" i="11"/>
  <c r="AQ60" i="11"/>
  <c r="AP60" i="11"/>
  <c r="AO60" i="11"/>
  <c r="AN60" i="11"/>
  <c r="AM60" i="11"/>
  <c r="AL60" i="11"/>
  <c r="AK60" i="11"/>
  <c r="AJ60" i="11"/>
  <c r="AI60" i="11"/>
  <c r="AH60" i="11"/>
  <c r="AG60" i="11"/>
  <c r="AF60" i="11"/>
  <c r="AE60" i="11"/>
  <c r="AD60" i="11"/>
  <c r="AB60" i="11"/>
  <c r="AA60" i="11"/>
  <c r="Z60" i="11"/>
  <c r="Y60" i="11"/>
  <c r="X60" i="11"/>
  <c r="W60" i="11"/>
  <c r="W65" i="11" s="1"/>
  <c r="V60" i="11"/>
  <c r="U60" i="11"/>
  <c r="T60" i="11"/>
  <c r="S60" i="11"/>
  <c r="R60" i="11"/>
  <c r="Q60" i="11"/>
  <c r="P60" i="11"/>
  <c r="O60" i="11"/>
  <c r="N60" i="11"/>
  <c r="M60" i="11"/>
  <c r="L60" i="11"/>
  <c r="K60" i="11"/>
  <c r="J60" i="11"/>
  <c r="J65" i="11" s="1"/>
  <c r="J68" i="11" s="1"/>
  <c r="I60" i="11"/>
  <c r="H60" i="11"/>
  <c r="G60" i="11"/>
  <c r="F60" i="11"/>
  <c r="E60" i="11"/>
  <c r="D60" i="11"/>
  <c r="AW55" i="11"/>
  <c r="AV55" i="11"/>
  <c r="AU55" i="11"/>
  <c r="AT55" i="11"/>
  <c r="AS55" i="11"/>
  <c r="AR55" i="11"/>
  <c r="AQ55" i="11"/>
  <c r="AR32" i="26" s="1"/>
  <c r="AP55" i="11"/>
  <c r="AQ32" i="26" s="1"/>
  <c r="AO55" i="11"/>
  <c r="AP32" i="26" s="1"/>
  <c r="AN55" i="11"/>
  <c r="AO32" i="26" s="1"/>
  <c r="AM55" i="11"/>
  <c r="AN32" i="26" s="1"/>
  <c r="AL55" i="11"/>
  <c r="AM32" i="26" s="1"/>
  <c r="AK55" i="11"/>
  <c r="AL32" i="26" s="1"/>
  <c r="AJ55" i="11"/>
  <c r="AK32" i="26" s="1"/>
  <c r="AI55" i="11"/>
  <c r="AJ32" i="26" s="1"/>
  <c r="AH55" i="11"/>
  <c r="AI32" i="26" s="1"/>
  <c r="AG55" i="11"/>
  <c r="AH32" i="26" s="1"/>
  <c r="AF55" i="11"/>
  <c r="AG32" i="26" s="1"/>
  <c r="AE55" i="11"/>
  <c r="AF32" i="26" s="1"/>
  <c r="AD55" i="11"/>
  <c r="AE32" i="26" s="1"/>
  <c r="AC55" i="11"/>
  <c r="AD32" i="26" s="1"/>
  <c r="AB55" i="11"/>
  <c r="AC32" i="26" s="1"/>
  <c r="AA55" i="11"/>
  <c r="AB32" i="26" s="1"/>
  <c r="Z55" i="11"/>
  <c r="AA32" i="26" s="1"/>
  <c r="Y55" i="11"/>
  <c r="Z32" i="26" s="1"/>
  <c r="X55" i="11"/>
  <c r="Y32" i="26" s="1"/>
  <c r="W55" i="11"/>
  <c r="X32" i="26" s="1"/>
  <c r="V55" i="11"/>
  <c r="W32" i="26" s="1"/>
  <c r="U55" i="11"/>
  <c r="V32" i="26" s="1"/>
  <c r="T55" i="11"/>
  <c r="U32" i="26" s="1"/>
  <c r="S55" i="11"/>
  <c r="T32" i="26" s="1"/>
  <c r="R55" i="11"/>
  <c r="S32" i="26" s="1"/>
  <c r="P55" i="11"/>
  <c r="O55" i="11"/>
  <c r="N55" i="11"/>
  <c r="M55" i="11"/>
  <c r="L55" i="11"/>
  <c r="K55" i="11"/>
  <c r="J55" i="11"/>
  <c r="I55" i="11"/>
  <c r="H55" i="11"/>
  <c r="G55" i="11"/>
  <c r="F55" i="11"/>
  <c r="E55" i="11"/>
  <c r="D55" i="11"/>
  <c r="AU65" i="11"/>
  <c r="AU68" i="11" s="1"/>
  <c r="AV28" i="1" s="1"/>
  <c r="AV29" i="1" s="1"/>
  <c r="AV30" i="1" s="1"/>
  <c r="E33" i="22"/>
  <c r="E32" i="22"/>
  <c r="E34" i="22" s="1"/>
  <c r="E35" i="22" s="1"/>
  <c r="E26" i="22"/>
  <c r="E25" i="22"/>
  <c r="E19" i="22"/>
  <c r="E18" i="22"/>
  <c r="E12" i="22"/>
  <c r="E11" i="22"/>
  <c r="E5" i="22"/>
  <c r="E4" i="22"/>
  <c r="E6" i="22" s="1"/>
  <c r="E7" i="22" s="1"/>
  <c r="Q12" i="22"/>
  <c r="Q11" i="22"/>
  <c r="Q32" i="22"/>
  <c r="R32" i="22" s="1"/>
  <c r="Q33" i="22"/>
  <c r="R33" i="22" s="1"/>
  <c r="D6" i="22"/>
  <c r="D7" i="22" s="1"/>
  <c r="D34" i="22"/>
  <c r="D35" i="22" s="1"/>
  <c r="C34" i="22"/>
  <c r="C35" i="22"/>
  <c r="D27" i="22"/>
  <c r="D28" i="22" s="1"/>
  <c r="C27" i="22"/>
  <c r="C28" i="22" s="1"/>
  <c r="D20" i="22"/>
  <c r="D21" i="22" s="1"/>
  <c r="C20" i="22"/>
  <c r="C21" i="22"/>
  <c r="D13" i="22"/>
  <c r="D14" i="22" s="1"/>
  <c r="C13" i="22"/>
  <c r="C14" i="22"/>
  <c r="C6" i="22"/>
  <c r="C7" i="22" s="1"/>
  <c r="F14" i="11"/>
  <c r="D14" i="11"/>
  <c r="G14" i="11"/>
  <c r="H14" i="11"/>
  <c r="I14" i="11"/>
  <c r="J14" i="11"/>
  <c r="K14" i="11"/>
  <c r="L14" i="11"/>
  <c r="M14" i="11"/>
  <c r="N14" i="11"/>
  <c r="O14" i="11"/>
  <c r="P14" i="11"/>
  <c r="Q14" i="11"/>
  <c r="R14" i="11"/>
  <c r="S14" i="11"/>
  <c r="T14" i="11"/>
  <c r="U14" i="11"/>
  <c r="V14" i="11"/>
  <c r="W14" i="11"/>
  <c r="Y14" i="11"/>
  <c r="Z14" i="11"/>
  <c r="AA14" i="11"/>
  <c r="AB14" i="11"/>
  <c r="AE14" i="11"/>
  <c r="AF14" i="11"/>
  <c r="AG14" i="11"/>
  <c r="AH14" i="11"/>
  <c r="AI14" i="11"/>
  <c r="AJ14" i="11"/>
  <c r="AK14" i="11"/>
  <c r="AL14" i="11"/>
  <c r="AM14" i="11"/>
  <c r="AN14" i="11"/>
  <c r="AO14" i="11"/>
  <c r="AP14" i="11"/>
  <c r="AQ14" i="11"/>
  <c r="AR14" i="11"/>
  <c r="AS14" i="11"/>
  <c r="AT14" i="11"/>
  <c r="AU14" i="11"/>
  <c r="AW14" i="11"/>
  <c r="F15" i="11"/>
  <c r="G15" i="11"/>
  <c r="H15" i="11"/>
  <c r="I15" i="11"/>
  <c r="J15" i="11"/>
  <c r="K15" i="11"/>
  <c r="L15" i="11"/>
  <c r="M15" i="11"/>
  <c r="N15" i="11"/>
  <c r="O15" i="11"/>
  <c r="P15" i="11"/>
  <c r="Q15" i="11"/>
  <c r="R15" i="11"/>
  <c r="S15" i="11"/>
  <c r="T15" i="11"/>
  <c r="U15" i="11"/>
  <c r="V15" i="11"/>
  <c r="W15" i="11"/>
  <c r="X15" i="11"/>
  <c r="Y15" i="11"/>
  <c r="Z15" i="11"/>
  <c r="AA15" i="11"/>
  <c r="AB15" i="11"/>
  <c r="AE15" i="11"/>
  <c r="AF15" i="11"/>
  <c r="AG15" i="11"/>
  <c r="AH15" i="11"/>
  <c r="AI15" i="11"/>
  <c r="AJ15" i="11"/>
  <c r="AK15" i="11"/>
  <c r="AL15" i="11"/>
  <c r="AM15" i="11"/>
  <c r="AN15" i="11"/>
  <c r="AO15" i="11"/>
  <c r="AP15" i="11"/>
  <c r="AQ15" i="11"/>
  <c r="AR15" i="11"/>
  <c r="AS15" i="11"/>
  <c r="AT15" i="11"/>
  <c r="AU15" i="11"/>
  <c r="AV15" i="11"/>
  <c r="AW15" i="11"/>
  <c r="F16" i="11"/>
  <c r="G16" i="11"/>
  <c r="H16" i="11"/>
  <c r="I16" i="11"/>
  <c r="J16" i="11"/>
  <c r="K16" i="11"/>
  <c r="L16" i="11"/>
  <c r="M16" i="11"/>
  <c r="N16" i="11"/>
  <c r="O16" i="11"/>
  <c r="P16" i="11"/>
  <c r="Q16" i="11"/>
  <c r="R16" i="11"/>
  <c r="S16" i="11"/>
  <c r="T16" i="11"/>
  <c r="U16" i="11"/>
  <c r="V16" i="11"/>
  <c r="W16" i="11"/>
  <c r="X16" i="11"/>
  <c r="Y16" i="11"/>
  <c r="Z16" i="11"/>
  <c r="AA16" i="11"/>
  <c r="AB16" i="11"/>
  <c r="AE16" i="11"/>
  <c r="AF16" i="11"/>
  <c r="AG16" i="11"/>
  <c r="AH16" i="11"/>
  <c r="AI16" i="11"/>
  <c r="AJ16" i="11"/>
  <c r="AK16" i="11"/>
  <c r="AL16" i="11"/>
  <c r="AM16" i="11"/>
  <c r="AN16" i="11"/>
  <c r="AO16" i="11"/>
  <c r="AP16" i="11"/>
  <c r="AQ16" i="11"/>
  <c r="AR16" i="11"/>
  <c r="AS16" i="11"/>
  <c r="AT16" i="11"/>
  <c r="AU16" i="11"/>
  <c r="AV16" i="11"/>
  <c r="AW16" i="11"/>
  <c r="F17" i="11"/>
  <c r="G17" i="11"/>
  <c r="H17" i="11"/>
  <c r="I17" i="11"/>
  <c r="J17" i="11"/>
  <c r="K17" i="11"/>
  <c r="L17" i="11"/>
  <c r="M17" i="11"/>
  <c r="N17" i="11"/>
  <c r="O17" i="11"/>
  <c r="P17" i="11"/>
  <c r="Q17" i="11"/>
  <c r="R17" i="11"/>
  <c r="S17" i="11"/>
  <c r="T17" i="11"/>
  <c r="U17" i="11"/>
  <c r="V17" i="11"/>
  <c r="W17" i="11"/>
  <c r="X17" i="11"/>
  <c r="Y17" i="11"/>
  <c r="Z17" i="11"/>
  <c r="AA17" i="11"/>
  <c r="AB17" i="11"/>
  <c r="AE17" i="11"/>
  <c r="AF17" i="11"/>
  <c r="AG17" i="11"/>
  <c r="AH17" i="11"/>
  <c r="AI17" i="11"/>
  <c r="AJ17" i="11"/>
  <c r="AK17" i="11"/>
  <c r="AL17" i="11"/>
  <c r="AM17" i="11"/>
  <c r="AN17" i="11"/>
  <c r="AO17" i="11"/>
  <c r="AP17" i="11"/>
  <c r="AQ17" i="11"/>
  <c r="AR17" i="11"/>
  <c r="AS17" i="11"/>
  <c r="AT17" i="11"/>
  <c r="AU17" i="11"/>
  <c r="AV17" i="11"/>
  <c r="AW17" i="11"/>
  <c r="F18" i="11"/>
  <c r="G18" i="11"/>
  <c r="H18" i="11"/>
  <c r="I18" i="11"/>
  <c r="J18" i="11"/>
  <c r="K18" i="11"/>
  <c r="L18" i="11"/>
  <c r="M18" i="11"/>
  <c r="N18" i="11"/>
  <c r="O18" i="11"/>
  <c r="P18" i="11"/>
  <c r="Q18" i="11"/>
  <c r="R18" i="11"/>
  <c r="S18" i="11"/>
  <c r="T18" i="11"/>
  <c r="U18" i="11"/>
  <c r="V18" i="11"/>
  <c r="W18" i="11"/>
  <c r="X18" i="11"/>
  <c r="Y18" i="11"/>
  <c r="Z18" i="11"/>
  <c r="AA18" i="11"/>
  <c r="AB18" i="11"/>
  <c r="AE18" i="11"/>
  <c r="AF18" i="11"/>
  <c r="AG18" i="11"/>
  <c r="AH18" i="11"/>
  <c r="AI18" i="11"/>
  <c r="AJ18" i="11"/>
  <c r="AK18" i="11"/>
  <c r="AL18" i="11"/>
  <c r="AM18" i="11"/>
  <c r="AN18" i="11"/>
  <c r="AO18" i="11"/>
  <c r="AP18" i="11"/>
  <c r="AQ18" i="11"/>
  <c r="AR18" i="11"/>
  <c r="AS18" i="11"/>
  <c r="AT18" i="11"/>
  <c r="AU18" i="11"/>
  <c r="AV18" i="11"/>
  <c r="AW18" i="11"/>
  <c r="F19" i="11"/>
  <c r="G19" i="11"/>
  <c r="H19" i="11"/>
  <c r="I19" i="11"/>
  <c r="J19" i="11"/>
  <c r="K19" i="11"/>
  <c r="L19" i="11"/>
  <c r="M19" i="11"/>
  <c r="N19" i="11"/>
  <c r="O19" i="11"/>
  <c r="P19" i="11"/>
  <c r="Q19" i="11"/>
  <c r="R19" i="11"/>
  <c r="S19" i="11"/>
  <c r="V19" i="11"/>
  <c r="W19" i="11"/>
  <c r="X19" i="11"/>
  <c r="Y19" i="11"/>
  <c r="Z19" i="11"/>
  <c r="AA19" i="11"/>
  <c r="AB19" i="11"/>
  <c r="AE19" i="11"/>
  <c r="AF19" i="11"/>
  <c r="AG19" i="11"/>
  <c r="AH19" i="11"/>
  <c r="AI19" i="11"/>
  <c r="AJ19" i="11"/>
  <c r="AK19" i="11"/>
  <c r="AL19" i="11"/>
  <c r="AM19" i="11"/>
  <c r="AN19" i="11"/>
  <c r="AO19" i="11"/>
  <c r="AP19" i="11"/>
  <c r="AQ19" i="11"/>
  <c r="AR19" i="11"/>
  <c r="AS19" i="11"/>
  <c r="AT19" i="11"/>
  <c r="AU19" i="11"/>
  <c r="AW19" i="11"/>
  <c r="E15" i="11"/>
  <c r="E16" i="11"/>
  <c r="E17" i="11"/>
  <c r="E18" i="11"/>
  <c r="E19" i="11"/>
  <c r="E14" i="11"/>
  <c r="K11" i="11"/>
  <c r="L11" i="11"/>
  <c r="K28" i="11"/>
  <c r="L28" i="11"/>
  <c r="I11" i="11"/>
  <c r="J11" i="11"/>
  <c r="J28" i="11"/>
  <c r="D11" i="11"/>
  <c r="D15" i="11"/>
  <c r="D16" i="11"/>
  <c r="D17" i="11"/>
  <c r="D18" i="11"/>
  <c r="D19" i="11"/>
  <c r="D28" i="11"/>
  <c r="F11" i="11"/>
  <c r="F28" i="11"/>
  <c r="F32" i="11" s="1"/>
  <c r="G37" i="1" s="1"/>
  <c r="G41" i="1" s="1"/>
  <c r="H11" i="11"/>
  <c r="H28" i="11"/>
  <c r="E11" i="11"/>
  <c r="G11" i="11"/>
  <c r="M11" i="11"/>
  <c r="N11" i="11"/>
  <c r="O11" i="11"/>
  <c r="P11" i="11"/>
  <c r="Q11" i="11"/>
  <c r="R11" i="11"/>
  <c r="S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E28" i="11"/>
  <c r="G28" i="11"/>
  <c r="I28" i="11"/>
  <c r="M28" i="11"/>
  <c r="N28" i="11"/>
  <c r="O28" i="11"/>
  <c r="P28" i="11"/>
  <c r="Q28" i="11"/>
  <c r="R28" i="11"/>
  <c r="S28" i="11"/>
  <c r="T28" i="11"/>
  <c r="U28" i="11"/>
  <c r="V28" i="11"/>
  <c r="W28" i="11"/>
  <c r="X28" i="11"/>
  <c r="Y28" i="11"/>
  <c r="Z28" i="11"/>
  <c r="AA28" i="11"/>
  <c r="AB28" i="11"/>
  <c r="AC28" i="11"/>
  <c r="AE28" i="11"/>
  <c r="AF28" i="11"/>
  <c r="AG28" i="11"/>
  <c r="AH28" i="11"/>
  <c r="AI28" i="11"/>
  <c r="AJ28" i="11"/>
  <c r="AK28" i="11"/>
  <c r="AL28" i="11"/>
  <c r="AM28" i="11"/>
  <c r="AN28" i="11"/>
  <c r="AO28" i="11"/>
  <c r="AP28" i="11"/>
  <c r="AQ28" i="11"/>
  <c r="AR28" i="11"/>
  <c r="AS28" i="11"/>
  <c r="AT28" i="11"/>
  <c r="AU28" i="11"/>
  <c r="AV28" i="11"/>
  <c r="AV31" i="11" s="1"/>
  <c r="AW27" i="1" s="1"/>
  <c r="AW28" i="11"/>
  <c r="G32" i="11"/>
  <c r="H37" i="1" s="1"/>
  <c r="H41" i="1" s="1"/>
  <c r="F35" i="11" l="1"/>
  <c r="G67" i="1" s="1"/>
  <c r="G71" i="1" s="1"/>
  <c r="N32" i="11"/>
  <c r="O37" i="1" s="1"/>
  <c r="K32" i="11"/>
  <c r="L37" i="1" s="1"/>
  <c r="L41" i="1" s="1"/>
  <c r="O20" i="11"/>
  <c r="R4" i="22"/>
  <c r="AM65" i="11"/>
  <c r="L35" i="11"/>
  <c r="M67" i="1" s="1"/>
  <c r="M71" i="1" s="1"/>
  <c r="F33" i="11"/>
  <c r="G47" i="1" s="1"/>
  <c r="G51" i="1" s="1"/>
  <c r="E31" i="11"/>
  <c r="F27" i="1" s="1"/>
  <c r="F31" i="1" s="1"/>
  <c r="D31" i="11"/>
  <c r="E27" i="1" s="1"/>
  <c r="E31" i="1" s="1"/>
  <c r="E32" i="1" s="1"/>
  <c r="E33" i="1" s="1"/>
  <c r="AA34" i="11"/>
  <c r="AB57" i="1" s="1"/>
  <c r="W34" i="11"/>
  <c r="X57" i="1" s="1"/>
  <c r="W32" i="11"/>
  <c r="X37" i="1" s="1"/>
  <c r="K31" i="11"/>
  <c r="Q34" i="11"/>
  <c r="R57" i="1" s="1"/>
  <c r="AA33" i="11"/>
  <c r="AB47" i="1" s="1"/>
  <c r="M33" i="11"/>
  <c r="N47" i="1" s="1"/>
  <c r="N51" i="1" s="1"/>
  <c r="G35" i="11"/>
  <c r="H67" i="1" s="1"/>
  <c r="H71" i="1" s="1"/>
  <c r="Y32" i="11"/>
  <c r="Z37" i="1" s="1"/>
  <c r="Q20" i="11"/>
  <c r="N65" i="11"/>
  <c r="N70" i="11" s="1"/>
  <c r="G33" i="11"/>
  <c r="H47" i="1" s="1"/>
  <c r="H51" i="1" s="1"/>
  <c r="R32" i="11"/>
  <c r="S37" i="1" s="1"/>
  <c r="L34" i="11"/>
  <c r="M57" i="1" s="1"/>
  <c r="M61" i="1" s="1"/>
  <c r="V34" i="11"/>
  <c r="W57" i="1" s="1"/>
  <c r="N31" i="11"/>
  <c r="O27" i="1" s="1"/>
  <c r="R65" i="11"/>
  <c r="AQ65" i="11"/>
  <c r="AQ71" i="11" s="1"/>
  <c r="AR58" i="1" s="1"/>
  <c r="Z35" i="11"/>
  <c r="AA67" i="1" s="1"/>
  <c r="T65" i="11"/>
  <c r="R11" i="22"/>
  <c r="P32" i="11"/>
  <c r="Q37" i="1" s="1"/>
  <c r="T71" i="11"/>
  <c r="U58" i="1" s="1"/>
  <c r="T72" i="11"/>
  <c r="U68" i="1" s="1"/>
  <c r="AO65" i="11"/>
  <c r="AO72" i="11" s="1"/>
  <c r="AP68" i="1" s="1"/>
  <c r="AP69" i="1" s="1"/>
  <c r="AP70" i="1" s="1"/>
  <c r="N33" i="11"/>
  <c r="O47" i="1" s="1"/>
  <c r="D20" i="11"/>
  <c r="R31" i="11"/>
  <c r="S27" i="1" s="1"/>
  <c r="M32" i="11"/>
  <c r="N37" i="1" s="1"/>
  <c r="N41" i="1" s="1"/>
  <c r="H31" i="11"/>
  <c r="I27" i="1" s="1"/>
  <c r="I31" i="1" s="1"/>
  <c r="F20" i="11"/>
  <c r="O31" i="11"/>
  <c r="P27" i="1" s="1"/>
  <c r="AB33" i="11"/>
  <c r="AC47" i="1" s="1"/>
  <c r="I35" i="11"/>
  <c r="J67" i="1" s="1"/>
  <c r="J71" i="1" s="1"/>
  <c r="I34" i="11"/>
  <c r="J57" i="1" s="1"/>
  <c r="J61" i="1" s="1"/>
  <c r="Q5" i="22"/>
  <c r="O72" i="11"/>
  <c r="AF20" i="11"/>
  <c r="O68" i="11"/>
  <c r="AB35" i="11"/>
  <c r="AC67" i="1" s="1"/>
  <c r="V33" i="11"/>
  <c r="W47" i="1" s="1"/>
  <c r="AR65" i="11"/>
  <c r="AR70" i="11" s="1"/>
  <c r="AS48" i="1" s="1"/>
  <c r="AS49" i="1" s="1"/>
  <c r="AS50" i="1" s="1"/>
  <c r="O32" i="11"/>
  <c r="P37" i="1" s="1"/>
  <c r="E34" i="11"/>
  <c r="F57" i="1" s="1"/>
  <c r="F61" i="1" s="1"/>
  <c r="D35" i="11"/>
  <c r="E67" i="1" s="1"/>
  <c r="E71" i="1" s="1"/>
  <c r="E72" i="1" s="1"/>
  <c r="N34" i="11"/>
  <c r="O57" i="1" s="1"/>
  <c r="D65" i="11"/>
  <c r="D68" i="11" s="1"/>
  <c r="AB31" i="11"/>
  <c r="AC27" i="1" s="1"/>
  <c r="E35" i="11"/>
  <c r="F67" i="1" s="1"/>
  <c r="F71" i="1" s="1"/>
  <c r="AP65" i="11"/>
  <c r="AP69" i="11" s="1"/>
  <c r="AQ38" i="1" s="1"/>
  <c r="AQ39" i="1" s="1"/>
  <c r="AQ40" i="1" s="1"/>
  <c r="AM71" i="11"/>
  <c r="AN58" i="1" s="1"/>
  <c r="Y31" i="11"/>
  <c r="Z27" i="1" s="1"/>
  <c r="X35" i="11"/>
  <c r="Y67" i="1" s="1"/>
  <c r="P35" i="11"/>
  <c r="Q67" i="1" s="1"/>
  <c r="S31" i="11"/>
  <c r="T27" i="1" s="1"/>
  <c r="AV65" i="11"/>
  <c r="AV72" i="11" s="1"/>
  <c r="AW68" i="1" s="1"/>
  <c r="AW69" i="1" s="1"/>
  <c r="AW70" i="1" s="1"/>
  <c r="J71" i="11"/>
  <c r="N72" i="11"/>
  <c r="AB72" i="11"/>
  <c r="AC68" i="1" s="1"/>
  <c r="U32" i="11"/>
  <c r="V37" i="1" s="1"/>
  <c r="U33" i="11"/>
  <c r="V47" i="1" s="1"/>
  <c r="P68" i="11"/>
  <c r="P70" i="11"/>
  <c r="P71" i="11"/>
  <c r="P72" i="11"/>
  <c r="U20" i="11"/>
  <c r="L32" i="11"/>
  <c r="M37" i="1" s="1"/>
  <c r="M41" i="1" s="1"/>
  <c r="M34" i="11"/>
  <c r="N57" i="1" s="1"/>
  <c r="N61" i="1" s="1"/>
  <c r="Y20" i="11"/>
  <c r="AG20" i="11"/>
  <c r="X34" i="11"/>
  <c r="Y57" i="1" s="1"/>
  <c r="R33" i="11"/>
  <c r="S47" i="1" s="1"/>
  <c r="J34" i="11"/>
  <c r="K57" i="1" s="1"/>
  <c r="K61" i="1" s="1"/>
  <c r="U34" i="11"/>
  <c r="V57" i="1" s="1"/>
  <c r="I32" i="11"/>
  <c r="J37" i="1" s="1"/>
  <c r="J41" i="1" s="1"/>
  <c r="P69" i="11"/>
  <c r="E65" i="11"/>
  <c r="E69" i="11" s="1"/>
  <c r="G65" i="11"/>
  <c r="X20" i="11"/>
  <c r="AM69" i="11"/>
  <c r="AN38" i="1" s="1"/>
  <c r="AQ70" i="11"/>
  <c r="AR48" i="1" s="1"/>
  <c r="AR49" i="1" s="1"/>
  <c r="AR50" i="1" s="1"/>
  <c r="Q33" i="11"/>
  <c r="R47" i="1" s="1"/>
  <c r="K20" i="11"/>
  <c r="AE20" i="11"/>
  <c r="W71" i="11"/>
  <c r="X58" i="1" s="1"/>
  <c r="AP35" i="11"/>
  <c r="AQ67" i="1" s="1"/>
  <c r="T11" i="11"/>
  <c r="AA35" i="11"/>
  <c r="AB67" i="1" s="1"/>
  <c r="AA31" i="11"/>
  <c r="AB27" i="1" s="1"/>
  <c r="K65" i="11"/>
  <c r="K71" i="11" s="1"/>
  <c r="L33" i="11"/>
  <c r="M47" i="1" s="1"/>
  <c r="M51" i="1" s="1"/>
  <c r="T19" i="11"/>
  <c r="T32" i="11" s="1"/>
  <c r="U37" i="1" s="1"/>
  <c r="N20" i="11"/>
  <c r="H20" i="11"/>
  <c r="O70" i="11"/>
  <c r="AN65" i="11"/>
  <c r="AN71" i="11" s="1"/>
  <c r="AO58" i="1" s="1"/>
  <c r="S35" i="11"/>
  <c r="T67" i="1" s="1"/>
  <c r="G31" i="11"/>
  <c r="H27" i="1" s="1"/>
  <c r="H31" i="1" s="1"/>
  <c r="M35" i="11"/>
  <c r="N67" i="1" s="1"/>
  <c r="N71" i="1" s="1"/>
  <c r="G34" i="11"/>
  <c r="H57" i="1" s="1"/>
  <c r="H61" i="1" s="1"/>
  <c r="Y33" i="11"/>
  <c r="Z47" i="1" s="1"/>
  <c r="S20" i="11"/>
  <c r="AM20" i="11"/>
  <c r="L20" i="11"/>
  <c r="Q55" i="11"/>
  <c r="R32" i="26" s="1"/>
  <c r="AB68" i="11"/>
  <c r="AC28" i="1" s="1"/>
  <c r="AC17" i="1" s="1"/>
  <c r="W70" i="11"/>
  <c r="X48" i="1" s="1"/>
  <c r="R34" i="11"/>
  <c r="S57" i="1" s="1"/>
  <c r="P7" i="22"/>
  <c r="P8" i="22" s="1"/>
  <c r="AA30" i="27" s="1"/>
  <c r="AA31" i="27" s="1"/>
  <c r="AG65" i="11"/>
  <c r="AG71" i="11" s="1"/>
  <c r="AH58" i="1" s="1"/>
  <c r="AB71" i="11"/>
  <c r="AC58" i="1" s="1"/>
  <c r="Y34" i="11"/>
  <c r="Z57" i="1" s="1"/>
  <c r="W68" i="11"/>
  <c r="X28" i="1" s="1"/>
  <c r="E20" i="11"/>
  <c r="AM72" i="11"/>
  <c r="AN68" i="1" s="1"/>
  <c r="AD20" i="11"/>
  <c r="O33" i="11"/>
  <c r="P47" i="1" s="1"/>
  <c r="X65" i="11"/>
  <c r="Z33" i="11"/>
  <c r="AA47" i="1" s="1"/>
  <c r="M31" i="11"/>
  <c r="N27" i="1" s="1"/>
  <c r="N31" i="1" s="1"/>
  <c r="W35" i="11"/>
  <c r="X67" i="1" s="1"/>
  <c r="W20" i="11"/>
  <c r="K33" i="11"/>
  <c r="L47" i="1" s="1"/>
  <c r="L51" i="1" s="1"/>
  <c r="AQ20" i="11"/>
  <c r="Q32" i="11"/>
  <c r="R37" i="1" s="1"/>
  <c r="V20" i="11"/>
  <c r="J31" i="11"/>
  <c r="K27" i="1" s="1"/>
  <c r="K31" i="1" s="1"/>
  <c r="F18" i="22"/>
  <c r="G18" i="22" s="1"/>
  <c r="H65" i="11"/>
  <c r="H69" i="11" s="1"/>
  <c r="S65" i="11"/>
  <c r="S72" i="11" s="1"/>
  <c r="T68" i="1" s="1"/>
  <c r="U65" i="11"/>
  <c r="U71" i="11" s="1"/>
  <c r="V58" i="1" s="1"/>
  <c r="AD34" i="11"/>
  <c r="AE57" i="1" s="1"/>
  <c r="R35" i="11"/>
  <c r="S67" i="1" s="1"/>
  <c r="AB69" i="11"/>
  <c r="AC38" i="1" s="1"/>
  <c r="H33" i="11"/>
  <c r="I47" i="1" s="1"/>
  <c r="I51" i="1" s="1"/>
  <c r="AH20" i="11"/>
  <c r="D33" i="11"/>
  <c r="E47" i="1" s="1"/>
  <c r="E51" i="1" s="1"/>
  <c r="E52" i="1" s="1"/>
  <c r="E53" i="1" s="1"/>
  <c r="E54" i="1" s="1"/>
  <c r="P33" i="11"/>
  <c r="Q47" i="1" s="1"/>
  <c r="V35" i="11"/>
  <c r="W67" i="1" s="1"/>
  <c r="J35" i="11"/>
  <c r="K67" i="1" s="1"/>
  <c r="K71" i="1" s="1"/>
  <c r="AB34" i="11"/>
  <c r="AC57" i="1" s="1"/>
  <c r="P34" i="11"/>
  <c r="Q57" i="1" s="1"/>
  <c r="J33" i="11"/>
  <c r="K47" i="1" s="1"/>
  <c r="K51" i="1" s="1"/>
  <c r="AB32" i="11"/>
  <c r="AC37" i="1" s="1"/>
  <c r="U31" i="11"/>
  <c r="V27" i="1" s="1"/>
  <c r="J69" i="11"/>
  <c r="J72" i="11"/>
  <c r="Z65" i="11"/>
  <c r="Z69" i="11" s="1"/>
  <c r="AA38" i="1" s="1"/>
  <c r="AM70" i="11"/>
  <c r="AN48" i="1" s="1"/>
  <c r="AU70" i="11"/>
  <c r="AV48" i="1" s="1"/>
  <c r="AV49" i="1" s="1"/>
  <c r="AV50" i="1" s="1"/>
  <c r="W31" i="11"/>
  <c r="X27" i="1" s="1"/>
  <c r="O35" i="11"/>
  <c r="P67" i="1" s="1"/>
  <c r="U35" i="11"/>
  <c r="V67" i="1" s="1"/>
  <c r="AO34" i="11"/>
  <c r="AP57" i="1" s="1"/>
  <c r="O34" i="11"/>
  <c r="P57" i="1" s="1"/>
  <c r="I20" i="11"/>
  <c r="AA32" i="11"/>
  <c r="AB37" i="1" s="1"/>
  <c r="V65" i="11"/>
  <c r="V70" i="11" s="1"/>
  <c r="W48" i="1" s="1"/>
  <c r="W69" i="11"/>
  <c r="X38" i="1" s="1"/>
  <c r="AN70" i="11"/>
  <c r="AO48" i="1" s="1"/>
  <c r="AO49" i="1" s="1"/>
  <c r="AO50" i="1" s="1"/>
  <c r="AR71" i="11"/>
  <c r="AS58" i="1" s="1"/>
  <c r="AS59" i="1" s="1"/>
  <c r="AS60" i="1" s="1"/>
  <c r="W72" i="11"/>
  <c r="X68" i="1" s="1"/>
  <c r="AD31" i="11"/>
  <c r="AE27" i="1" s="1"/>
  <c r="AM68" i="11"/>
  <c r="AD65" i="11"/>
  <c r="AD71" i="11" s="1"/>
  <c r="AE58" i="1" s="1"/>
  <c r="H32" i="11"/>
  <c r="I37" i="1" s="1"/>
  <c r="I41" i="1" s="1"/>
  <c r="Q25" i="22"/>
  <c r="R25" i="22" s="1"/>
  <c r="S25" i="22" s="1"/>
  <c r="T25" i="22" s="1"/>
  <c r="U25" i="22" s="1"/>
  <c r="V25" i="22" s="1"/>
  <c r="W25" i="22" s="1"/>
  <c r="X25" i="22" s="1"/>
  <c r="J70" i="11"/>
  <c r="I31" i="11"/>
  <c r="J27" i="1" s="1"/>
  <c r="J31" i="1" s="1"/>
  <c r="V31" i="11"/>
  <c r="W27" i="1" s="1"/>
  <c r="D34" i="11"/>
  <c r="E57" i="1" s="1"/>
  <c r="E61" i="1" s="1"/>
  <c r="E62" i="1" s="1"/>
  <c r="D32" i="11"/>
  <c r="E37" i="1" s="1"/>
  <c r="E41" i="1" s="1"/>
  <c r="E42" i="1" s="1"/>
  <c r="X32" i="11"/>
  <c r="Y37" i="1" s="1"/>
  <c r="Z34" i="11"/>
  <c r="AA57" i="1" s="1"/>
  <c r="F26" i="22"/>
  <c r="G26" i="22" s="1"/>
  <c r="H26" i="22" s="1"/>
  <c r="I26" i="22" s="1"/>
  <c r="O71" i="11"/>
  <c r="AW65" i="11"/>
  <c r="AW72" i="11" s="1"/>
  <c r="AX68" i="1" s="1"/>
  <c r="AX69" i="1" s="1"/>
  <c r="AX70" i="1" s="1"/>
  <c r="AB70" i="11"/>
  <c r="AC48" i="1" s="1"/>
  <c r="AO70" i="11"/>
  <c r="AP48" i="1" s="1"/>
  <c r="AP49" i="1" s="1"/>
  <c r="AP50" i="1" s="1"/>
  <c r="P17" i="1"/>
  <c r="L27" i="1"/>
  <c r="L31" i="1" s="1"/>
  <c r="AI35" i="11"/>
  <c r="AJ67" i="1" s="1"/>
  <c r="AB20" i="11"/>
  <c r="AH34" i="11"/>
  <c r="AI57" i="1" s="1"/>
  <c r="S34" i="11"/>
  <c r="T57" i="1" s="1"/>
  <c r="P20" i="11"/>
  <c r="H35" i="11"/>
  <c r="I67" i="1" s="1"/>
  <c r="I71" i="1" s="1"/>
  <c r="K34" i="11"/>
  <c r="L57" i="1" s="1"/>
  <c r="L61" i="1" s="1"/>
  <c r="W33" i="11"/>
  <c r="X47" i="1" s="1"/>
  <c r="Y35" i="11"/>
  <c r="Z67" i="1" s="1"/>
  <c r="Q35" i="11"/>
  <c r="R67" i="1" s="1"/>
  <c r="I33" i="11"/>
  <c r="J47" i="1" s="1"/>
  <c r="J51" i="1" s="1"/>
  <c r="T31" i="11"/>
  <c r="V32" i="11"/>
  <c r="W37" i="1" s="1"/>
  <c r="L31" i="11"/>
  <c r="J20" i="11"/>
  <c r="AR34" i="11"/>
  <c r="AS57" i="1" s="1"/>
  <c r="AJ33" i="11"/>
  <c r="AK47" i="1" s="1"/>
  <c r="AV35" i="11"/>
  <c r="AW67" i="1" s="1"/>
  <c r="Z31" i="11"/>
  <c r="E33" i="11"/>
  <c r="F47" i="1" s="1"/>
  <c r="F51" i="1" s="1"/>
  <c r="P31" i="11"/>
  <c r="S33" i="11"/>
  <c r="T47" i="1" s="1"/>
  <c r="M20" i="11"/>
  <c r="F34" i="11"/>
  <c r="G57" i="1" s="1"/>
  <c r="G61" i="1" s="1"/>
  <c r="X33" i="11"/>
  <c r="Y47" i="1" s="1"/>
  <c r="Z32" i="11"/>
  <c r="AA37" i="1" s="1"/>
  <c r="AG34" i="11"/>
  <c r="AH57" i="1" s="1"/>
  <c r="X31" i="11"/>
  <c r="AV34" i="11"/>
  <c r="AW57" i="1" s="1"/>
  <c r="S32" i="11"/>
  <c r="T37" i="1" s="1"/>
  <c r="AP31" i="11"/>
  <c r="AQ27" i="1" s="1"/>
  <c r="K35" i="11"/>
  <c r="L67" i="1" s="1"/>
  <c r="L71" i="1" s="1"/>
  <c r="Z20" i="11"/>
  <c r="R20" i="11"/>
  <c r="AV33" i="11"/>
  <c r="AW47" i="1" s="1"/>
  <c r="AH32" i="11"/>
  <c r="AI37" i="1" s="1"/>
  <c r="AQ34" i="11"/>
  <c r="AR57" i="1" s="1"/>
  <c r="J32" i="11"/>
  <c r="K37" i="1" s="1"/>
  <c r="K41" i="1" s="1"/>
  <c r="AU20" i="11"/>
  <c r="AC33" i="11"/>
  <c r="AD47" i="1" s="1"/>
  <c r="AC31" i="11"/>
  <c r="G20" i="11"/>
  <c r="AA20" i="11"/>
  <c r="H34" i="11"/>
  <c r="I57" i="1" s="1"/>
  <c r="I61" i="1" s="1"/>
  <c r="AT33" i="11"/>
  <c r="AU47" i="1" s="1"/>
  <c r="AL33" i="11"/>
  <c r="AM47" i="1" s="1"/>
  <c r="AO32" i="11"/>
  <c r="AP37" i="1" s="1"/>
  <c r="Q31" i="11"/>
  <c r="N35" i="11"/>
  <c r="O67" i="1" s="1"/>
  <c r="F31" i="11"/>
  <c r="E32" i="11"/>
  <c r="F37" i="1" s="1"/>
  <c r="F41" i="1" s="1"/>
  <c r="AH35" i="11"/>
  <c r="AI67" i="1" s="1"/>
  <c r="AV32" i="11"/>
  <c r="AW37" i="1" s="1"/>
  <c r="AH31" i="11"/>
  <c r="AI27" i="1" s="1"/>
  <c r="H72" i="11"/>
  <c r="R70" i="11"/>
  <c r="S48" i="1" s="1"/>
  <c r="R68" i="11"/>
  <c r="R69" i="11"/>
  <c r="S38" i="1" s="1"/>
  <c r="R71" i="11"/>
  <c r="S58" i="1" s="1"/>
  <c r="R72" i="11"/>
  <c r="S68" i="1" s="1"/>
  <c r="AQ69" i="11"/>
  <c r="AR38" i="1" s="1"/>
  <c r="AR39" i="1" s="1"/>
  <c r="AR40" i="1" s="1"/>
  <c r="F25" i="22"/>
  <c r="G25" i="22" s="1"/>
  <c r="E27" i="22"/>
  <c r="E28" i="22" s="1"/>
  <c r="L65" i="11"/>
  <c r="L68" i="11" s="1"/>
  <c r="AA65" i="11"/>
  <c r="AA68" i="11" s="1"/>
  <c r="AQ68" i="11"/>
  <c r="AR28" i="1" s="1"/>
  <c r="AR29" i="1" s="1"/>
  <c r="AR30" i="1" s="1"/>
  <c r="U70" i="11"/>
  <c r="V48" i="1" s="1"/>
  <c r="U72" i="11"/>
  <c r="V68" i="1" s="1"/>
  <c r="I65" i="11"/>
  <c r="I72" i="11" s="1"/>
  <c r="Q65" i="11"/>
  <c r="Q70" i="11" s="1"/>
  <c r="R48" i="1" s="1"/>
  <c r="Y65" i="11"/>
  <c r="Y69" i="11" s="1"/>
  <c r="Z38" i="1" s="1"/>
  <c r="AH65" i="11"/>
  <c r="AH68" i="11" s="1"/>
  <c r="AI28" i="1" s="1"/>
  <c r="AD33" i="11"/>
  <c r="F65" i="11"/>
  <c r="F68" i="11" s="1"/>
  <c r="AC34" i="11"/>
  <c r="AD57" i="1" s="1"/>
  <c r="M65" i="11"/>
  <c r="M71" i="11" s="1"/>
  <c r="AC35" i="11"/>
  <c r="AD67" i="1" s="1"/>
  <c r="AC32" i="11"/>
  <c r="AD37" i="1" s="1"/>
  <c r="AC72" i="11"/>
  <c r="AD68" i="1" s="1"/>
  <c r="AC71" i="11"/>
  <c r="AD58" i="1" s="1"/>
  <c r="AC70" i="11"/>
  <c r="AD48" i="1" s="1"/>
  <c r="AC68" i="11"/>
  <c r="AC69" i="11"/>
  <c r="AD38" i="1" s="1"/>
  <c r="T69" i="11"/>
  <c r="U38" i="1" s="1"/>
  <c r="AP68" i="11"/>
  <c r="AQ28" i="1" s="1"/>
  <c r="AQ29" i="1" s="1"/>
  <c r="AQ30" i="1" s="1"/>
  <c r="F10" i="22"/>
  <c r="F12" i="22" s="1"/>
  <c r="G12" i="22" s="1"/>
  <c r="H12" i="22" s="1"/>
  <c r="AU69" i="11"/>
  <c r="AV38" i="1" s="1"/>
  <c r="AV39" i="1" s="1"/>
  <c r="AV40" i="1" s="1"/>
  <c r="E20" i="22"/>
  <c r="E21" i="22" s="1"/>
  <c r="T70" i="11"/>
  <c r="U48" i="1" s="1"/>
  <c r="F19" i="22"/>
  <c r="G19" i="22" s="1"/>
  <c r="H19" i="22" s="1"/>
  <c r="I19" i="22" s="1"/>
  <c r="AU71" i="11"/>
  <c r="AV58" i="1" s="1"/>
  <c r="T68" i="11"/>
  <c r="AF65" i="11"/>
  <c r="AF71" i="11" s="1"/>
  <c r="AG58" i="1" s="1"/>
  <c r="AU72" i="11"/>
  <c r="AV68" i="1" s="1"/>
  <c r="AV69" i="1" s="1"/>
  <c r="AV70" i="1" s="1"/>
  <c r="V71" i="11"/>
  <c r="AS65" i="11"/>
  <c r="AS68" i="11" s="1"/>
  <c r="AT28" i="1" s="1"/>
  <c r="S11" i="22"/>
  <c r="T11" i="22" s="1"/>
  <c r="U11" i="22" s="1"/>
  <c r="V11" i="22" s="1"/>
  <c r="W11" i="22" s="1"/>
  <c r="X11" i="22" s="1"/>
  <c r="Y11" i="22" s="1"/>
  <c r="AT65" i="11"/>
  <c r="AT72" i="11" s="1"/>
  <c r="AU68" i="1" s="1"/>
  <c r="AU69" i="1" s="1"/>
  <c r="AU70" i="1" s="1"/>
  <c r="AL65" i="11"/>
  <c r="AL70" i="11" s="1"/>
  <c r="AM48" i="1" s="1"/>
  <c r="AI65" i="11"/>
  <c r="AI69" i="11" s="1"/>
  <c r="AJ38" i="1" s="1"/>
  <c r="AE65" i="11"/>
  <c r="AE71" i="11" s="1"/>
  <c r="AF58" i="1" s="1"/>
  <c r="AV68" i="11"/>
  <c r="AW28" i="1" s="1"/>
  <c r="AW29" i="1" s="1"/>
  <c r="AW30" i="1" s="1"/>
  <c r="AW31" i="1" s="1"/>
  <c r="AG68" i="11"/>
  <c r="AH28" i="1" s="1"/>
  <c r="O89" i="1"/>
  <c r="O91" i="1" s="1"/>
  <c r="O92" i="1" s="1"/>
  <c r="P89" i="1" s="1"/>
  <c r="AW35" i="11"/>
  <c r="AX67" i="1" s="1"/>
  <c r="AW33" i="11"/>
  <c r="AX47" i="1" s="1"/>
  <c r="AW31" i="11"/>
  <c r="AX27" i="1" s="1"/>
  <c r="AW34" i="11"/>
  <c r="AX57" i="1" s="1"/>
  <c r="AW20" i="11"/>
  <c r="AW32" i="11"/>
  <c r="AU35" i="11"/>
  <c r="AV67" i="1" s="1"/>
  <c r="AU33" i="11"/>
  <c r="AV47" i="1" s="1"/>
  <c r="AU34" i="11"/>
  <c r="AV57" i="1" s="1"/>
  <c r="AU32" i="11"/>
  <c r="AV37" i="1" s="1"/>
  <c r="AU31" i="11"/>
  <c r="AV27" i="1" s="1"/>
  <c r="AV31" i="1" s="1"/>
  <c r="AV20" i="11"/>
  <c r="AT34" i="11"/>
  <c r="AU57" i="1" s="1"/>
  <c r="AT35" i="11"/>
  <c r="AU67" i="1" s="1"/>
  <c r="AT32" i="11"/>
  <c r="AU37" i="1" s="1"/>
  <c r="AT31" i="11"/>
  <c r="AU27" i="1" s="1"/>
  <c r="AS34" i="11"/>
  <c r="AT57" i="1" s="1"/>
  <c r="AS32" i="11"/>
  <c r="AT37" i="1" s="1"/>
  <c r="AS35" i="11"/>
  <c r="AT67" i="1" s="1"/>
  <c r="AS31" i="11"/>
  <c r="AT27" i="1" s="1"/>
  <c r="AS33" i="11"/>
  <c r="AT47" i="1" s="1"/>
  <c r="AT20" i="11"/>
  <c r="AR33" i="11"/>
  <c r="AS47" i="1" s="1"/>
  <c r="AR31" i="11"/>
  <c r="AS27" i="1" s="1"/>
  <c r="AR35" i="11"/>
  <c r="AS67" i="1" s="1"/>
  <c r="AR32" i="11"/>
  <c r="AS37" i="1" s="1"/>
  <c r="AS20" i="11"/>
  <c r="D11" i="26"/>
  <c r="D13" i="26" s="1"/>
  <c r="D14" i="26" s="1"/>
  <c r="E11" i="26" s="1"/>
  <c r="E13" i="26" s="1"/>
  <c r="E14" i="26" s="1"/>
  <c r="F11" i="26" s="1"/>
  <c r="F13" i="26" s="1"/>
  <c r="F14" i="26" s="1"/>
  <c r="G11" i="26" s="1"/>
  <c r="G13" i="26" s="1"/>
  <c r="G14" i="26" s="1"/>
  <c r="H11" i="26" s="1"/>
  <c r="H13" i="26" s="1"/>
  <c r="H14" i="26" s="1"/>
  <c r="I11" i="26" s="1"/>
  <c r="I13" i="26" s="1"/>
  <c r="I14" i="26" s="1"/>
  <c r="J11" i="26" s="1"/>
  <c r="J13" i="26" s="1"/>
  <c r="J14" i="26" s="1"/>
  <c r="K11" i="26" s="1"/>
  <c r="K13" i="26" s="1"/>
  <c r="K14" i="26" s="1"/>
  <c r="L11" i="26" s="1"/>
  <c r="L13" i="26" s="1"/>
  <c r="L14" i="26" s="1"/>
  <c r="M11" i="26" s="1"/>
  <c r="M13" i="26" s="1"/>
  <c r="M14" i="26" s="1"/>
  <c r="N11" i="26" s="1"/>
  <c r="N13" i="26" s="1"/>
  <c r="N14" i="26" s="1"/>
  <c r="O11" i="26" s="1"/>
  <c r="O13" i="26" s="1"/>
  <c r="O14" i="26" s="1"/>
  <c r="P11" i="26" s="1"/>
  <c r="P13" i="26" s="1"/>
  <c r="P14" i="26" s="1"/>
  <c r="Q11" i="26" s="1"/>
  <c r="Q13" i="26" s="1"/>
  <c r="Q14" i="26" s="1"/>
  <c r="AQ33" i="11"/>
  <c r="AR47" i="1" s="1"/>
  <c r="AQ35" i="11"/>
  <c r="AR67" i="1" s="1"/>
  <c r="AQ32" i="11"/>
  <c r="AR37" i="1" s="1"/>
  <c r="AQ31" i="11"/>
  <c r="AR27" i="1" s="1"/>
  <c r="AR20" i="11"/>
  <c r="AP34" i="11"/>
  <c r="AQ57" i="1" s="1"/>
  <c r="AP33" i="11"/>
  <c r="AQ47" i="1" s="1"/>
  <c r="AP32" i="11"/>
  <c r="AQ37" i="1" s="1"/>
  <c r="AP71" i="11"/>
  <c r="AQ58" i="1" s="1"/>
  <c r="AQ59" i="1" s="1"/>
  <c r="AQ60" i="1" s="1"/>
  <c r="AO31" i="11"/>
  <c r="AP27" i="1" s="1"/>
  <c r="AO35" i="11"/>
  <c r="AP67" i="1" s="1"/>
  <c r="AO33" i="11"/>
  <c r="AP47" i="1" s="1"/>
  <c r="AP20" i="11"/>
  <c r="AN32" i="11"/>
  <c r="AO37" i="1" s="1"/>
  <c r="AN35" i="11"/>
  <c r="AO67" i="1" s="1"/>
  <c r="AN33" i="11"/>
  <c r="AO47" i="1" s="1"/>
  <c r="AO20" i="11"/>
  <c r="AN31" i="11"/>
  <c r="AO27" i="1" s="1"/>
  <c r="AN34" i="11"/>
  <c r="AO57" i="1" s="1"/>
  <c r="AM31" i="11"/>
  <c r="AM34" i="11"/>
  <c r="AN57" i="1" s="1"/>
  <c r="AM33" i="11"/>
  <c r="AN47" i="1" s="1"/>
  <c r="AM32" i="11"/>
  <c r="AN37" i="1" s="1"/>
  <c r="AM35" i="11"/>
  <c r="AN67" i="1" s="1"/>
  <c r="AN20" i="11"/>
  <c r="R26" i="22"/>
  <c r="S26" i="22" s="1"/>
  <c r="R34" i="22"/>
  <c r="R35" i="22" s="1"/>
  <c r="R36" i="22" s="1"/>
  <c r="Q34" i="22"/>
  <c r="Q35" i="22" s="1"/>
  <c r="Q36" i="22" s="1"/>
  <c r="Q19" i="22"/>
  <c r="Q18" i="22"/>
  <c r="R18" i="22" s="1"/>
  <c r="S18" i="22" s="1"/>
  <c r="T18" i="22" s="1"/>
  <c r="U18" i="22" s="1"/>
  <c r="V18" i="22" s="1"/>
  <c r="P34" i="22"/>
  <c r="P35" i="22" s="1"/>
  <c r="P36" i="22" s="1"/>
  <c r="AL34" i="11"/>
  <c r="AM57" i="1" s="1"/>
  <c r="AL32" i="11"/>
  <c r="AM37" i="1" s="1"/>
  <c r="AL31" i="11"/>
  <c r="AM27" i="1" s="1"/>
  <c r="O90" i="1"/>
  <c r="E12" i="1"/>
  <c r="E13" i="1" s="1"/>
  <c r="F10" i="1" s="1"/>
  <c r="F12" i="1" s="1"/>
  <c r="F13" i="1" s="1"/>
  <c r="E17" i="22"/>
  <c r="E22" i="22" s="1"/>
  <c r="Q17" i="1"/>
  <c r="Y81" i="1"/>
  <c r="Y82" i="1" s="1"/>
  <c r="Y80" i="1"/>
  <c r="O93" i="1"/>
  <c r="C8" i="22"/>
  <c r="O29" i="1" s="1"/>
  <c r="O30" i="1" s="1"/>
  <c r="O31" i="1" s="1"/>
  <c r="O101" i="1"/>
  <c r="O102" i="1"/>
  <c r="AL20" i="11"/>
  <c r="AK31" i="11"/>
  <c r="AK35" i="11"/>
  <c r="AL67" i="1" s="1"/>
  <c r="AK33" i="11"/>
  <c r="AL47" i="1" s="1"/>
  <c r="AK34" i="11"/>
  <c r="AL57" i="1" s="1"/>
  <c r="AK32" i="11"/>
  <c r="AL37" i="1" s="1"/>
  <c r="AK20" i="11"/>
  <c r="AL35" i="11"/>
  <c r="J21" i="27"/>
  <c r="J22" i="27" s="1"/>
  <c r="J73" i="27"/>
  <c r="AK65" i="11"/>
  <c r="AK70" i="11" s="1"/>
  <c r="AL48" i="1" s="1"/>
  <c r="AJ32" i="11"/>
  <c r="AK37" i="1" s="1"/>
  <c r="AJ35" i="11"/>
  <c r="AK67" i="1" s="1"/>
  <c r="AJ31" i="11"/>
  <c r="AK27" i="1" s="1"/>
  <c r="AJ65" i="11"/>
  <c r="AJ72" i="11" s="1"/>
  <c r="AK68" i="1" s="1"/>
  <c r="AI31" i="11"/>
  <c r="AJ27" i="1" s="1"/>
  <c r="AJ20" i="11"/>
  <c r="AI32" i="11"/>
  <c r="AJ37" i="1" s="1"/>
  <c r="AI34" i="11"/>
  <c r="AJ57" i="1" s="1"/>
  <c r="AI33" i="11"/>
  <c r="AJ47" i="1" s="1"/>
  <c r="AJ34" i="11"/>
  <c r="AH33" i="11"/>
  <c r="AI47" i="1" s="1"/>
  <c r="AI20" i="11"/>
  <c r="P13" i="22"/>
  <c r="P14" i="22" s="1"/>
  <c r="P15" i="22" s="1"/>
  <c r="G32" i="22"/>
  <c r="H32" i="22" s="1"/>
  <c r="P20" i="22"/>
  <c r="P21" i="22" s="1"/>
  <c r="P22" i="22" s="1"/>
  <c r="C36" i="22"/>
  <c r="Q13" i="22"/>
  <c r="Q14" i="22" s="1"/>
  <c r="Q15" i="22" s="1"/>
  <c r="R12" i="22"/>
  <c r="E13" i="22"/>
  <c r="E14" i="22" s="1"/>
  <c r="E15" i="22" s="1"/>
  <c r="C15" i="22"/>
  <c r="S4" i="22"/>
  <c r="T4" i="22" s="1"/>
  <c r="U4" i="22" s="1"/>
  <c r="V4" i="22" s="1"/>
  <c r="S33" i="22"/>
  <c r="T33" i="22" s="1"/>
  <c r="U33" i="22" s="1"/>
  <c r="V33" i="22" s="1"/>
  <c r="S32" i="22"/>
  <c r="F4" i="22"/>
  <c r="G4" i="22" s="1"/>
  <c r="F5" i="22"/>
  <c r="G5" i="22" s="1"/>
  <c r="F33" i="22"/>
  <c r="G33" i="22" s="1"/>
  <c r="D15" i="22"/>
  <c r="C22" i="22"/>
  <c r="C29" i="22"/>
  <c r="D8" i="22"/>
  <c r="D36" i="22"/>
  <c r="D22" i="22"/>
  <c r="D29" i="22"/>
  <c r="E8" i="22"/>
  <c r="E36" i="22"/>
  <c r="E29" i="22"/>
  <c r="AG32" i="11"/>
  <c r="AH37" i="1" s="1"/>
  <c r="AG31" i="11"/>
  <c r="AH27" i="1" s="1"/>
  <c r="AG35" i="11"/>
  <c r="AH67" i="1" s="1"/>
  <c r="AG33" i="11"/>
  <c r="AH47" i="1" s="1"/>
  <c r="AG69" i="11"/>
  <c r="AH38" i="1" s="1"/>
  <c r="AF35" i="11"/>
  <c r="AG67" i="1" s="1"/>
  <c r="AF32" i="11"/>
  <c r="AG37" i="1" s="1"/>
  <c r="AF33" i="11"/>
  <c r="AG47" i="1" s="1"/>
  <c r="AF31" i="11"/>
  <c r="AG27" i="1" s="1"/>
  <c r="AF34" i="11"/>
  <c r="AG57" i="1" s="1"/>
  <c r="AE35" i="11"/>
  <c r="AF67" i="1" s="1"/>
  <c r="AE31" i="11"/>
  <c r="AF27" i="1" s="1"/>
  <c r="AE32" i="11"/>
  <c r="AF37" i="1" s="1"/>
  <c r="AE33" i="11"/>
  <c r="AF47" i="1" s="1"/>
  <c r="AE34" i="11"/>
  <c r="AF57" i="1" s="1"/>
  <c r="P16" i="1" l="1"/>
  <c r="E73" i="1"/>
  <c r="AG70" i="11"/>
  <c r="AH48" i="1" s="1"/>
  <c r="O16" i="1"/>
  <c r="G36" i="11"/>
  <c r="N68" i="11"/>
  <c r="N71" i="11"/>
  <c r="N69" i="11"/>
  <c r="AQ72" i="11"/>
  <c r="AR68" i="1" s="1"/>
  <c r="AR69" i="1" s="1"/>
  <c r="AR70" i="1" s="1"/>
  <c r="AR69" i="11"/>
  <c r="AS38" i="1" s="1"/>
  <c r="AS39" i="1" s="1"/>
  <c r="AS40" i="1" s="1"/>
  <c r="AS41" i="1" s="1"/>
  <c r="X16" i="1"/>
  <c r="F20" i="1"/>
  <c r="AR68" i="11"/>
  <c r="AS28" i="1" s="1"/>
  <c r="AO71" i="11"/>
  <c r="AP58" i="1" s="1"/>
  <c r="AP59" i="1" s="1"/>
  <c r="AP60" i="1" s="1"/>
  <c r="AP61" i="1" s="1"/>
  <c r="AO69" i="11"/>
  <c r="AP38" i="1" s="1"/>
  <c r="AP39" i="1" s="1"/>
  <c r="AP40" i="1" s="1"/>
  <c r="AP41" i="1" s="1"/>
  <c r="AW71" i="11"/>
  <c r="AX58" i="1" s="1"/>
  <c r="AX59" i="1" s="1"/>
  <c r="AX60" i="1" s="1"/>
  <c r="AX61" i="1" s="1"/>
  <c r="E63" i="1"/>
  <c r="E64" i="1" s="1"/>
  <c r="AB73" i="11"/>
  <c r="S71" i="11"/>
  <c r="T58" i="1" s="1"/>
  <c r="H71" i="11"/>
  <c r="AW70" i="11"/>
  <c r="AX48" i="1" s="1"/>
  <c r="AX49" i="1" s="1"/>
  <c r="AX50" i="1" s="1"/>
  <c r="AX51" i="1" s="1"/>
  <c r="Y70" i="11"/>
  <c r="Z48" i="1" s="1"/>
  <c r="AK36" i="11"/>
  <c r="AP51" i="1"/>
  <c r="AE70" i="11"/>
  <c r="AF48" i="1" s="1"/>
  <c r="S16" i="1"/>
  <c r="N16" i="1"/>
  <c r="N20" i="1"/>
  <c r="AB16" i="1"/>
  <c r="F11" i="22"/>
  <c r="S69" i="11"/>
  <c r="T38" i="1" s="1"/>
  <c r="G20" i="22"/>
  <c r="G21" i="22" s="1"/>
  <c r="G22" i="22" s="1"/>
  <c r="S49" i="1" s="1"/>
  <c r="S50" i="1" s="1"/>
  <c r="S51" i="1" s="1"/>
  <c r="Z71" i="11"/>
  <c r="AA58" i="1" s="1"/>
  <c r="AV36" i="11"/>
  <c r="E21" i="1"/>
  <c r="E22" i="1" s="1"/>
  <c r="AW69" i="11"/>
  <c r="AX38" i="1" s="1"/>
  <c r="AX39" i="1" s="1"/>
  <c r="AX40" i="1" s="1"/>
  <c r="AO68" i="11"/>
  <c r="AP28" i="1" s="1"/>
  <c r="AP29" i="1" s="1"/>
  <c r="AP30" i="1" s="1"/>
  <c r="AV70" i="11"/>
  <c r="AW48" i="1" s="1"/>
  <c r="AW49" i="1" s="1"/>
  <c r="AW50" i="1" s="1"/>
  <c r="AW51" i="1" s="1"/>
  <c r="M36" i="11"/>
  <c r="Z70" i="11"/>
  <c r="AA48" i="1" s="1"/>
  <c r="AV69" i="11"/>
  <c r="AW38" i="1" s="1"/>
  <c r="AW39" i="1" s="1"/>
  <c r="AW40" i="1" s="1"/>
  <c r="AW41" i="1" s="1"/>
  <c r="N73" i="11"/>
  <c r="AS61" i="1"/>
  <c r="AR72" i="11"/>
  <c r="AS68" i="1" s="1"/>
  <c r="AS69" i="1" s="1"/>
  <c r="AS70" i="1" s="1"/>
  <c r="AS71" i="1" s="1"/>
  <c r="AS69" i="11"/>
  <c r="AT38" i="1" s="1"/>
  <c r="AT39" i="1" s="1"/>
  <c r="AT40" i="1" s="1"/>
  <c r="AT41" i="1" s="1"/>
  <c r="E72" i="11"/>
  <c r="O36" i="11"/>
  <c r="AW68" i="11"/>
  <c r="W16" i="1"/>
  <c r="H68" i="11"/>
  <c r="F27" i="22"/>
  <c r="F28" i="22" s="1"/>
  <c r="F29" i="22" s="1"/>
  <c r="AL27" i="1"/>
  <c r="AL16" i="1" s="1"/>
  <c r="E43" i="1"/>
  <c r="E44" i="1" s="1"/>
  <c r="F42" i="1" s="1"/>
  <c r="F43" i="1" s="1"/>
  <c r="F44" i="1" s="1"/>
  <c r="G42" i="1" s="1"/>
  <c r="G43" i="1" s="1"/>
  <c r="G44" i="1" s="1"/>
  <c r="AR51" i="1"/>
  <c r="E68" i="11"/>
  <c r="H70" i="11"/>
  <c r="R36" i="11"/>
  <c r="Z68" i="11"/>
  <c r="Z72" i="11"/>
  <c r="AA68" i="1" s="1"/>
  <c r="D70" i="11"/>
  <c r="D71" i="11"/>
  <c r="D72" i="11"/>
  <c r="AP70" i="11"/>
  <c r="AQ48" i="1" s="1"/>
  <c r="AQ49" i="1" s="1"/>
  <c r="AP72" i="11"/>
  <c r="AQ68" i="1" s="1"/>
  <c r="AQ69" i="1" s="1"/>
  <c r="AQ70" i="1" s="1"/>
  <c r="AQ71" i="1" s="1"/>
  <c r="E70" i="11"/>
  <c r="F52" i="1"/>
  <c r="F53" i="1" s="1"/>
  <c r="F54" i="1" s="1"/>
  <c r="G52" i="1" s="1"/>
  <c r="G53" i="1" s="1"/>
  <c r="G54" i="1" s="1"/>
  <c r="Z16" i="1"/>
  <c r="J73" i="11"/>
  <c r="O73" i="11"/>
  <c r="AV71" i="11"/>
  <c r="AW58" i="1" s="1"/>
  <c r="AW59" i="1" s="1"/>
  <c r="AW60" i="1" s="1"/>
  <c r="AW61" i="1" s="1"/>
  <c r="Q6" i="22"/>
  <c r="Q7" i="22" s="1"/>
  <c r="Q8" i="22" s="1"/>
  <c r="R5" i="22"/>
  <c r="U36" i="11"/>
  <c r="Q27" i="22"/>
  <c r="Q28" i="22" s="1"/>
  <c r="Q29" i="22" s="1"/>
  <c r="AC59" i="1" s="1"/>
  <c r="AC60" i="1" s="1"/>
  <c r="AC61" i="1" s="1"/>
  <c r="E71" i="11"/>
  <c r="AM73" i="11"/>
  <c r="AC16" i="1"/>
  <c r="E16" i="1"/>
  <c r="F20" i="22"/>
  <c r="F21" i="22" s="1"/>
  <c r="F22" i="22" s="1"/>
  <c r="Q50" i="27" s="1"/>
  <c r="Q51" i="27" s="1"/>
  <c r="AW16" i="1"/>
  <c r="N36" i="11"/>
  <c r="AN68" i="11"/>
  <c r="X17" i="1"/>
  <c r="D69" i="11"/>
  <c r="V16" i="1"/>
  <c r="AS29" i="1"/>
  <c r="G72" i="11"/>
  <c r="G69" i="11"/>
  <c r="G71" i="11"/>
  <c r="G68" i="11"/>
  <c r="AB36" i="11"/>
  <c r="AH70" i="11"/>
  <c r="AI48" i="1" s="1"/>
  <c r="AH71" i="11"/>
  <c r="AI58" i="1" s="1"/>
  <c r="H20" i="1"/>
  <c r="L20" i="1"/>
  <c r="AD70" i="11"/>
  <c r="AE48" i="1" s="1"/>
  <c r="AD68" i="11"/>
  <c r="AE28" i="1" s="1"/>
  <c r="W73" i="11"/>
  <c r="E36" i="11"/>
  <c r="J36" i="11"/>
  <c r="P73" i="11"/>
  <c r="AN28" i="1"/>
  <c r="AN17" i="1" s="1"/>
  <c r="AL36" i="11"/>
  <c r="AM36" i="11"/>
  <c r="AH69" i="11"/>
  <c r="AI38" i="1" s="1"/>
  <c r="AO28" i="1"/>
  <c r="AO29" i="1" s="1"/>
  <c r="AO30" i="1" s="1"/>
  <c r="AO31" i="1" s="1"/>
  <c r="S68" i="11"/>
  <c r="T28" i="1" s="1"/>
  <c r="S70" i="11"/>
  <c r="T48" i="1" s="1"/>
  <c r="X69" i="11"/>
  <c r="Y38" i="1" s="1"/>
  <c r="X72" i="11"/>
  <c r="Y68" i="1" s="1"/>
  <c r="X70" i="11"/>
  <c r="Y48" i="1" s="1"/>
  <c r="AN69" i="11"/>
  <c r="AO38" i="1" s="1"/>
  <c r="AO39" i="1" s="1"/>
  <c r="AO40" i="1" s="1"/>
  <c r="AO41" i="1" s="1"/>
  <c r="Q68" i="11"/>
  <c r="R28" i="1" s="1"/>
  <c r="AG72" i="11"/>
  <c r="AH68" i="1" s="1"/>
  <c r="AH17" i="1" s="1"/>
  <c r="U69" i="11"/>
  <c r="V38" i="1" s="1"/>
  <c r="AH72" i="11"/>
  <c r="AI68" i="1" s="1"/>
  <c r="AD69" i="11"/>
  <c r="AE38" i="1" s="1"/>
  <c r="AA36" i="11"/>
  <c r="T33" i="11"/>
  <c r="U47" i="1" s="1"/>
  <c r="T35" i="11"/>
  <c r="U67" i="1" s="1"/>
  <c r="AN72" i="11"/>
  <c r="AO68" i="1" s="1"/>
  <c r="AO69" i="1" s="1"/>
  <c r="AO70" i="1" s="1"/>
  <c r="Y68" i="11"/>
  <c r="Z28" i="1" s="1"/>
  <c r="T16" i="1"/>
  <c r="AD72" i="11"/>
  <c r="AE68" i="1" s="1"/>
  <c r="X71" i="11"/>
  <c r="Y58" i="1" s="1"/>
  <c r="AQ73" i="11"/>
  <c r="Y72" i="11"/>
  <c r="Z68" i="1" s="1"/>
  <c r="E20" i="1"/>
  <c r="U68" i="11"/>
  <c r="V28" i="1" s="1"/>
  <c r="V72" i="11"/>
  <c r="W68" i="1" s="1"/>
  <c r="V68" i="11"/>
  <c r="W28" i="1" s="1"/>
  <c r="V69" i="11"/>
  <c r="W38" i="1" s="1"/>
  <c r="K72" i="11"/>
  <c r="K68" i="11"/>
  <c r="K69" i="11"/>
  <c r="K70" i="11"/>
  <c r="X68" i="11"/>
  <c r="AR17" i="1"/>
  <c r="F16" i="1"/>
  <c r="AT69" i="11"/>
  <c r="AU38" i="1" s="1"/>
  <c r="AU39" i="1" s="1"/>
  <c r="AU40" i="1" s="1"/>
  <c r="AU41" i="1" s="1"/>
  <c r="AA70" i="11"/>
  <c r="AB48" i="1" s="1"/>
  <c r="AB49" i="1" s="1"/>
  <c r="AB50" i="1" s="1"/>
  <c r="K16" i="1"/>
  <c r="AN27" i="1"/>
  <c r="AN16" i="1" s="1"/>
  <c r="AR41" i="1"/>
  <c r="AS51" i="1"/>
  <c r="AU73" i="11"/>
  <c r="M69" i="11"/>
  <c r="D36" i="11"/>
  <c r="Y36" i="11"/>
  <c r="T34" i="11"/>
  <c r="U57" i="1" s="1"/>
  <c r="T20" i="11"/>
  <c r="G70" i="11"/>
  <c r="I20" i="1"/>
  <c r="AI16" i="1"/>
  <c r="J20" i="1"/>
  <c r="L16" i="1"/>
  <c r="I16" i="1"/>
  <c r="J16" i="1"/>
  <c r="H16" i="1"/>
  <c r="K20" i="1"/>
  <c r="AR31" i="1"/>
  <c r="AV41" i="1"/>
  <c r="R49" i="1"/>
  <c r="R50" i="1" s="1"/>
  <c r="R51" i="1" s="1"/>
  <c r="AB28" i="1"/>
  <c r="AH36" i="11"/>
  <c r="S34" i="22"/>
  <c r="S35" i="22" s="1"/>
  <c r="S36" i="22" s="1"/>
  <c r="AO51" i="1"/>
  <c r="AQ36" i="11"/>
  <c r="AE69" i="11"/>
  <c r="AF38" i="1" s="1"/>
  <c r="AS71" i="11"/>
  <c r="AT58" i="1" s="1"/>
  <c r="AL72" i="11"/>
  <c r="AM68" i="1" s="1"/>
  <c r="AE68" i="11"/>
  <c r="R27" i="1"/>
  <c r="R16" i="1" s="1"/>
  <c r="Q36" i="11"/>
  <c r="S36" i="11"/>
  <c r="AE47" i="1"/>
  <c r="AE16" i="1" s="1"/>
  <c r="AD36" i="11"/>
  <c r="Q71" i="11"/>
  <c r="R58" i="1" s="1"/>
  <c r="Q69" i="11"/>
  <c r="R38" i="1" s="1"/>
  <c r="Q72" i="11"/>
  <c r="R68" i="1" s="1"/>
  <c r="AF36" i="11"/>
  <c r="AT36" i="11"/>
  <c r="AT29" i="1"/>
  <c r="AT30" i="1" s="1"/>
  <c r="AT31" i="1" s="1"/>
  <c r="T73" i="11"/>
  <c r="U28" i="1"/>
  <c r="AS70" i="11"/>
  <c r="AT48" i="1" s="1"/>
  <c r="AT49" i="1" s="1"/>
  <c r="I69" i="11"/>
  <c r="I68" i="11"/>
  <c r="I71" i="11"/>
  <c r="Y71" i="11"/>
  <c r="Z58" i="1" s="1"/>
  <c r="Z36" i="11"/>
  <c r="AA27" i="1"/>
  <c r="AA16" i="1" s="1"/>
  <c r="U27" i="1"/>
  <c r="W58" i="1"/>
  <c r="AL68" i="11"/>
  <c r="AI72" i="11"/>
  <c r="AJ68" i="1" s="1"/>
  <c r="I70" i="11"/>
  <c r="AF68" i="11"/>
  <c r="AT70" i="11"/>
  <c r="AU48" i="1" s="1"/>
  <c r="AF72" i="11"/>
  <c r="AG68" i="1" s="1"/>
  <c r="H36" i="11"/>
  <c r="AE72" i="11"/>
  <c r="AF68" i="1" s="1"/>
  <c r="AV59" i="1"/>
  <c r="AV60" i="1" s="1"/>
  <c r="AV61" i="1" s="1"/>
  <c r="AL69" i="11"/>
  <c r="AM38" i="1" s="1"/>
  <c r="L69" i="11"/>
  <c r="L70" i="11"/>
  <c r="L71" i="11"/>
  <c r="L72" i="11"/>
  <c r="R73" i="11"/>
  <c r="S28" i="1"/>
  <c r="S17" i="1" s="1"/>
  <c r="AA71" i="11"/>
  <c r="AB58" i="1" s="1"/>
  <c r="M70" i="11"/>
  <c r="M68" i="11"/>
  <c r="M72" i="11"/>
  <c r="AT68" i="11"/>
  <c r="AD27" i="1"/>
  <c r="AD16" i="1" s="1"/>
  <c r="AC36" i="11"/>
  <c r="AF70" i="11"/>
  <c r="AG48" i="1" s="1"/>
  <c r="I36" i="11"/>
  <c r="W36" i="11"/>
  <c r="V36" i="11"/>
  <c r="AK69" i="11"/>
  <c r="AL38" i="1" s="1"/>
  <c r="AQ61" i="1"/>
  <c r="AS72" i="11"/>
  <c r="AT68" i="1" s="1"/>
  <c r="AD28" i="1"/>
  <c r="AC73" i="11"/>
  <c r="AA72" i="11"/>
  <c r="AB68" i="1" s="1"/>
  <c r="AB69" i="1" s="1"/>
  <c r="AB70" i="1" s="1"/>
  <c r="AB71" i="1" s="1"/>
  <c r="F71" i="11"/>
  <c r="F69" i="11"/>
  <c r="F72" i="11"/>
  <c r="F70" i="11"/>
  <c r="AI70" i="11"/>
  <c r="AJ48" i="1" s="1"/>
  <c r="AT71" i="11"/>
  <c r="AU58" i="1" s="1"/>
  <c r="AI68" i="11"/>
  <c r="AR59" i="1"/>
  <c r="G27" i="1"/>
  <c r="F36" i="11"/>
  <c r="AA69" i="11"/>
  <c r="AB38" i="1" s="1"/>
  <c r="AB39" i="1" s="1"/>
  <c r="AB40" i="1" s="1"/>
  <c r="AB41" i="1" s="1"/>
  <c r="Q27" i="1"/>
  <c r="Q16" i="1" s="1"/>
  <c r="P36" i="11"/>
  <c r="AG36" i="11"/>
  <c r="R27" i="22"/>
  <c r="R28" i="22" s="1"/>
  <c r="R29" i="22" s="1"/>
  <c r="AD59" i="1" s="1"/>
  <c r="AD60" i="1" s="1"/>
  <c r="AD61" i="1" s="1"/>
  <c r="AS36" i="11"/>
  <c r="AF69" i="11"/>
  <c r="AG38" i="1" s="1"/>
  <c r="AL71" i="11"/>
  <c r="AM58" i="1" s="1"/>
  <c r="AI71" i="11"/>
  <c r="AJ58" i="1" s="1"/>
  <c r="Y27" i="1"/>
  <c r="Y16" i="1" s="1"/>
  <c r="X36" i="11"/>
  <c r="M27" i="1"/>
  <c r="L36" i="11"/>
  <c r="K36" i="11"/>
  <c r="Z79" i="1"/>
  <c r="Z81" i="1" s="1"/>
  <c r="Z82" i="1" s="1"/>
  <c r="AA79" i="1" s="1"/>
  <c r="AA81" i="1" s="1"/>
  <c r="AA82" i="1" s="1"/>
  <c r="AB79" i="1" s="1"/>
  <c r="AB81" i="1" s="1"/>
  <c r="AB82" i="1" s="1"/>
  <c r="AC79" i="1" s="1"/>
  <c r="AC81" i="1" s="1"/>
  <c r="AC82" i="1" s="1"/>
  <c r="AD79" i="1" s="1"/>
  <c r="AD81" i="1" s="1"/>
  <c r="AD82" i="1" s="1"/>
  <c r="AE79" i="1" s="1"/>
  <c r="AE81" i="1" s="1"/>
  <c r="AE82" i="1" s="1"/>
  <c r="AF79" i="1" s="1"/>
  <c r="AF81" i="1" s="1"/>
  <c r="AF82" i="1" s="1"/>
  <c r="AG79" i="1" s="1"/>
  <c r="AG81" i="1" s="1"/>
  <c r="AG82" i="1" s="1"/>
  <c r="AH79" i="1" s="1"/>
  <c r="AH81" i="1" s="1"/>
  <c r="AH82" i="1" s="1"/>
  <c r="AQ31" i="1"/>
  <c r="AQ16" i="1"/>
  <c r="AV51" i="1"/>
  <c r="AT16" i="1"/>
  <c r="AO16" i="1"/>
  <c r="AW36" i="11"/>
  <c r="AX37" i="1"/>
  <c r="AX41" i="1" s="1"/>
  <c r="AX71" i="1"/>
  <c r="AW71" i="1"/>
  <c r="AU36" i="11"/>
  <c r="AV16" i="1"/>
  <c r="AV71" i="1"/>
  <c r="AV17" i="1"/>
  <c r="AU16" i="1"/>
  <c r="AU71" i="1"/>
  <c r="AR36" i="11"/>
  <c r="AS16" i="1"/>
  <c r="D12" i="26"/>
  <c r="E12" i="26" s="1"/>
  <c r="F12" i="26" s="1"/>
  <c r="G12" i="26" s="1"/>
  <c r="H12" i="26" s="1"/>
  <c r="I12" i="26" s="1"/>
  <c r="J12" i="26" s="1"/>
  <c r="K12" i="26" s="1"/>
  <c r="L12" i="26" s="1"/>
  <c r="M12" i="26" s="1"/>
  <c r="N12" i="26" s="1"/>
  <c r="O12" i="26" s="1"/>
  <c r="P12" i="26" s="1"/>
  <c r="Q12" i="26" s="1"/>
  <c r="AR16" i="1"/>
  <c r="AR71" i="1"/>
  <c r="AQ41" i="1"/>
  <c r="AP36" i="11"/>
  <c r="AP16" i="1"/>
  <c r="AO36" i="11"/>
  <c r="AP71" i="1"/>
  <c r="AN36" i="11"/>
  <c r="AO59" i="1"/>
  <c r="AO60" i="1" s="1"/>
  <c r="AO61" i="1" s="1"/>
  <c r="AB60" i="27"/>
  <c r="AB61" i="27" s="1"/>
  <c r="AD69" i="1"/>
  <c r="AD70" i="1" s="1"/>
  <c r="AD71" i="1" s="1"/>
  <c r="Z11" i="22"/>
  <c r="T26" i="22"/>
  <c r="U26" i="22" s="1"/>
  <c r="U27" i="22" s="1"/>
  <c r="U28" i="22" s="1"/>
  <c r="U29" i="22" s="1"/>
  <c r="S27" i="22"/>
  <c r="S28" i="22" s="1"/>
  <c r="S29" i="22" s="1"/>
  <c r="AA70" i="27"/>
  <c r="T32" i="22"/>
  <c r="U32" i="22" s="1"/>
  <c r="V32" i="22" s="1"/>
  <c r="W32" i="22" s="1"/>
  <c r="AC30" i="27"/>
  <c r="AC31" i="27" s="1"/>
  <c r="Q20" i="22"/>
  <c r="Q21" i="22" s="1"/>
  <c r="Q22" i="22" s="1"/>
  <c r="AA50" i="27"/>
  <c r="AA51" i="27" s="1"/>
  <c r="AB70" i="27"/>
  <c r="Y25" i="22"/>
  <c r="Q60" i="27"/>
  <c r="Q61" i="27" s="1"/>
  <c r="AE30" i="27"/>
  <c r="AE31" i="27" s="1"/>
  <c r="R50" i="27"/>
  <c r="R51" i="27" s="1"/>
  <c r="H18" i="22"/>
  <c r="I18" i="22" s="1"/>
  <c r="I20" i="22" s="1"/>
  <c r="I21" i="22" s="1"/>
  <c r="I22" i="22" s="1"/>
  <c r="AC60" i="27"/>
  <c r="AC61" i="27" s="1"/>
  <c r="AC39" i="1"/>
  <c r="AC40" i="1" s="1"/>
  <c r="AC41" i="1" s="1"/>
  <c r="AB40" i="27"/>
  <c r="AB41" i="27" s="1"/>
  <c r="AC29" i="1"/>
  <c r="AC30" i="1" s="1"/>
  <c r="AC31" i="1" s="1"/>
  <c r="AB30" i="27"/>
  <c r="AB31" i="27" s="1"/>
  <c r="AA40" i="27"/>
  <c r="AA41" i="27" s="1"/>
  <c r="AC69" i="1"/>
  <c r="AC70" i="1" s="1"/>
  <c r="AC71" i="1" s="1"/>
  <c r="R19" i="22"/>
  <c r="AM67" i="1"/>
  <c r="AM16" i="1" s="1"/>
  <c r="P91" i="1"/>
  <c r="P92" i="1" s="1"/>
  <c r="Q89" i="1" s="1"/>
  <c r="Q91" i="1" s="1"/>
  <c r="Q92" i="1" s="1"/>
  <c r="R89" i="1" s="1"/>
  <c r="R91" i="1" s="1"/>
  <c r="R92" i="1" s="1"/>
  <c r="S89" i="1" s="1"/>
  <c r="S91" i="1" s="1"/>
  <c r="S92" i="1" s="1"/>
  <c r="T89" i="1" s="1"/>
  <c r="T91" i="1" s="1"/>
  <c r="T92" i="1" s="1"/>
  <c r="U89" i="1" s="1"/>
  <c r="U91" i="1" s="1"/>
  <c r="U92" i="1" s="1"/>
  <c r="V89" i="1" s="1"/>
  <c r="V91" i="1" s="1"/>
  <c r="V92" i="1" s="1"/>
  <c r="W89" i="1" s="1"/>
  <c r="W91" i="1" s="1"/>
  <c r="W92" i="1" s="1"/>
  <c r="X89" i="1" s="1"/>
  <c r="X91" i="1" s="1"/>
  <c r="X92" i="1" s="1"/>
  <c r="Y89" i="1" s="1"/>
  <c r="Y91" i="1" s="1"/>
  <c r="Y92" i="1" s="1"/>
  <c r="Z89" i="1" s="1"/>
  <c r="Z91" i="1" s="1"/>
  <c r="Z92" i="1" s="1"/>
  <c r="AA89" i="1" s="1"/>
  <c r="AA91" i="1" s="1"/>
  <c r="AA92" i="1" s="1"/>
  <c r="AB89" i="1" s="1"/>
  <c r="AB91" i="1" s="1"/>
  <c r="AB92" i="1" s="1"/>
  <c r="AC89" i="1" s="1"/>
  <c r="AC91" i="1" s="1"/>
  <c r="AC92" i="1" s="1"/>
  <c r="AD89" i="1" s="1"/>
  <c r="AD91" i="1" s="1"/>
  <c r="AD92" i="1" s="1"/>
  <c r="AE89" i="1" s="1"/>
  <c r="AE91" i="1" s="1"/>
  <c r="AE92" i="1" s="1"/>
  <c r="AF89" i="1" s="1"/>
  <c r="AF91" i="1" s="1"/>
  <c r="AF92" i="1" s="1"/>
  <c r="AG89" i="1" s="1"/>
  <c r="AG91" i="1" s="1"/>
  <c r="AG92" i="1" s="1"/>
  <c r="AH89" i="1" s="1"/>
  <c r="P93" i="1"/>
  <c r="P90" i="1"/>
  <c r="G10" i="1"/>
  <c r="G12" i="1" s="1"/>
  <c r="G13" i="1" s="1"/>
  <c r="F11" i="1"/>
  <c r="AH16" i="1"/>
  <c r="Q39" i="1"/>
  <c r="Q40" i="1" s="1"/>
  <c r="Q41" i="1" s="1"/>
  <c r="P40" i="27"/>
  <c r="P41" i="27" s="1"/>
  <c r="Q49" i="1"/>
  <c r="Q50" i="1" s="1"/>
  <c r="Q51" i="1" s="1"/>
  <c r="P50" i="27"/>
  <c r="P51" i="27" s="1"/>
  <c r="Q69" i="1"/>
  <c r="P49" i="1"/>
  <c r="P50" i="1" s="1"/>
  <c r="P51" i="1" s="1"/>
  <c r="O50" i="27"/>
  <c r="O51" i="27" s="1"/>
  <c r="O59" i="1"/>
  <c r="O60" i="1" s="1"/>
  <c r="O61" i="1" s="1"/>
  <c r="N60" i="27"/>
  <c r="N61" i="27" s="1"/>
  <c r="N62" i="27" s="1"/>
  <c r="Q29" i="1"/>
  <c r="Q30" i="1" s="1"/>
  <c r="P30" i="27"/>
  <c r="P31" i="27" s="1"/>
  <c r="P69" i="1"/>
  <c r="P39" i="1"/>
  <c r="P40" i="1" s="1"/>
  <c r="P41" i="1" s="1"/>
  <c r="O40" i="27"/>
  <c r="O41" i="27" s="1"/>
  <c r="O49" i="1"/>
  <c r="O50" i="1" s="1"/>
  <c r="O51" i="1" s="1"/>
  <c r="N50" i="27"/>
  <c r="N51" i="27" s="1"/>
  <c r="N52" i="27" s="1"/>
  <c r="Q59" i="1"/>
  <c r="Q60" i="1" s="1"/>
  <c r="Q61" i="1" s="1"/>
  <c r="P60" i="27"/>
  <c r="P61" i="27" s="1"/>
  <c r="P59" i="1"/>
  <c r="P60" i="1" s="1"/>
  <c r="P61" i="1" s="1"/>
  <c r="O60" i="27"/>
  <c r="O61" i="27" s="1"/>
  <c r="P29" i="1"/>
  <c r="P30" i="1" s="1"/>
  <c r="P31" i="1" s="1"/>
  <c r="O30" i="27"/>
  <c r="O31" i="27" s="1"/>
  <c r="O39" i="1"/>
  <c r="O40" i="1" s="1"/>
  <c r="O41" i="1" s="1"/>
  <c r="N40" i="27"/>
  <c r="N41" i="27" s="1"/>
  <c r="N42" i="27" s="1"/>
  <c r="O69" i="1"/>
  <c r="O70" i="1" s="1"/>
  <c r="O71" i="1" s="1"/>
  <c r="AJ16" i="1"/>
  <c r="J74" i="27"/>
  <c r="K72" i="27" s="1"/>
  <c r="J23" i="27"/>
  <c r="AK68" i="11"/>
  <c r="AK72" i="11"/>
  <c r="AL68" i="1" s="1"/>
  <c r="AK71" i="11"/>
  <c r="AL58" i="1" s="1"/>
  <c r="AJ36" i="11"/>
  <c r="AK57" i="1"/>
  <c r="AK16" i="1" s="1"/>
  <c r="AJ71" i="11"/>
  <c r="AK58" i="1" s="1"/>
  <c r="AJ69" i="11"/>
  <c r="AK38" i="1" s="1"/>
  <c r="AJ70" i="11"/>
  <c r="AK48" i="1" s="1"/>
  <c r="AJ68" i="11"/>
  <c r="AI36" i="11"/>
  <c r="H33" i="22"/>
  <c r="H34" i="22" s="1"/>
  <c r="G34" i="22"/>
  <c r="G35" i="22" s="1"/>
  <c r="G36" i="22" s="1"/>
  <c r="W4" i="22"/>
  <c r="J26" i="22"/>
  <c r="W33" i="22"/>
  <c r="X33" i="22" s="1"/>
  <c r="Y33" i="22" s="1"/>
  <c r="F34" i="22"/>
  <c r="F35" i="22" s="1"/>
  <c r="F36" i="22" s="1"/>
  <c r="F6" i="22"/>
  <c r="F7" i="22" s="1"/>
  <c r="F8" i="22" s="1"/>
  <c r="S12" i="22"/>
  <c r="R13" i="22"/>
  <c r="R14" i="22" s="1"/>
  <c r="R15" i="22" s="1"/>
  <c r="J19" i="22"/>
  <c r="I12" i="22"/>
  <c r="H5" i="22"/>
  <c r="G6" i="22"/>
  <c r="G7" i="22" s="1"/>
  <c r="G8" i="22" s="1"/>
  <c r="H4" i="22"/>
  <c r="I32" i="22"/>
  <c r="W18" i="22"/>
  <c r="X18" i="22" s="1"/>
  <c r="H25" i="22"/>
  <c r="G27" i="22"/>
  <c r="G28" i="22" s="1"/>
  <c r="G29" i="22" s="1"/>
  <c r="G11" i="22"/>
  <c r="F13" i="22"/>
  <c r="F14" i="22" s="1"/>
  <c r="F15" i="22" s="1"/>
  <c r="AG16" i="1"/>
  <c r="F62" i="1"/>
  <c r="F63" i="1" s="1"/>
  <c r="F64" i="1" s="1"/>
  <c r="AE36" i="11"/>
  <c r="AF16" i="1"/>
  <c r="E74" i="1"/>
  <c r="E34" i="1"/>
  <c r="AP19" i="1" l="1"/>
  <c r="H73" i="11"/>
  <c r="AP31" i="1"/>
  <c r="AP20" i="1"/>
  <c r="T34" i="22"/>
  <c r="T35" i="22" s="1"/>
  <c r="T36" i="22" s="1"/>
  <c r="AP18" i="1"/>
  <c r="AP33" i="26" s="1"/>
  <c r="AP34" i="26" s="1"/>
  <c r="AP35" i="26" s="1"/>
  <c r="AP17" i="1"/>
  <c r="D73" i="11"/>
  <c r="E73" i="11"/>
  <c r="V17" i="1"/>
  <c r="V73" i="11"/>
  <c r="U73" i="11"/>
  <c r="AW19" i="1"/>
  <c r="AE69" i="1"/>
  <c r="AE70" i="1" s="1"/>
  <c r="AE71" i="1" s="1"/>
  <c r="AO73" i="11"/>
  <c r="G73" i="11"/>
  <c r="L73" i="11"/>
  <c r="Q31" i="1"/>
  <c r="S73" i="11"/>
  <c r="AI17" i="1"/>
  <c r="AD73" i="11"/>
  <c r="AW73" i="11"/>
  <c r="AX28" i="1"/>
  <c r="V26" i="22"/>
  <c r="V27" i="22" s="1"/>
  <c r="V28" i="22" s="1"/>
  <c r="V29" i="22" s="1"/>
  <c r="AW17" i="1"/>
  <c r="AS17" i="1"/>
  <c r="AO17" i="1"/>
  <c r="AG73" i="11"/>
  <c r="AV73" i="11"/>
  <c r="AQ17" i="1"/>
  <c r="S5" i="22"/>
  <c r="R6" i="22"/>
  <c r="R7" i="22" s="1"/>
  <c r="R8" i="22" s="1"/>
  <c r="AD29" i="1" s="1"/>
  <c r="AD30" i="1" s="1"/>
  <c r="AD31" i="1" s="1"/>
  <c r="R59" i="1"/>
  <c r="R60" i="1" s="1"/>
  <c r="R61" i="1" s="1"/>
  <c r="AP73" i="11"/>
  <c r="AA28" i="1"/>
  <c r="AA17" i="1" s="1"/>
  <c r="Z73" i="11"/>
  <c r="Y73" i="11"/>
  <c r="T27" i="22"/>
  <c r="T28" i="22" s="1"/>
  <c r="T29" i="22" s="1"/>
  <c r="AF59" i="1" s="1"/>
  <c r="AF60" i="1" s="1"/>
  <c r="AF61" i="1" s="1"/>
  <c r="AW18" i="1"/>
  <c r="AR73" i="11"/>
  <c r="AS73" i="11"/>
  <c r="Y28" i="1"/>
  <c r="Y17" i="1" s="1"/>
  <c r="X73" i="11"/>
  <c r="K73" i="11"/>
  <c r="F73" i="11"/>
  <c r="T36" i="11"/>
  <c r="U16" i="1"/>
  <c r="J18" i="22"/>
  <c r="J20" i="22" s="1"/>
  <c r="J21" i="22" s="1"/>
  <c r="J22" i="22" s="1"/>
  <c r="T17" i="1"/>
  <c r="AH73" i="11"/>
  <c r="AS30" i="1"/>
  <c r="AS18" i="1"/>
  <c r="AN73" i="11"/>
  <c r="Z80" i="1"/>
  <c r="AA80" i="1" s="1"/>
  <c r="AB80" i="1" s="1"/>
  <c r="AC80" i="1" s="1"/>
  <c r="AD80" i="1" s="1"/>
  <c r="AE80" i="1" s="1"/>
  <c r="AF80" i="1" s="1"/>
  <c r="AG80" i="1" s="1"/>
  <c r="AH80" i="1" s="1"/>
  <c r="AV19" i="1"/>
  <c r="AV18" i="1"/>
  <c r="G11" i="1"/>
  <c r="AR60" i="1"/>
  <c r="AR18" i="1"/>
  <c r="AR33" i="26" s="1"/>
  <c r="AR34" i="26" s="1"/>
  <c r="AR35" i="26" s="1"/>
  <c r="AB17" i="1"/>
  <c r="AE17" i="1"/>
  <c r="AU59" i="1"/>
  <c r="AB59" i="1"/>
  <c r="AB60" i="1" s="1"/>
  <c r="AB61" i="1" s="1"/>
  <c r="AG28" i="1"/>
  <c r="AF73" i="11"/>
  <c r="R17" i="1"/>
  <c r="AJ28" i="1"/>
  <c r="AI73" i="11"/>
  <c r="AA73" i="11"/>
  <c r="M31" i="1"/>
  <c r="M20" i="1" s="1"/>
  <c r="M16" i="1"/>
  <c r="AT69" i="1"/>
  <c r="AT70" i="1" s="1"/>
  <c r="AT71" i="1" s="1"/>
  <c r="AT17" i="1"/>
  <c r="AU49" i="1"/>
  <c r="AU50" i="1" s="1"/>
  <c r="AU51" i="1" s="1"/>
  <c r="Z17" i="1"/>
  <c r="AF28" i="1"/>
  <c r="AE73" i="11"/>
  <c r="AB29" i="1"/>
  <c r="AB30" i="1" s="1"/>
  <c r="AB31" i="1" s="1"/>
  <c r="AU28" i="1"/>
  <c r="AU17" i="1" s="1"/>
  <c r="AT73" i="11"/>
  <c r="U17" i="1"/>
  <c r="H20" i="22"/>
  <c r="H21" i="22" s="1"/>
  <c r="H22" i="22" s="1"/>
  <c r="T49" i="1" s="1"/>
  <c r="T50" i="1" s="1"/>
  <c r="T51" i="1" s="1"/>
  <c r="M73" i="11"/>
  <c r="G31" i="1"/>
  <c r="G20" i="1" s="1"/>
  <c r="G16" i="1"/>
  <c r="AL73" i="11"/>
  <c r="AM28" i="1"/>
  <c r="I73" i="11"/>
  <c r="AT59" i="1"/>
  <c r="AT60" i="1" s="1"/>
  <c r="AT61" i="1" s="1"/>
  <c r="W17" i="1"/>
  <c r="Q73" i="11"/>
  <c r="AD17" i="1"/>
  <c r="AO18" i="1"/>
  <c r="AO33" i="26" s="1"/>
  <c r="AO34" i="26" s="1"/>
  <c r="AO35" i="26" s="1"/>
  <c r="AX16" i="1"/>
  <c r="AW20" i="1"/>
  <c r="N53" i="27"/>
  <c r="N54" i="27" s="1"/>
  <c r="O52" i="27" s="1"/>
  <c r="O53" i="27" s="1"/>
  <c r="O54" i="27" s="1"/>
  <c r="P52" i="27" s="1"/>
  <c r="N63" i="27"/>
  <c r="N64" i="27" s="1"/>
  <c r="O62" i="27" s="1"/>
  <c r="O63" i="27" s="1"/>
  <c r="O64" i="27" s="1"/>
  <c r="P62" i="27" s="1"/>
  <c r="AV20" i="1"/>
  <c r="N43" i="27"/>
  <c r="N44" i="27" s="1"/>
  <c r="O42" i="27" s="1"/>
  <c r="O43" i="27" s="1"/>
  <c r="O44" i="27" s="1"/>
  <c r="P42" i="27" s="1"/>
  <c r="AT50" i="1"/>
  <c r="Y5" i="1"/>
  <c r="AQ50" i="1"/>
  <c r="AQ18" i="1"/>
  <c r="AQ33" i="26" s="1"/>
  <c r="AQ34" i="26" s="1"/>
  <c r="AQ35" i="26" s="1"/>
  <c r="AO19" i="1"/>
  <c r="AO71" i="1"/>
  <c r="S50" i="27"/>
  <c r="S51" i="27" s="1"/>
  <c r="R69" i="1"/>
  <c r="R70" i="1" s="1"/>
  <c r="X4" i="22"/>
  <c r="AC49" i="1"/>
  <c r="Z25" i="22"/>
  <c r="AB71" i="27"/>
  <c r="AD70" i="27"/>
  <c r="AA11" i="22"/>
  <c r="AC70" i="27"/>
  <c r="R39" i="1"/>
  <c r="R40" i="1" s="1"/>
  <c r="R41" i="1" s="1"/>
  <c r="Q40" i="27"/>
  <c r="Q41" i="27" s="1"/>
  <c r="Y18" i="22"/>
  <c r="AG59" i="1"/>
  <c r="AG60" i="1" s="1"/>
  <c r="AG61" i="1" s="1"/>
  <c r="AE60" i="27"/>
  <c r="AE61" i="27" s="1"/>
  <c r="R29" i="1"/>
  <c r="R30" i="1" s="1"/>
  <c r="R31" i="1" s="1"/>
  <c r="Q30" i="27"/>
  <c r="Q31" i="27" s="1"/>
  <c r="S19" i="22"/>
  <c r="R20" i="22"/>
  <c r="R21" i="22" s="1"/>
  <c r="R22" i="22" s="1"/>
  <c r="S59" i="1"/>
  <c r="S60" i="1" s="1"/>
  <c r="S61" i="1" s="1"/>
  <c r="R60" i="27"/>
  <c r="R61" i="27" s="1"/>
  <c r="AD39" i="1"/>
  <c r="AD40" i="1" s="1"/>
  <c r="AD41" i="1" s="1"/>
  <c r="AC40" i="27"/>
  <c r="AC41" i="27" s="1"/>
  <c r="S69" i="1"/>
  <c r="S70" i="1" s="1"/>
  <c r="AA18" i="27"/>
  <c r="AE59" i="1"/>
  <c r="AE60" i="1" s="1"/>
  <c r="AE61" i="1" s="1"/>
  <c r="AD60" i="27"/>
  <c r="AD61" i="27" s="1"/>
  <c r="U49" i="1"/>
  <c r="U50" i="1" s="1"/>
  <c r="U51" i="1" s="1"/>
  <c r="T50" i="27"/>
  <c r="T51" i="27" s="1"/>
  <c r="S29" i="1"/>
  <c r="S30" i="1" s="1"/>
  <c r="S31" i="1" s="1"/>
  <c r="R30" i="27"/>
  <c r="R31" i="27" s="1"/>
  <c r="W34" i="22"/>
  <c r="W35" i="22" s="1"/>
  <c r="W36" i="22" s="1"/>
  <c r="X32" i="22"/>
  <c r="AD30" i="27"/>
  <c r="AD31" i="27" s="1"/>
  <c r="AF69" i="1"/>
  <c r="AF70" i="1" s="1"/>
  <c r="AF71" i="1" s="1"/>
  <c r="Z33" i="22"/>
  <c r="AA33" i="22" s="1"/>
  <c r="AA71" i="27"/>
  <c r="AA19" i="27"/>
  <c r="Q93" i="1"/>
  <c r="R93" i="1" s="1"/>
  <c r="Q90" i="1"/>
  <c r="R90" i="1" s="1"/>
  <c r="S90" i="1" s="1"/>
  <c r="T90" i="1" s="1"/>
  <c r="U90" i="1" s="1"/>
  <c r="V90" i="1" s="1"/>
  <c r="W90" i="1" s="1"/>
  <c r="X90" i="1" s="1"/>
  <c r="Y90" i="1" s="1"/>
  <c r="Z90" i="1" s="1"/>
  <c r="AA90" i="1" s="1"/>
  <c r="AB90" i="1" s="1"/>
  <c r="AC90" i="1" s="1"/>
  <c r="AD90" i="1" s="1"/>
  <c r="AE90" i="1" s="1"/>
  <c r="AF90" i="1" s="1"/>
  <c r="AG90" i="1" s="1"/>
  <c r="AH90" i="1" s="1"/>
  <c r="AI79" i="1"/>
  <c r="AI81" i="1" s="1"/>
  <c r="AI82" i="1" s="1"/>
  <c r="H10" i="1"/>
  <c r="H12" i="1" s="1"/>
  <c r="H13" i="1" s="1"/>
  <c r="O70" i="27"/>
  <c r="O18" i="27"/>
  <c r="Q18" i="1"/>
  <c r="Q33" i="26" s="1"/>
  <c r="Q34" i="26" s="1"/>
  <c r="Q35" i="26" s="1"/>
  <c r="Q70" i="1"/>
  <c r="H52" i="1"/>
  <c r="H53" i="1" s="1"/>
  <c r="H54" i="1" s="1"/>
  <c r="O19" i="1"/>
  <c r="P70" i="1"/>
  <c r="P18" i="1"/>
  <c r="P33" i="26" s="1"/>
  <c r="P34" i="26" s="1"/>
  <c r="P35" i="26" s="1"/>
  <c r="O20" i="1"/>
  <c r="O18" i="1"/>
  <c r="O33" i="26" s="1"/>
  <c r="O34" i="26" s="1"/>
  <c r="O35" i="26" s="1"/>
  <c r="O36" i="26" s="1"/>
  <c r="N70" i="27"/>
  <c r="P70" i="27"/>
  <c r="P18" i="27"/>
  <c r="J24" i="27"/>
  <c r="AL28" i="1"/>
  <c r="AL17" i="1" s="1"/>
  <c r="AK73" i="11"/>
  <c r="AK28" i="1"/>
  <c r="AJ73" i="11"/>
  <c r="G13" i="22"/>
  <c r="G14" i="22" s="1"/>
  <c r="G15" i="22" s="1"/>
  <c r="H11" i="22"/>
  <c r="J12" i="22"/>
  <c r="U34" i="22"/>
  <c r="U35" i="22" s="1"/>
  <c r="U36" i="22" s="1"/>
  <c r="I5" i="22"/>
  <c r="K26" i="22"/>
  <c r="J32" i="22"/>
  <c r="I25" i="22"/>
  <c r="H27" i="22"/>
  <c r="H28" i="22" s="1"/>
  <c r="H29" i="22" s="1"/>
  <c r="H6" i="22"/>
  <c r="H7" i="22" s="1"/>
  <c r="H8" i="22" s="1"/>
  <c r="I4" i="22"/>
  <c r="K19" i="22"/>
  <c r="T12" i="22"/>
  <c r="S13" i="22"/>
  <c r="S14" i="22" s="1"/>
  <c r="S15" i="22" s="1"/>
  <c r="V34" i="22"/>
  <c r="V35" i="22" s="1"/>
  <c r="V36" i="22" s="1"/>
  <c r="H35" i="22"/>
  <c r="H36" i="22" s="1"/>
  <c r="I33" i="22"/>
  <c r="AB51" i="1"/>
  <c r="AH91" i="1"/>
  <c r="AH92" i="1" s="1"/>
  <c r="AI89" i="1" s="1"/>
  <c r="H42" i="1"/>
  <c r="H43" i="1" s="1"/>
  <c r="H44" i="1" s="1"/>
  <c r="E23" i="1"/>
  <c r="G62" i="1"/>
  <c r="G63" i="1" s="1"/>
  <c r="G64" i="1" s="1"/>
  <c r="E24" i="1"/>
  <c r="F72" i="1"/>
  <c r="F32" i="1"/>
  <c r="F33" i="1" s="1"/>
  <c r="F34" i="1" s="1"/>
  <c r="W26" i="22" l="1"/>
  <c r="AX29" i="1"/>
  <c r="AX17" i="1"/>
  <c r="T5" i="22"/>
  <c r="S6" i="22"/>
  <c r="S7" i="22" s="1"/>
  <c r="S8" i="22" s="1"/>
  <c r="AE29" i="1" s="1"/>
  <c r="AE30" i="1" s="1"/>
  <c r="AE31" i="1" s="1"/>
  <c r="K18" i="22"/>
  <c r="L18" i="22" s="1"/>
  <c r="AS31" i="1"/>
  <c r="AS20" i="1" s="1"/>
  <c r="AS19" i="1"/>
  <c r="AT18" i="1"/>
  <c r="AB18" i="1"/>
  <c r="AB33" i="26" s="1"/>
  <c r="AB34" i="26" s="1"/>
  <c r="AB35" i="26" s="1"/>
  <c r="AB19" i="1"/>
  <c r="AB20" i="1"/>
  <c r="H11" i="1"/>
  <c r="AU60" i="1"/>
  <c r="AM17" i="1"/>
  <c r="AG17" i="1"/>
  <c r="AR61" i="1"/>
  <c r="AR20" i="1" s="1"/>
  <c r="AR19" i="1"/>
  <c r="AJ17" i="1"/>
  <c r="AU29" i="1"/>
  <c r="AU30" i="1" s="1"/>
  <c r="AU31" i="1" s="1"/>
  <c r="AF17" i="1"/>
  <c r="R18" i="1"/>
  <c r="R33" i="26" s="1"/>
  <c r="R34" i="26" s="1"/>
  <c r="R35" i="26" s="1"/>
  <c r="AA20" i="27"/>
  <c r="P63" i="27"/>
  <c r="P53" i="27"/>
  <c r="P43" i="27"/>
  <c r="P44" i="27" s="1"/>
  <c r="Q42" i="27" s="1"/>
  <c r="Q43" i="27" s="1"/>
  <c r="AT51" i="1"/>
  <c r="AT19" i="1"/>
  <c r="O37" i="26"/>
  <c r="O38" i="26"/>
  <c r="O39" i="26" s="1"/>
  <c r="P36" i="26" s="1"/>
  <c r="AQ51" i="1"/>
  <c r="AQ19" i="1"/>
  <c r="AO20" i="1"/>
  <c r="AE39" i="1"/>
  <c r="AE40" i="1" s="1"/>
  <c r="AE41" i="1" s="1"/>
  <c r="AD40" i="27"/>
  <c r="AD41" i="27" s="1"/>
  <c r="AB50" i="27"/>
  <c r="AB18" i="27"/>
  <c r="Q70" i="27"/>
  <c r="Q19" i="27" s="1"/>
  <c r="Q18" i="27"/>
  <c r="T69" i="1"/>
  <c r="T70" i="1" s="1"/>
  <c r="AH59" i="1"/>
  <c r="AH60" i="1" s="1"/>
  <c r="AH61" i="1" s="1"/>
  <c r="T59" i="1"/>
  <c r="T60" i="1" s="1"/>
  <c r="T61" i="1" s="1"/>
  <c r="S60" i="27"/>
  <c r="S61" i="27" s="1"/>
  <c r="AG69" i="1"/>
  <c r="AG70" i="1" s="1"/>
  <c r="AG71" i="1" s="1"/>
  <c r="Y32" i="22"/>
  <c r="X34" i="22"/>
  <c r="X35" i="22" s="1"/>
  <c r="X36" i="22" s="1"/>
  <c r="AC50" i="1"/>
  <c r="AC18" i="1"/>
  <c r="AC33" i="26" s="1"/>
  <c r="AC34" i="26" s="1"/>
  <c r="AC35" i="26" s="1"/>
  <c r="R70" i="27"/>
  <c r="W27" i="22"/>
  <c r="W28" i="22" s="1"/>
  <c r="W29" i="22" s="1"/>
  <c r="X26" i="22"/>
  <c r="AI69" i="1"/>
  <c r="AI70" i="1" s="1"/>
  <c r="AI71" i="1" s="1"/>
  <c r="AD49" i="1"/>
  <c r="AA25" i="22"/>
  <c r="Y4" i="22"/>
  <c r="V49" i="1"/>
  <c r="V50" i="1" s="1"/>
  <c r="V51" i="1" s="1"/>
  <c r="U50" i="27"/>
  <c r="U51" i="27" s="1"/>
  <c r="T29" i="1"/>
  <c r="T30" i="1" s="1"/>
  <c r="T31" i="1" s="1"/>
  <c r="S30" i="27"/>
  <c r="S31" i="27" s="1"/>
  <c r="S39" i="1"/>
  <c r="S40" i="1" s="1"/>
  <c r="S41" i="1" s="1"/>
  <c r="R40" i="27"/>
  <c r="R41" i="27" s="1"/>
  <c r="AH69" i="1"/>
  <c r="AH70" i="1" s="1"/>
  <c r="AE70" i="27"/>
  <c r="T19" i="22"/>
  <c r="S20" i="22"/>
  <c r="S21" i="22" s="1"/>
  <c r="S22" i="22" s="1"/>
  <c r="Z18" i="22"/>
  <c r="AC71" i="27"/>
  <c r="AD71" i="27"/>
  <c r="S93" i="1"/>
  <c r="T93" i="1" s="1"/>
  <c r="U93" i="1" s="1"/>
  <c r="V93" i="1" s="1"/>
  <c r="W93" i="1" s="1"/>
  <c r="X93" i="1" s="1"/>
  <c r="Y93" i="1" s="1"/>
  <c r="Z93" i="1" s="1"/>
  <c r="AA93" i="1" s="1"/>
  <c r="AB93" i="1" s="1"/>
  <c r="AC93" i="1" s="1"/>
  <c r="AD93" i="1" s="1"/>
  <c r="AE93" i="1" s="1"/>
  <c r="AF93" i="1" s="1"/>
  <c r="AG93" i="1" s="1"/>
  <c r="AH93" i="1" s="1"/>
  <c r="AI93" i="1" s="1"/>
  <c r="AJ79" i="1"/>
  <c r="AJ81" i="1" s="1"/>
  <c r="AJ82" i="1" s="1"/>
  <c r="AK79" i="1" s="1"/>
  <c r="AK81" i="1" s="1"/>
  <c r="AK82" i="1" s="1"/>
  <c r="AL79" i="1" s="1"/>
  <c r="AL81" i="1" s="1"/>
  <c r="AL82" i="1" s="1"/>
  <c r="AI80" i="1"/>
  <c r="I10" i="1"/>
  <c r="I12" i="1" s="1"/>
  <c r="I13" i="1" s="1"/>
  <c r="P71" i="27"/>
  <c r="P19" i="27"/>
  <c r="N71" i="27"/>
  <c r="N19" i="27"/>
  <c r="P71" i="1"/>
  <c r="P20" i="1" s="1"/>
  <c r="P19" i="1"/>
  <c r="O71" i="27"/>
  <c r="O19" i="27"/>
  <c r="I52" i="1"/>
  <c r="I53" i="1" s="1"/>
  <c r="I54" i="1" s="1"/>
  <c r="AK17" i="1"/>
  <c r="Q71" i="1"/>
  <c r="Q20" i="1" s="1"/>
  <c r="Q19" i="1"/>
  <c r="K21" i="27"/>
  <c r="K22" i="27" s="1"/>
  <c r="K73" i="27"/>
  <c r="AI91" i="1"/>
  <c r="AI92" i="1" s="1"/>
  <c r="AJ89" i="1" s="1"/>
  <c r="R71" i="1"/>
  <c r="R20" i="1" s="1"/>
  <c r="R19" i="1"/>
  <c r="J33" i="22"/>
  <c r="J34" i="22" s="1"/>
  <c r="L19" i="22"/>
  <c r="J4" i="22"/>
  <c r="I6" i="22"/>
  <c r="I7" i="22" s="1"/>
  <c r="I8" i="22" s="1"/>
  <c r="I34" i="22"/>
  <c r="I35" i="22" s="1"/>
  <c r="I36" i="22" s="1"/>
  <c r="K12" i="22"/>
  <c r="I11" i="22"/>
  <c r="H13" i="22"/>
  <c r="H14" i="22" s="1"/>
  <c r="H15" i="22" s="1"/>
  <c r="K32" i="22"/>
  <c r="J5" i="22"/>
  <c r="S71" i="1"/>
  <c r="J25" i="22"/>
  <c r="I27" i="22"/>
  <c r="I28" i="22" s="1"/>
  <c r="I29" i="22" s="1"/>
  <c r="L26" i="22"/>
  <c r="T13" i="22"/>
  <c r="T14" i="22" s="1"/>
  <c r="T15" i="22" s="1"/>
  <c r="U12" i="22"/>
  <c r="AI90" i="1"/>
  <c r="H62" i="1"/>
  <c r="H63" i="1" s="1"/>
  <c r="H64" i="1" s="1"/>
  <c r="I42" i="1"/>
  <c r="I43" i="1" s="1"/>
  <c r="I44" i="1" s="1"/>
  <c r="F73" i="1"/>
  <c r="F21" i="1"/>
  <c r="F22" i="1" s="1"/>
  <c r="G32" i="1"/>
  <c r="G33" i="1" s="1"/>
  <c r="G34" i="1" s="1"/>
  <c r="K20" i="22" l="1"/>
  <c r="K21" i="22" s="1"/>
  <c r="K22" i="22" s="1"/>
  <c r="U5" i="22"/>
  <c r="T6" i="22"/>
  <c r="T7" i="22" s="1"/>
  <c r="T8" i="22" s="1"/>
  <c r="AF29" i="1" s="1"/>
  <c r="AF30" i="1" s="1"/>
  <c r="AF31" i="1" s="1"/>
  <c r="AX30" i="1"/>
  <c r="AX18" i="1"/>
  <c r="AU18" i="1"/>
  <c r="AU61" i="1"/>
  <c r="AU20" i="1" s="1"/>
  <c r="AU19" i="1"/>
  <c r="Q44" i="27"/>
  <c r="R42" i="27" s="1"/>
  <c r="R43" i="27" s="1"/>
  <c r="P20" i="27"/>
  <c r="O20" i="27"/>
  <c r="P54" i="27"/>
  <c r="Q52" i="27" s="1"/>
  <c r="Q53" i="27" s="1"/>
  <c r="P64" i="27"/>
  <c r="Q62" i="27" s="1"/>
  <c r="Q63" i="27" s="1"/>
  <c r="N20" i="27"/>
  <c r="AT20" i="1"/>
  <c r="P38" i="26"/>
  <c r="P39" i="26" s="1"/>
  <c r="Q36" i="26" s="1"/>
  <c r="P37" i="26"/>
  <c r="S18" i="1"/>
  <c r="S33" i="26" s="1"/>
  <c r="S34" i="26" s="1"/>
  <c r="S35" i="26" s="1"/>
  <c r="S20" i="1"/>
  <c r="AQ20" i="1"/>
  <c r="S19" i="1"/>
  <c r="AF39" i="1"/>
  <c r="AF40" i="1" s="1"/>
  <c r="AE40" i="27"/>
  <c r="AE41" i="27" s="1"/>
  <c r="T39" i="1"/>
  <c r="T40" i="1" s="1"/>
  <c r="T41" i="1" s="1"/>
  <c r="S40" i="27"/>
  <c r="S41" i="27" s="1"/>
  <c r="AA18" i="22"/>
  <c r="AE49" i="1"/>
  <c r="Z4" i="22"/>
  <c r="AC50" i="27"/>
  <c r="AC18" i="27"/>
  <c r="AJ69" i="1"/>
  <c r="AB51" i="27"/>
  <c r="AB19" i="27"/>
  <c r="AD50" i="1"/>
  <c r="AD18" i="1"/>
  <c r="AD33" i="26" s="1"/>
  <c r="AD34" i="26" s="1"/>
  <c r="AD35" i="26" s="1"/>
  <c r="Z32" i="22"/>
  <c r="Y34" i="22"/>
  <c r="Y35" i="22" s="1"/>
  <c r="Y36" i="22" s="1"/>
  <c r="U29" i="1"/>
  <c r="U30" i="1" s="1"/>
  <c r="U31" i="1" s="1"/>
  <c r="T30" i="27"/>
  <c r="T31" i="27" s="1"/>
  <c r="AE71" i="27"/>
  <c r="Y26" i="22"/>
  <c r="X27" i="22"/>
  <c r="X28" i="22" s="1"/>
  <c r="X29" i="22" s="1"/>
  <c r="AC51" i="1"/>
  <c r="AC20" i="1" s="1"/>
  <c r="AC19" i="1"/>
  <c r="Q71" i="27"/>
  <c r="U59" i="1"/>
  <c r="U60" i="1" s="1"/>
  <c r="U61" i="1" s="1"/>
  <c r="T60" i="27"/>
  <c r="T61" i="27" s="1"/>
  <c r="W49" i="1"/>
  <c r="W50" i="1" s="1"/>
  <c r="W51" i="1" s="1"/>
  <c r="V50" i="27"/>
  <c r="V51" i="27" s="1"/>
  <c r="U69" i="1"/>
  <c r="U70" i="1" s="1"/>
  <c r="T20" i="22"/>
  <c r="T21" i="22" s="1"/>
  <c r="T22" i="22" s="1"/>
  <c r="U19" i="22"/>
  <c r="AI59" i="1"/>
  <c r="AI60" i="1" s="1"/>
  <c r="AI61" i="1" s="1"/>
  <c r="R71" i="27"/>
  <c r="R19" i="27"/>
  <c r="S70" i="27"/>
  <c r="I11" i="1"/>
  <c r="AJ80" i="1"/>
  <c r="AK80" i="1" s="1"/>
  <c r="AL80" i="1" s="1"/>
  <c r="J10" i="1"/>
  <c r="J12" i="1" s="1"/>
  <c r="J13" i="1" s="1"/>
  <c r="J52" i="1"/>
  <c r="J53" i="1" s="1"/>
  <c r="J54" i="1" s="1"/>
  <c r="K74" i="27"/>
  <c r="L72" i="27" s="1"/>
  <c r="K23" i="27"/>
  <c r="AJ91" i="1"/>
  <c r="AJ92" i="1" s="1"/>
  <c r="AK89" i="1" s="1"/>
  <c r="AJ93" i="1"/>
  <c r="AJ90" i="1"/>
  <c r="M18" i="22"/>
  <c r="L20" i="22"/>
  <c r="AH71" i="1"/>
  <c r="K4" i="22"/>
  <c r="J6" i="22"/>
  <c r="J7" i="22" s="1"/>
  <c r="J8" i="22" s="1"/>
  <c r="K25" i="22"/>
  <c r="J27" i="22"/>
  <c r="J28" i="22" s="1"/>
  <c r="J29" i="22" s="1"/>
  <c r="T71" i="1"/>
  <c r="J11" i="22"/>
  <c r="I13" i="22"/>
  <c r="I14" i="22" s="1"/>
  <c r="I15" i="22" s="1"/>
  <c r="U13" i="22"/>
  <c r="U14" i="22" s="1"/>
  <c r="U15" i="22" s="1"/>
  <c r="V12" i="22"/>
  <c r="M26" i="22"/>
  <c r="K5" i="22"/>
  <c r="L12" i="22"/>
  <c r="M19" i="22"/>
  <c r="L21" i="22"/>
  <c r="L22" i="22" s="1"/>
  <c r="K33" i="22"/>
  <c r="K34" i="22" s="1"/>
  <c r="J35" i="22"/>
  <c r="J36" i="22" s="1"/>
  <c r="L32" i="22"/>
  <c r="J42" i="1"/>
  <c r="J43" i="1" s="1"/>
  <c r="J44" i="1" s="1"/>
  <c r="I62" i="1"/>
  <c r="I63" i="1" s="1"/>
  <c r="I64" i="1" s="1"/>
  <c r="H32" i="1"/>
  <c r="H33" i="1" s="1"/>
  <c r="H34" i="1" s="1"/>
  <c r="F74" i="1"/>
  <c r="F23" i="1"/>
  <c r="AX31" i="1" l="1"/>
  <c r="AX20" i="1" s="1"/>
  <c r="AX19" i="1"/>
  <c r="V5" i="22"/>
  <c r="U6" i="22"/>
  <c r="U7" i="22" s="1"/>
  <c r="U8" i="22" s="1"/>
  <c r="AG29" i="1" s="1"/>
  <c r="AG30" i="1" s="1"/>
  <c r="AG31" i="1" s="1"/>
  <c r="Q54" i="27"/>
  <c r="R52" i="27" s="1"/>
  <c r="R53" i="27" s="1"/>
  <c r="R54" i="27" s="1"/>
  <c r="S52" i="27" s="1"/>
  <c r="S53" i="27" s="1"/>
  <c r="R44" i="27"/>
  <c r="S42" i="27" s="1"/>
  <c r="S43" i="27" s="1"/>
  <c r="S44" i="27" s="1"/>
  <c r="R20" i="27"/>
  <c r="Q20" i="27"/>
  <c r="AB20" i="27"/>
  <c r="Q64" i="27"/>
  <c r="Q38" i="26"/>
  <c r="Q39" i="26" s="1"/>
  <c r="R36" i="26" s="1"/>
  <c r="Q37" i="26"/>
  <c r="S18" i="27"/>
  <c r="AF49" i="1"/>
  <c r="AE50" i="1"/>
  <c r="AE18" i="1"/>
  <c r="AE33" i="26" s="1"/>
  <c r="AE34" i="26" s="1"/>
  <c r="AE35" i="26" s="1"/>
  <c r="V69" i="1"/>
  <c r="V70" i="1" s="1"/>
  <c r="T19" i="1"/>
  <c r="T18" i="1"/>
  <c r="T33" i="26" s="1"/>
  <c r="T34" i="26" s="1"/>
  <c r="T35" i="26" s="1"/>
  <c r="V19" i="22"/>
  <c r="U20" i="22"/>
  <c r="U21" i="22" s="1"/>
  <c r="U22" i="22" s="1"/>
  <c r="S71" i="27"/>
  <c r="S19" i="27"/>
  <c r="V29" i="1"/>
  <c r="V30" i="1" s="1"/>
  <c r="V31" i="1" s="1"/>
  <c r="U30" i="27"/>
  <c r="U31" i="27" s="1"/>
  <c r="AG39" i="1"/>
  <c r="AG40" i="1" s="1"/>
  <c r="AG41" i="1" s="1"/>
  <c r="T20" i="1"/>
  <c r="T70" i="27"/>
  <c r="AK69" i="1"/>
  <c r="AJ70" i="1"/>
  <c r="AA4" i="22"/>
  <c r="Z26" i="22"/>
  <c r="Y27" i="22"/>
  <c r="Y28" i="22" s="1"/>
  <c r="Y29" i="22" s="1"/>
  <c r="AC51" i="27"/>
  <c r="AC19" i="27"/>
  <c r="X49" i="1"/>
  <c r="X50" i="1" s="1"/>
  <c r="X51" i="1" s="1"/>
  <c r="W50" i="27"/>
  <c r="W51" i="27" s="1"/>
  <c r="U39" i="1"/>
  <c r="U40" i="1" s="1"/>
  <c r="U41" i="1" s="1"/>
  <c r="T40" i="27"/>
  <c r="T41" i="27" s="1"/>
  <c r="V59" i="1"/>
  <c r="V60" i="1" s="1"/>
  <c r="V61" i="1" s="1"/>
  <c r="U60" i="27"/>
  <c r="U61" i="27" s="1"/>
  <c r="AJ59" i="1"/>
  <c r="AJ60" i="1" s="1"/>
  <c r="AJ61" i="1" s="1"/>
  <c r="AA32" i="22"/>
  <c r="Z34" i="22"/>
  <c r="Z35" i="22" s="1"/>
  <c r="Z36" i="22" s="1"/>
  <c r="AD51" i="1"/>
  <c r="AD20" i="1" s="1"/>
  <c r="AD19" i="1"/>
  <c r="AD50" i="27"/>
  <c r="AD18" i="27"/>
  <c r="J11" i="1"/>
  <c r="AK90" i="1"/>
  <c r="K10" i="1"/>
  <c r="K12" i="1" s="1"/>
  <c r="K13" i="1" s="1"/>
  <c r="K52" i="1"/>
  <c r="K53" i="1" s="1"/>
  <c r="K54" i="1" s="1"/>
  <c r="K24" i="27"/>
  <c r="AK91" i="1"/>
  <c r="AK92" i="1" s="1"/>
  <c r="AL89" i="1" s="1"/>
  <c r="AK93" i="1"/>
  <c r="N19" i="22"/>
  <c r="L5" i="22"/>
  <c r="L4" i="22"/>
  <c r="K6" i="22"/>
  <c r="K7" i="22" s="1"/>
  <c r="K8" i="22" s="1"/>
  <c r="U71" i="1"/>
  <c r="W12" i="22"/>
  <c r="V13" i="22"/>
  <c r="V14" i="22" s="1"/>
  <c r="V15" i="22" s="1"/>
  <c r="AF41" i="1"/>
  <c r="M12" i="22"/>
  <c r="M32" i="22"/>
  <c r="L33" i="22"/>
  <c r="K35" i="22"/>
  <c r="K36" i="22" s="1"/>
  <c r="N26" i="22"/>
  <c r="K11" i="22"/>
  <c r="J13" i="22"/>
  <c r="J14" i="22" s="1"/>
  <c r="J15" i="22" s="1"/>
  <c r="L25" i="22"/>
  <c r="K27" i="22"/>
  <c r="K28" i="22" s="1"/>
  <c r="K29" i="22" s="1"/>
  <c r="M20" i="22"/>
  <c r="M21" i="22" s="1"/>
  <c r="M22" i="22" s="1"/>
  <c r="N18" i="22"/>
  <c r="J62" i="1"/>
  <c r="J63" i="1" s="1"/>
  <c r="J64" i="1" s="1"/>
  <c r="K42" i="1"/>
  <c r="K43" i="1" s="1"/>
  <c r="K44" i="1" s="1"/>
  <c r="G72" i="1"/>
  <c r="F24" i="1"/>
  <c r="I32" i="1"/>
  <c r="I33" i="1" s="1"/>
  <c r="I34" i="1" s="1"/>
  <c r="W5" i="22" l="1"/>
  <c r="V6" i="22"/>
  <c r="V7" i="22" s="1"/>
  <c r="V8" i="22" s="1"/>
  <c r="AH29" i="1" s="1"/>
  <c r="AH30" i="1" s="1"/>
  <c r="AH31" i="1" s="1"/>
  <c r="R62" i="27"/>
  <c r="R63" i="27" s="1"/>
  <c r="R64" i="27" s="1"/>
  <c r="S20" i="27"/>
  <c r="AC20" i="27"/>
  <c r="S54" i="27"/>
  <c r="T52" i="27" s="1"/>
  <c r="T53" i="27" s="1"/>
  <c r="T42" i="27"/>
  <c r="T43" i="27" s="1"/>
  <c r="T44" i="27" s="1"/>
  <c r="R38" i="26"/>
  <c r="R39" i="26" s="1"/>
  <c r="S36" i="26" s="1"/>
  <c r="U19" i="1"/>
  <c r="U20" i="1"/>
  <c r="U18" i="1"/>
  <c r="U33" i="26" s="1"/>
  <c r="U34" i="26" s="1"/>
  <c r="U35" i="26" s="1"/>
  <c r="AJ71" i="1"/>
  <c r="AE50" i="27"/>
  <c r="AE18" i="27"/>
  <c r="W69" i="1"/>
  <c r="W70" i="1" s="1"/>
  <c r="AK70" i="1"/>
  <c r="V20" i="22"/>
  <c r="V21" i="22" s="1"/>
  <c r="V22" i="22" s="1"/>
  <c r="W19" i="22"/>
  <c r="AF50" i="1"/>
  <c r="AF18" i="1"/>
  <c r="AF33" i="26" s="1"/>
  <c r="AF34" i="26" s="1"/>
  <c r="AF35" i="26" s="1"/>
  <c r="W59" i="1"/>
  <c r="W60" i="1" s="1"/>
  <c r="W61" i="1" s="1"/>
  <c r="V60" i="27"/>
  <c r="V61" i="27" s="1"/>
  <c r="AG49" i="1"/>
  <c r="Y49" i="1"/>
  <c r="Y50" i="1" s="1"/>
  <c r="Y51" i="1" s="1"/>
  <c r="X50" i="27"/>
  <c r="X51" i="27" s="1"/>
  <c r="AH39" i="1"/>
  <c r="AH40" i="1" s="1"/>
  <c r="AH41" i="1" s="1"/>
  <c r="AL69" i="1"/>
  <c r="AK59" i="1"/>
  <c r="AK60" i="1" s="1"/>
  <c r="AK61" i="1" s="1"/>
  <c r="AB6" i="22"/>
  <c r="AB7" i="22" s="1"/>
  <c r="AB8" i="22" s="1"/>
  <c r="AN29" i="1" s="1"/>
  <c r="AN30" i="1" s="1"/>
  <c r="AN31" i="1" s="1"/>
  <c r="T71" i="27"/>
  <c r="T19" i="27"/>
  <c r="W29" i="1"/>
  <c r="W30" i="1" s="1"/>
  <c r="W31" i="1" s="1"/>
  <c r="V30" i="27"/>
  <c r="V31" i="27" s="1"/>
  <c r="U70" i="27"/>
  <c r="V39" i="1"/>
  <c r="V40" i="1" s="1"/>
  <c r="V41" i="1" s="1"/>
  <c r="U40" i="27"/>
  <c r="U41" i="27" s="1"/>
  <c r="W13" i="22"/>
  <c r="W14" i="22" s="1"/>
  <c r="W15" i="22" s="1"/>
  <c r="X12" i="22"/>
  <c r="AD51" i="27"/>
  <c r="AD19" i="27"/>
  <c r="AB34" i="22"/>
  <c r="AB35" i="22" s="1"/>
  <c r="AB36" i="22" s="1"/>
  <c r="AN69" i="1" s="1"/>
  <c r="AA34" i="22"/>
  <c r="AA35" i="22" s="1"/>
  <c r="AA36" i="22" s="1"/>
  <c r="AA26" i="22"/>
  <c r="Z27" i="22"/>
  <c r="Z28" i="22" s="1"/>
  <c r="Z29" i="22" s="1"/>
  <c r="AE51" i="1"/>
  <c r="AE20" i="1" s="1"/>
  <c r="AE19" i="1"/>
  <c r="AL93" i="1"/>
  <c r="AM79" i="1"/>
  <c r="AM81" i="1" s="1"/>
  <c r="AM82" i="1" s="1"/>
  <c r="K11" i="1"/>
  <c r="L10" i="1"/>
  <c r="L12" i="1" s="1"/>
  <c r="L13" i="1" s="1"/>
  <c r="L52" i="1"/>
  <c r="L53" i="1" s="1"/>
  <c r="L54" i="1" s="1"/>
  <c r="L21" i="27"/>
  <c r="L22" i="27" s="1"/>
  <c r="L73" i="27"/>
  <c r="AL91" i="1"/>
  <c r="AL92" i="1" s="1"/>
  <c r="AM89" i="1" s="1"/>
  <c r="AL90" i="1"/>
  <c r="O26" i="22"/>
  <c r="V71" i="1"/>
  <c r="M5" i="22"/>
  <c r="M25" i="22"/>
  <c r="L27" i="22"/>
  <c r="L28" i="22" s="1"/>
  <c r="L29" i="22" s="1"/>
  <c r="M33" i="22"/>
  <c r="N12" i="22"/>
  <c r="M4" i="22"/>
  <c r="L6" i="22"/>
  <c r="L7" i="22" s="1"/>
  <c r="L8" i="22" s="1"/>
  <c r="M34" i="22"/>
  <c r="N32" i="22"/>
  <c r="L11" i="22"/>
  <c r="K13" i="22"/>
  <c r="K14" i="22" s="1"/>
  <c r="K15" i="22" s="1"/>
  <c r="N20" i="22"/>
  <c r="N21" i="22" s="1"/>
  <c r="N22" i="22" s="1"/>
  <c r="O18" i="22"/>
  <c r="L34" i="22"/>
  <c r="L35" i="22" s="1"/>
  <c r="L36" i="22" s="1"/>
  <c r="O19" i="22"/>
  <c r="L42" i="1"/>
  <c r="L43" i="1" s="1"/>
  <c r="L44" i="1" s="1"/>
  <c r="K62" i="1"/>
  <c r="K63" i="1" s="1"/>
  <c r="K64" i="1" s="1"/>
  <c r="J32" i="1"/>
  <c r="J33" i="1" s="1"/>
  <c r="J34" i="1" s="1"/>
  <c r="G73" i="1"/>
  <c r="G21" i="1"/>
  <c r="G22" i="1" s="1"/>
  <c r="X5" i="22" l="1"/>
  <c r="W6" i="22"/>
  <c r="W7" i="22" s="1"/>
  <c r="W8" i="22" s="1"/>
  <c r="AI29" i="1" s="1"/>
  <c r="AI30" i="1" s="1"/>
  <c r="AI31" i="1" s="1"/>
  <c r="AN70" i="1"/>
  <c r="AM93" i="1"/>
  <c r="AN79" i="1"/>
  <c r="AN81" i="1" s="1"/>
  <c r="AN82" i="1" s="1"/>
  <c r="AM80" i="1"/>
  <c r="S62" i="27"/>
  <c r="S63" i="27" s="1"/>
  <c r="S64" i="27" s="1"/>
  <c r="AD20" i="27"/>
  <c r="T20" i="27"/>
  <c r="T54" i="27"/>
  <c r="U42" i="27"/>
  <c r="U43" i="27" s="1"/>
  <c r="U44" i="27" s="1"/>
  <c r="R37" i="26"/>
  <c r="S37" i="26" s="1"/>
  <c r="S38" i="26"/>
  <c r="S39" i="26" s="1"/>
  <c r="T36" i="26" s="1"/>
  <c r="V20" i="1"/>
  <c r="V18" i="1"/>
  <c r="V33" i="26" s="1"/>
  <c r="V34" i="26" s="1"/>
  <c r="V35" i="26" s="1"/>
  <c r="V19" i="1"/>
  <c r="U18" i="27"/>
  <c r="X29" i="1"/>
  <c r="X30" i="1" s="1"/>
  <c r="X31" i="1" s="1"/>
  <c r="W30" i="27"/>
  <c r="W31" i="27" s="1"/>
  <c r="W39" i="1"/>
  <c r="W40" i="1" s="1"/>
  <c r="W41" i="1" s="1"/>
  <c r="V40" i="27"/>
  <c r="V41" i="27" s="1"/>
  <c r="AF51" i="1"/>
  <c r="AF20" i="1" s="1"/>
  <c r="AF19" i="1"/>
  <c r="AI39" i="1"/>
  <c r="AI40" i="1" s="1"/>
  <c r="AI41" i="1" s="1"/>
  <c r="U71" i="27"/>
  <c r="U19" i="27"/>
  <c r="AL70" i="1"/>
  <c r="W20" i="22"/>
  <c r="W21" i="22" s="1"/>
  <c r="W22" i="22" s="1"/>
  <c r="X19" i="22"/>
  <c r="AE51" i="27"/>
  <c r="AE19" i="27"/>
  <c r="AM69" i="1"/>
  <c r="Y12" i="22"/>
  <c r="X13" i="22"/>
  <c r="X14" i="22" s="1"/>
  <c r="X15" i="22" s="1"/>
  <c r="AG50" i="1"/>
  <c r="AG18" i="1"/>
  <c r="AG33" i="26" s="1"/>
  <c r="AG34" i="26" s="1"/>
  <c r="AG35" i="26" s="1"/>
  <c r="X69" i="1"/>
  <c r="X70" i="1" s="1"/>
  <c r="X59" i="1"/>
  <c r="X60" i="1" s="1"/>
  <c r="X61" i="1" s="1"/>
  <c r="W60" i="27"/>
  <c r="W61" i="27" s="1"/>
  <c r="AL59" i="1"/>
  <c r="AL60" i="1" s="1"/>
  <c r="AL61" i="1" s="1"/>
  <c r="AH49" i="1"/>
  <c r="AK71" i="1"/>
  <c r="V70" i="27"/>
  <c r="Z49" i="1"/>
  <c r="Z50" i="1" s="1"/>
  <c r="Z51" i="1" s="1"/>
  <c r="Y50" i="27"/>
  <c r="Y51" i="27" s="1"/>
  <c r="AA27" i="22"/>
  <c r="AA28" i="22" s="1"/>
  <c r="AA29" i="22" s="1"/>
  <c r="AM91" i="1"/>
  <c r="AM92" i="1" s="1"/>
  <c r="AN89" i="1" s="1"/>
  <c r="L11" i="1"/>
  <c r="M10" i="1"/>
  <c r="M12" i="1" s="1"/>
  <c r="M13" i="1" s="1"/>
  <c r="M52" i="1"/>
  <c r="M53" i="1" s="1"/>
  <c r="M54" i="1" s="1"/>
  <c r="L74" i="27"/>
  <c r="M72" i="27" s="1"/>
  <c r="K52" i="29" s="1"/>
  <c r="L52" i="29" s="1"/>
  <c r="N66" i="27" s="1"/>
  <c r="L23" i="27"/>
  <c r="AM90" i="1"/>
  <c r="M11" i="22"/>
  <c r="L13" i="22"/>
  <c r="L14" i="22" s="1"/>
  <c r="L15" i="22" s="1"/>
  <c r="N4" i="22"/>
  <c r="M6" i="22"/>
  <c r="M7" i="22" s="1"/>
  <c r="M8" i="22" s="1"/>
  <c r="M35" i="22"/>
  <c r="M36" i="22" s="1"/>
  <c r="N33" i="22"/>
  <c r="N34" i="22" s="1"/>
  <c r="N25" i="22"/>
  <c r="M27" i="22"/>
  <c r="M28" i="22" s="1"/>
  <c r="M29" i="22" s="1"/>
  <c r="O12" i="22"/>
  <c r="O20" i="22"/>
  <c r="O21" i="22" s="1"/>
  <c r="O22" i="22" s="1"/>
  <c r="O32" i="22"/>
  <c r="N5" i="22"/>
  <c r="W71" i="1"/>
  <c r="L62" i="1"/>
  <c r="L63" i="1" s="1"/>
  <c r="L64" i="1" s="1"/>
  <c r="M42" i="1"/>
  <c r="M43" i="1" s="1"/>
  <c r="M44" i="1" s="1"/>
  <c r="G74" i="1"/>
  <c r="G23" i="1"/>
  <c r="K32" i="1"/>
  <c r="K33" i="1" s="1"/>
  <c r="K34" i="1" s="1"/>
  <c r="Y5" i="22" l="1"/>
  <c r="X6" i="22"/>
  <c r="X7" i="22" s="1"/>
  <c r="X8" i="22" s="1"/>
  <c r="AJ29" i="1" s="1"/>
  <c r="AJ30" i="1" s="1"/>
  <c r="AJ31" i="1" s="1"/>
  <c r="AN71" i="1"/>
  <c r="AN80" i="1"/>
  <c r="AO79" i="1"/>
  <c r="AO81" i="1" s="1"/>
  <c r="AO82" i="1" s="1"/>
  <c r="U52" i="27"/>
  <c r="U53" i="27" s="1"/>
  <c r="U54" i="27" s="1"/>
  <c r="T62" i="27"/>
  <c r="T63" i="27" s="1"/>
  <c r="T64" i="27" s="1"/>
  <c r="U20" i="27"/>
  <c r="AE20" i="27"/>
  <c r="V42" i="27"/>
  <c r="V43" i="27" s="1"/>
  <c r="V44" i="27" s="1"/>
  <c r="T38" i="26"/>
  <c r="T39" i="26" s="1"/>
  <c r="U36" i="26" s="1"/>
  <c r="T37" i="26"/>
  <c r="W18" i="1"/>
  <c r="W33" i="26" s="1"/>
  <c r="W34" i="26" s="1"/>
  <c r="W35" i="26" s="1"/>
  <c r="W19" i="1"/>
  <c r="W20" i="1"/>
  <c r="AN91" i="1"/>
  <c r="AN92" i="1" s="1"/>
  <c r="AO89" i="1" s="1"/>
  <c r="AN93" i="1"/>
  <c r="AM59" i="1"/>
  <c r="AM60" i="1" s="1"/>
  <c r="AM61" i="1" s="1"/>
  <c r="X39" i="1"/>
  <c r="X40" i="1" s="1"/>
  <c r="X41" i="1" s="1"/>
  <c r="W40" i="27"/>
  <c r="W41" i="27" s="1"/>
  <c r="AB27" i="22"/>
  <c r="AB28" i="22" s="1"/>
  <c r="AB29" i="22" s="1"/>
  <c r="AN59" i="1" s="1"/>
  <c r="V71" i="27"/>
  <c r="V19" i="27"/>
  <c r="AH50" i="1"/>
  <c r="AH18" i="1"/>
  <c r="AH33" i="26" s="1"/>
  <c r="AH34" i="26" s="1"/>
  <c r="AH35" i="26" s="1"/>
  <c r="Y19" i="22"/>
  <c r="X20" i="22"/>
  <c r="X21" i="22" s="1"/>
  <c r="X22" i="22" s="1"/>
  <c r="AI49" i="1"/>
  <c r="Y59" i="1"/>
  <c r="Y60" i="1" s="1"/>
  <c r="Y61" i="1" s="1"/>
  <c r="X60" i="27"/>
  <c r="X61" i="27" s="1"/>
  <c r="AG19" i="1"/>
  <c r="AG51" i="1"/>
  <c r="AG20" i="1" s="1"/>
  <c r="Z12" i="22"/>
  <c r="Y13" i="22"/>
  <c r="Y14" i="22" s="1"/>
  <c r="Y15" i="22" s="1"/>
  <c r="Y69" i="1"/>
  <c r="Y70" i="1" s="1"/>
  <c r="AJ39" i="1"/>
  <c r="AJ40" i="1" s="1"/>
  <c r="AJ41" i="1" s="1"/>
  <c r="AA49" i="1"/>
  <c r="AA50" i="1" s="1"/>
  <c r="AA51" i="1" s="1"/>
  <c r="Z50" i="27"/>
  <c r="Z51" i="27" s="1"/>
  <c r="Y29" i="1"/>
  <c r="Y30" i="1" s="1"/>
  <c r="Y31" i="1" s="1"/>
  <c r="X30" i="27"/>
  <c r="X31" i="27" s="1"/>
  <c r="V18" i="27"/>
  <c r="W70" i="27"/>
  <c r="AM70" i="1"/>
  <c r="AL71" i="1"/>
  <c r="AN90" i="1"/>
  <c r="N10" i="1"/>
  <c r="N12" i="1" s="1"/>
  <c r="N13" i="1" s="1"/>
  <c r="M11" i="1"/>
  <c r="N52" i="1"/>
  <c r="N53" i="1" s="1"/>
  <c r="N54" i="1" s="1"/>
  <c r="L24" i="27"/>
  <c r="N27" i="22"/>
  <c r="N28" i="22" s="1"/>
  <c r="N29" i="22" s="1"/>
  <c r="O25" i="22"/>
  <c r="O27" i="22" s="1"/>
  <c r="O28" i="22" s="1"/>
  <c r="O29" i="22" s="1"/>
  <c r="O4" i="22"/>
  <c r="N6" i="22"/>
  <c r="N7" i="22" s="1"/>
  <c r="N8" i="22" s="1"/>
  <c r="O5" i="22"/>
  <c r="O33" i="22"/>
  <c r="O34" i="22" s="1"/>
  <c r="N35" i="22"/>
  <c r="N36" i="22" s="1"/>
  <c r="N11" i="22"/>
  <c r="M13" i="22"/>
  <c r="M14" i="22" s="1"/>
  <c r="M15" i="22" s="1"/>
  <c r="X71" i="1"/>
  <c r="N42" i="1"/>
  <c r="N43" i="1" s="1"/>
  <c r="N44" i="1" s="1"/>
  <c r="M62" i="1"/>
  <c r="M63" i="1" s="1"/>
  <c r="M64" i="1" s="1"/>
  <c r="L32" i="1"/>
  <c r="L33" i="1" s="1"/>
  <c r="L34" i="1" s="1"/>
  <c r="G24" i="1"/>
  <c r="H72" i="1"/>
  <c r="Z5" i="22" l="1"/>
  <c r="Y6" i="22"/>
  <c r="Y7" i="22" s="1"/>
  <c r="Y8" i="22" s="1"/>
  <c r="AK29" i="1" s="1"/>
  <c r="AK30" i="1" s="1"/>
  <c r="AK31" i="1" s="1"/>
  <c r="AN60" i="1"/>
  <c r="O6" i="22"/>
  <c r="O7" i="22" s="1"/>
  <c r="O8" i="22" s="1"/>
  <c r="AP79" i="1"/>
  <c r="AP81" i="1" s="1"/>
  <c r="AP82" i="1" s="1"/>
  <c r="AO80" i="1"/>
  <c r="V52" i="27"/>
  <c r="V53" i="27" s="1"/>
  <c r="V54" i="27" s="1"/>
  <c r="W52" i="27" s="1"/>
  <c r="U62" i="27"/>
  <c r="U63" i="27" s="1"/>
  <c r="U64" i="27" s="1"/>
  <c r="V20" i="27"/>
  <c r="X18" i="1"/>
  <c r="X33" i="26" s="1"/>
  <c r="X34" i="26" s="1"/>
  <c r="X35" i="26" s="1"/>
  <c r="W42" i="27"/>
  <c r="W43" i="27" s="1"/>
  <c r="W44" i="27" s="1"/>
  <c r="U38" i="26"/>
  <c r="U39" i="26" s="1"/>
  <c r="V36" i="26" s="1"/>
  <c r="X19" i="1"/>
  <c r="AO91" i="1"/>
  <c r="AO92" i="1" s="1"/>
  <c r="AP89" i="1" s="1"/>
  <c r="AO93" i="1"/>
  <c r="AO90" i="1"/>
  <c r="X20" i="1"/>
  <c r="Z29" i="1"/>
  <c r="Z30" i="1" s="1"/>
  <c r="Z31" i="1" s="1"/>
  <c r="Y30" i="27"/>
  <c r="Y31" i="27" s="1"/>
  <c r="Z69" i="1"/>
  <c r="Z70" i="1" s="1"/>
  <c r="Z59" i="1"/>
  <c r="Z60" i="1" s="1"/>
  <c r="Z61" i="1" s="1"/>
  <c r="Y60" i="27"/>
  <c r="Y61" i="27" s="1"/>
  <c r="AM71" i="1"/>
  <c r="AA12" i="22"/>
  <c r="Z13" i="22"/>
  <c r="Z14" i="22" s="1"/>
  <c r="Z15" i="22" s="1"/>
  <c r="Z19" i="22"/>
  <c r="Y20" i="22"/>
  <c r="Y21" i="22" s="1"/>
  <c r="Y22" i="22" s="1"/>
  <c r="AH19" i="1"/>
  <c r="AH51" i="1"/>
  <c r="AH20" i="1" s="1"/>
  <c r="Y39" i="1"/>
  <c r="Y40" i="1" s="1"/>
  <c r="Y41" i="1" s="1"/>
  <c r="X40" i="27"/>
  <c r="X41" i="27" s="1"/>
  <c r="W18" i="27"/>
  <c r="AI50" i="1"/>
  <c r="AI18" i="1"/>
  <c r="AI33" i="26" s="1"/>
  <c r="AI34" i="26" s="1"/>
  <c r="AI35" i="26" s="1"/>
  <c r="AA59" i="1"/>
  <c r="AA60" i="1" s="1"/>
  <c r="AA61" i="1" s="1"/>
  <c r="Z60" i="27"/>
  <c r="Z61" i="27" s="1"/>
  <c r="W71" i="27"/>
  <c r="W19" i="27"/>
  <c r="X70" i="27"/>
  <c r="AK39" i="1"/>
  <c r="AK40" i="1" s="1"/>
  <c r="AK41" i="1" s="1"/>
  <c r="AJ49" i="1"/>
  <c r="N11" i="1"/>
  <c r="O10" i="1"/>
  <c r="O12" i="1" s="1"/>
  <c r="O13" i="1" s="1"/>
  <c r="P10" i="1" s="1"/>
  <c r="P12" i="1" s="1"/>
  <c r="P13" i="1" s="1"/>
  <c r="O52" i="1"/>
  <c r="O53" i="1" s="1"/>
  <c r="O54" i="1" s="1"/>
  <c r="M73" i="27"/>
  <c r="Y71" i="1"/>
  <c r="O11" i="22"/>
  <c r="O13" i="22" s="1"/>
  <c r="O14" i="22" s="1"/>
  <c r="O15" i="22" s="1"/>
  <c r="N13" i="22"/>
  <c r="N14" i="22" s="1"/>
  <c r="N15" i="22" s="1"/>
  <c r="O35" i="22"/>
  <c r="O36" i="22" s="1"/>
  <c r="N62" i="1"/>
  <c r="N63" i="1" s="1"/>
  <c r="N64" i="1" s="1"/>
  <c r="O42" i="1"/>
  <c r="O43" i="1" s="1"/>
  <c r="O44" i="1" s="1"/>
  <c r="P42" i="1" s="1"/>
  <c r="H21" i="1"/>
  <c r="H22" i="1" s="1"/>
  <c r="H73" i="1"/>
  <c r="M32" i="1"/>
  <c r="M33" i="1" s="1"/>
  <c r="M34" i="1" s="1"/>
  <c r="AA5" i="22" l="1"/>
  <c r="AA6" i="22" s="1"/>
  <c r="AA7" i="22" s="1"/>
  <c r="AA8" i="22" s="1"/>
  <c r="AM29" i="1" s="1"/>
  <c r="AM30" i="1" s="1"/>
  <c r="AM31" i="1" s="1"/>
  <c r="Z6" i="22"/>
  <c r="Z7" i="22" s="1"/>
  <c r="Z8" i="22" s="1"/>
  <c r="AL29" i="1" s="1"/>
  <c r="AL30" i="1" s="1"/>
  <c r="AL31" i="1" s="1"/>
  <c r="AN61" i="1"/>
  <c r="AP80" i="1"/>
  <c r="AQ79" i="1"/>
  <c r="AQ81" i="1" s="1"/>
  <c r="AQ82" i="1" s="1"/>
  <c r="Y19" i="1"/>
  <c r="V62" i="27"/>
  <c r="V63" i="27" s="1"/>
  <c r="V64" i="27" s="1"/>
  <c r="W62" i="27" s="1"/>
  <c r="W63" i="27" s="1"/>
  <c r="W64" i="27" s="1"/>
  <c r="W53" i="27"/>
  <c r="W54" i="27" s="1"/>
  <c r="W20" i="27"/>
  <c r="X42" i="27"/>
  <c r="X43" i="27" s="1"/>
  <c r="X44" i="27" s="1"/>
  <c r="V38" i="26"/>
  <c r="V39" i="26" s="1"/>
  <c r="W36" i="26" s="1"/>
  <c r="U37" i="26"/>
  <c r="V37" i="26" s="1"/>
  <c r="Y20" i="1"/>
  <c r="Y18" i="1"/>
  <c r="Y33" i="26" s="1"/>
  <c r="Y34" i="26" s="1"/>
  <c r="Y35" i="26" s="1"/>
  <c r="AP91" i="1"/>
  <c r="AP92" i="1" s="1"/>
  <c r="AQ89" i="1" s="1"/>
  <c r="AP93" i="1"/>
  <c r="AP90" i="1"/>
  <c r="AL39" i="1"/>
  <c r="AL40" i="1" s="1"/>
  <c r="AL41" i="1" s="1"/>
  <c r="AA39" i="1"/>
  <c r="AA40" i="1" s="1"/>
  <c r="AA41" i="1" s="1"/>
  <c r="X71" i="27"/>
  <c r="X19" i="27"/>
  <c r="AK49" i="1"/>
  <c r="AA29" i="1"/>
  <c r="AA30" i="1" s="1"/>
  <c r="AA31" i="1" s="1"/>
  <c r="AI19" i="1"/>
  <c r="AI51" i="1"/>
  <c r="AI20" i="1" s="1"/>
  <c r="AA19" i="22"/>
  <c r="Z20" i="22"/>
  <c r="Z21" i="22" s="1"/>
  <c r="Z22" i="22" s="1"/>
  <c r="AA13" i="22"/>
  <c r="AA14" i="22" s="1"/>
  <c r="AA15" i="22" s="1"/>
  <c r="AA69" i="1"/>
  <c r="AA70" i="1" s="1"/>
  <c r="Z39" i="1"/>
  <c r="Z40" i="1" s="1"/>
  <c r="Z41" i="1" s="1"/>
  <c r="Y40" i="27"/>
  <c r="Y41" i="27" s="1"/>
  <c r="AJ50" i="1"/>
  <c r="AJ18" i="1"/>
  <c r="AJ33" i="26" s="1"/>
  <c r="AJ34" i="26" s="1"/>
  <c r="AJ35" i="26" s="1"/>
  <c r="X18" i="27"/>
  <c r="Y70" i="27"/>
  <c r="Y71" i="27" s="1"/>
  <c r="O11" i="1"/>
  <c r="P11" i="1" s="1"/>
  <c r="P52" i="1"/>
  <c r="P53" i="1" s="1"/>
  <c r="P54" i="1" s="1"/>
  <c r="M74" i="27"/>
  <c r="N72" i="27" s="1"/>
  <c r="Z71" i="1"/>
  <c r="P43" i="1"/>
  <c r="P44" i="1" s="1"/>
  <c r="O62" i="1"/>
  <c r="O63" i="1" s="1"/>
  <c r="O64" i="1" s="1"/>
  <c r="H74" i="1"/>
  <c r="H23" i="1"/>
  <c r="N32" i="1"/>
  <c r="N33" i="1" s="1"/>
  <c r="N34" i="1" s="1"/>
  <c r="AQ90" i="1" l="1"/>
  <c r="AR79" i="1"/>
  <c r="AR81" i="1" s="1"/>
  <c r="AR82" i="1" s="1"/>
  <c r="AQ80" i="1"/>
  <c r="Y42" i="27"/>
  <c r="Y43" i="27" s="1"/>
  <c r="Y44" i="27" s="1"/>
  <c r="Z42" i="27" s="1"/>
  <c r="X52" i="27"/>
  <c r="X53" i="27" s="1"/>
  <c r="X54" i="27" s="1"/>
  <c r="Y52" i="27" s="1"/>
  <c r="X62" i="27"/>
  <c r="X63" i="27" s="1"/>
  <c r="X64" i="27" s="1"/>
  <c r="Y62" i="27" s="1"/>
  <c r="Y63" i="27" s="1"/>
  <c r="Y64" i="27" s="1"/>
  <c r="AA18" i="1"/>
  <c r="AA33" i="26" s="1"/>
  <c r="AA34" i="26" s="1"/>
  <c r="AA35" i="26" s="1"/>
  <c r="X20" i="27"/>
  <c r="W38" i="26"/>
  <c r="W39" i="26" s="1"/>
  <c r="X36" i="26" s="1"/>
  <c r="W37" i="26"/>
  <c r="AQ91" i="1"/>
  <c r="AQ92" i="1" s="1"/>
  <c r="AR89" i="1" s="1"/>
  <c r="AQ93" i="1"/>
  <c r="Z19" i="1"/>
  <c r="Z18" i="1"/>
  <c r="Z33" i="26" s="1"/>
  <c r="Z34" i="26" s="1"/>
  <c r="Z35" i="26" s="1"/>
  <c r="Y18" i="27"/>
  <c r="AJ51" i="1"/>
  <c r="AJ20" i="1" s="1"/>
  <c r="AJ19" i="1"/>
  <c r="Y19" i="27"/>
  <c r="AL49" i="1"/>
  <c r="AK50" i="1"/>
  <c r="AK18" i="1"/>
  <c r="AK33" i="26" s="1"/>
  <c r="AK34" i="26" s="1"/>
  <c r="AK35" i="26" s="1"/>
  <c r="AM39" i="1"/>
  <c r="AM40" i="1" s="1"/>
  <c r="AM41" i="1" s="1"/>
  <c r="AA20" i="22"/>
  <c r="AA21" i="22" s="1"/>
  <c r="AA22" i="22" s="1"/>
  <c r="Z20" i="1"/>
  <c r="Z70" i="27"/>
  <c r="Z19" i="27" s="1"/>
  <c r="AB13" i="22"/>
  <c r="AB14" i="22" s="1"/>
  <c r="AB15" i="22" s="1"/>
  <c r="AN39" i="1" s="1"/>
  <c r="AN40" i="1" s="1"/>
  <c r="AN41" i="1" s="1"/>
  <c r="Q10" i="1"/>
  <c r="Q12" i="1" s="1"/>
  <c r="Q13" i="1" s="1"/>
  <c r="Q52" i="1"/>
  <c r="Q53" i="1" s="1"/>
  <c r="Q54" i="1" s="1"/>
  <c r="AA71" i="1"/>
  <c r="AA20" i="1" s="1"/>
  <c r="AA19" i="1"/>
  <c r="P62" i="1"/>
  <c r="P63" i="1" s="1"/>
  <c r="P64" i="1" s="1"/>
  <c r="Q42" i="1"/>
  <c r="Q43" i="1" s="1"/>
  <c r="Q44" i="1" s="1"/>
  <c r="I72" i="1"/>
  <c r="H24" i="1"/>
  <c r="O32" i="1"/>
  <c r="O33" i="1" s="1"/>
  <c r="O34" i="1" s="1"/>
  <c r="P32" i="1" s="1"/>
  <c r="P33" i="1" s="1"/>
  <c r="P34" i="1" s="1"/>
  <c r="AR80" i="1" l="1"/>
  <c r="AS79" i="1"/>
  <c r="AS81" i="1" s="1"/>
  <c r="AS82" i="1" s="1"/>
  <c r="Z62" i="27"/>
  <c r="Z63" i="27" s="1"/>
  <c r="Z64" i="27" s="1"/>
  <c r="Y53" i="27"/>
  <c r="Y54" i="27" s="1"/>
  <c r="Y20" i="27"/>
  <c r="X38" i="26"/>
  <c r="X39" i="26" s="1"/>
  <c r="Y36" i="26" s="1"/>
  <c r="AR91" i="1"/>
  <c r="AR92" i="1" s="1"/>
  <c r="AS89" i="1" s="1"/>
  <c r="AR93" i="1"/>
  <c r="AR90" i="1"/>
  <c r="AM49" i="1"/>
  <c r="Z71" i="27"/>
  <c r="AB20" i="22"/>
  <c r="AB21" i="22" s="1"/>
  <c r="AB22" i="22" s="1"/>
  <c r="AN49" i="1" s="1"/>
  <c r="AL50" i="1"/>
  <c r="AL18" i="1"/>
  <c r="AL33" i="26" s="1"/>
  <c r="AL34" i="26" s="1"/>
  <c r="AL35" i="26" s="1"/>
  <c r="AK51" i="1"/>
  <c r="AK20" i="1" s="1"/>
  <c r="AK19" i="1"/>
  <c r="R10" i="1"/>
  <c r="R12" i="1" s="1"/>
  <c r="R13" i="1" s="1"/>
  <c r="Q11" i="1"/>
  <c r="R52" i="1"/>
  <c r="R53" i="1" s="1"/>
  <c r="R54" i="1" s="1"/>
  <c r="N73" i="27"/>
  <c r="N74" i="27" s="1"/>
  <c r="O72" i="27" s="1"/>
  <c r="R42" i="1"/>
  <c r="R43" i="1" s="1"/>
  <c r="R44" i="1" s="1"/>
  <c r="Q62" i="1"/>
  <c r="Q63" i="1" s="1"/>
  <c r="Q64" i="1" s="1"/>
  <c r="I73" i="1"/>
  <c r="I21" i="1"/>
  <c r="I22" i="1" s="1"/>
  <c r="AN50" i="1" l="1"/>
  <c r="AN18" i="1"/>
  <c r="AN33" i="26" s="1"/>
  <c r="AN34" i="26" s="1"/>
  <c r="AN35" i="26" s="1"/>
  <c r="AA62" i="27"/>
  <c r="AT79" i="1"/>
  <c r="AT81" i="1" s="1"/>
  <c r="AT82" i="1" s="1"/>
  <c r="AS80" i="1"/>
  <c r="Z20" i="27"/>
  <c r="Z43" i="27"/>
  <c r="Z44" i="27" s="1"/>
  <c r="Z52" i="27"/>
  <c r="X37" i="26"/>
  <c r="AS91" i="1"/>
  <c r="AS92" i="1" s="1"/>
  <c r="AT89" i="1" s="1"/>
  <c r="AS93" i="1"/>
  <c r="AS90" i="1"/>
  <c r="AM50" i="1"/>
  <c r="AM18" i="1"/>
  <c r="AM33" i="26" s="1"/>
  <c r="AM34" i="26" s="1"/>
  <c r="AM35" i="26" s="1"/>
  <c r="AL51" i="1"/>
  <c r="AL20" i="1" s="1"/>
  <c r="AL19" i="1"/>
  <c r="R11" i="1"/>
  <c r="S10" i="1"/>
  <c r="S12" i="1" s="1"/>
  <c r="S13" i="1" s="1"/>
  <c r="S52" i="1"/>
  <c r="S53" i="1" s="1"/>
  <c r="S54" i="1" s="1"/>
  <c r="R62" i="1"/>
  <c r="R63" i="1" s="1"/>
  <c r="R64" i="1" s="1"/>
  <c r="S42" i="1"/>
  <c r="S43" i="1" s="1"/>
  <c r="S44" i="1" s="1"/>
  <c r="I74" i="1"/>
  <c r="I23" i="1"/>
  <c r="Q32" i="1"/>
  <c r="Q33" i="1" s="1"/>
  <c r="Q34" i="1" s="1"/>
  <c r="AT80" i="1" l="1"/>
  <c r="AN51" i="1"/>
  <c r="AN20" i="1" s="1"/>
  <c r="AN19" i="1"/>
  <c r="AA63" i="27"/>
  <c r="AA64" i="27" s="1"/>
  <c r="AB62" i="27" s="1"/>
  <c r="AB63" i="27" s="1"/>
  <c r="AB64" i="27" s="1"/>
  <c r="AC62" i="27" s="1"/>
  <c r="AC63" i="27" s="1"/>
  <c r="AC64" i="27" s="1"/>
  <c r="AD62" i="27" s="1"/>
  <c r="AD63" i="27" s="1"/>
  <c r="AU79" i="1"/>
  <c r="AU81" i="1" s="1"/>
  <c r="AU82" i="1" s="1"/>
  <c r="AA42" i="27"/>
  <c r="Z53" i="27"/>
  <c r="Z54" i="27" s="1"/>
  <c r="AT91" i="1"/>
  <c r="AT92" i="1" s="1"/>
  <c r="AU89" i="1" s="1"/>
  <c r="AT93" i="1"/>
  <c r="Y37" i="26"/>
  <c r="Y38" i="26"/>
  <c r="Y39" i="26" s="1"/>
  <c r="Z36" i="26" s="1"/>
  <c r="AT90" i="1"/>
  <c r="AM51" i="1"/>
  <c r="AM20" i="1" s="1"/>
  <c r="AM19" i="1"/>
  <c r="T10" i="1"/>
  <c r="T12" i="1" s="1"/>
  <c r="T13" i="1" s="1"/>
  <c r="S11" i="1"/>
  <c r="T52" i="1"/>
  <c r="T53" i="1" s="1"/>
  <c r="T54" i="1" s="1"/>
  <c r="T42" i="1"/>
  <c r="T43" i="1" s="1"/>
  <c r="T44" i="1" s="1"/>
  <c r="S62" i="1"/>
  <c r="S63" i="1" s="1"/>
  <c r="S64" i="1" s="1"/>
  <c r="R32" i="1"/>
  <c r="R33" i="1" s="1"/>
  <c r="R34" i="1" s="1"/>
  <c r="I24" i="1"/>
  <c r="J72" i="1"/>
  <c r="AA43" i="27" l="1"/>
  <c r="AA44" i="27" s="1"/>
  <c r="AB42" i="27" s="1"/>
  <c r="AB43" i="27" s="1"/>
  <c r="AB44" i="27" s="1"/>
  <c r="AU80" i="1"/>
  <c r="AV79" i="1"/>
  <c r="AV81" i="1" s="1"/>
  <c r="AV82" i="1" s="1"/>
  <c r="AA52" i="27"/>
  <c r="AD64" i="27"/>
  <c r="AE62" i="27" s="1"/>
  <c r="AE63" i="27" s="1"/>
  <c r="AU91" i="1"/>
  <c r="AU92" i="1" s="1"/>
  <c r="AV89" i="1" s="1"/>
  <c r="AV91" i="1" s="1"/>
  <c r="AV92" i="1" s="1"/>
  <c r="AW100" i="1" s="1"/>
  <c r="AU93" i="1"/>
  <c r="AU90" i="1"/>
  <c r="Z38" i="26"/>
  <c r="Z39" i="26" s="1"/>
  <c r="AA36" i="26" s="1"/>
  <c r="Z37" i="26"/>
  <c r="T11" i="1"/>
  <c r="U10" i="1"/>
  <c r="U12" i="1" s="1"/>
  <c r="U13" i="1" s="1"/>
  <c r="U52" i="1"/>
  <c r="U53" i="1" s="1"/>
  <c r="U54" i="1" s="1"/>
  <c r="O73" i="27"/>
  <c r="O74" i="27" s="1"/>
  <c r="P72" i="27" s="1"/>
  <c r="T62" i="1"/>
  <c r="T63" i="1" s="1"/>
  <c r="T64" i="1" s="1"/>
  <c r="U42" i="1"/>
  <c r="U43" i="1" s="1"/>
  <c r="U44" i="1" s="1"/>
  <c r="J73" i="1"/>
  <c r="J21" i="1"/>
  <c r="J22" i="1" s="1"/>
  <c r="S32" i="1"/>
  <c r="S33" i="1" s="1"/>
  <c r="S34" i="1" s="1"/>
  <c r="AW102" i="1" l="1"/>
  <c r="AW103" i="1" s="1"/>
  <c r="AX100" i="1" s="1"/>
  <c r="AX102" i="1" s="1"/>
  <c r="AX103" i="1" s="1"/>
  <c r="AY100" i="1" s="1"/>
  <c r="AY102" i="1" s="1"/>
  <c r="AY103" i="1" s="1"/>
  <c r="AZ100" i="1" s="1"/>
  <c r="AZ102" i="1" s="1"/>
  <c r="AZ103" i="1" s="1"/>
  <c r="BA100" i="1" s="1"/>
  <c r="BA102" i="1" s="1"/>
  <c r="BA103" i="1" s="1"/>
  <c r="BB100" i="1" s="1"/>
  <c r="BB102" i="1" s="1"/>
  <c r="BB103" i="1" s="1"/>
  <c r="BC100" i="1" s="1"/>
  <c r="BC102" i="1" s="1"/>
  <c r="BC103" i="1" s="1"/>
  <c r="BD100" i="1" s="1"/>
  <c r="BD102" i="1" s="1"/>
  <c r="BD103" i="1" s="1"/>
  <c r="BE100" i="1" s="1"/>
  <c r="BE102" i="1" s="1"/>
  <c r="BE103" i="1" s="1"/>
  <c r="AV90" i="1"/>
  <c r="AW101" i="1" s="1"/>
  <c r="AV93" i="1"/>
  <c r="AW95" i="1" s="1"/>
  <c r="AW104" i="1" s="1"/>
  <c r="AC42" i="27"/>
  <c r="AC43" i="27" s="1"/>
  <c r="AC44" i="27" s="1"/>
  <c r="AV80" i="1"/>
  <c r="AW79" i="1"/>
  <c r="AW81" i="1" s="1"/>
  <c r="AW82" i="1" s="1"/>
  <c r="AA53" i="27"/>
  <c r="AA54" i="27" s="1"/>
  <c r="AE64" i="27"/>
  <c r="AF62" i="27" s="1"/>
  <c r="AF63" i="27" s="1"/>
  <c r="AF64" i="27" s="1"/>
  <c r="AG62" i="27" s="1"/>
  <c r="AG63" i="27" s="1"/>
  <c r="AG64" i="27" s="1"/>
  <c r="AA38" i="26"/>
  <c r="AA39" i="26" s="1"/>
  <c r="AB36" i="26" s="1"/>
  <c r="U11" i="1"/>
  <c r="V10" i="1"/>
  <c r="V12" i="1" s="1"/>
  <c r="V13" i="1" s="1"/>
  <c r="V52" i="1"/>
  <c r="V53" i="1" s="1"/>
  <c r="V54" i="1" s="1"/>
  <c r="V42" i="1"/>
  <c r="V43" i="1" s="1"/>
  <c r="V44" i="1" s="1"/>
  <c r="U62" i="1"/>
  <c r="U63" i="1" s="1"/>
  <c r="U64" i="1" s="1"/>
  <c r="T32" i="1"/>
  <c r="T33" i="1" s="1"/>
  <c r="T34" i="1" s="1"/>
  <c r="J74" i="1"/>
  <c r="J23" i="1"/>
  <c r="AX104" i="1" l="1"/>
  <c r="AY104" i="1" s="1"/>
  <c r="AZ104" i="1" s="1"/>
  <c r="BA104" i="1" s="1"/>
  <c r="BB104" i="1" s="1"/>
  <c r="BC104" i="1" s="1"/>
  <c r="BD104" i="1" s="1"/>
  <c r="BE104" i="1" s="1"/>
  <c r="AX101" i="1"/>
  <c r="AY101" i="1" s="1"/>
  <c r="AZ101" i="1" s="1"/>
  <c r="BA101" i="1" s="1"/>
  <c r="BB101" i="1" s="1"/>
  <c r="BC101" i="1" s="1"/>
  <c r="BD101" i="1" s="1"/>
  <c r="BE101" i="1" s="1"/>
  <c r="BF100" i="1"/>
  <c r="BF102" i="1" s="1"/>
  <c r="BF103" i="1" s="1"/>
  <c r="BG100" i="1" s="1"/>
  <c r="BG102" i="1" s="1"/>
  <c r="BG103" i="1" s="1"/>
  <c r="BH100" i="1" s="1"/>
  <c r="BH102" i="1" s="1"/>
  <c r="BH103" i="1" s="1"/>
  <c r="BI100" i="1" s="1"/>
  <c r="BI102" i="1" s="1"/>
  <c r="BI103" i="1" s="1"/>
  <c r="BJ100" i="1" s="1"/>
  <c r="BJ102" i="1" s="1"/>
  <c r="BJ103" i="1" s="1"/>
  <c r="BK100" i="1" s="1"/>
  <c r="BK102" i="1" s="1"/>
  <c r="BK103" i="1" s="1"/>
  <c r="BL100" i="1" s="1"/>
  <c r="BL102" i="1" s="1"/>
  <c r="BL103" i="1" s="1"/>
  <c r="BM100" i="1" s="1"/>
  <c r="BM102" i="1" s="1"/>
  <c r="BM103" i="1" s="1"/>
  <c r="BN100" i="1" s="1"/>
  <c r="BN102" i="1" s="1"/>
  <c r="BN103" i="1" s="1"/>
  <c r="BO100" i="1" s="1"/>
  <c r="BO102" i="1" s="1"/>
  <c r="BO103" i="1" s="1"/>
  <c r="AH62" i="27"/>
  <c r="AH63" i="27" s="1"/>
  <c r="AH64" i="27" s="1"/>
  <c r="AD42" i="27"/>
  <c r="AD43" i="27" s="1"/>
  <c r="AD44" i="27" s="1"/>
  <c r="AB52" i="27"/>
  <c r="AW80" i="1"/>
  <c r="AX79" i="1"/>
  <c r="AX81" i="1" s="1"/>
  <c r="AX82" i="1" s="1"/>
  <c r="AB38" i="26"/>
  <c r="AB39" i="26" s="1"/>
  <c r="AC36" i="26" s="1"/>
  <c r="AA37" i="26"/>
  <c r="AB37" i="26" s="1"/>
  <c r="V11" i="1"/>
  <c r="W10" i="1"/>
  <c r="W12" i="1" s="1"/>
  <c r="W13" i="1" s="1"/>
  <c r="W52" i="1"/>
  <c r="W53" i="1" s="1"/>
  <c r="W54" i="1" s="1"/>
  <c r="V62" i="1"/>
  <c r="V63" i="1" s="1"/>
  <c r="V64" i="1" s="1"/>
  <c r="W42" i="1"/>
  <c r="W43" i="1" s="1"/>
  <c r="W44" i="1" s="1"/>
  <c r="K72" i="1"/>
  <c r="J24" i="1"/>
  <c r="U32" i="1"/>
  <c r="U33" i="1" s="1"/>
  <c r="U34" i="1" s="1"/>
  <c r="AB53" i="27" l="1"/>
  <c r="AB54" i="27" s="1"/>
  <c r="AC52" i="27" s="1"/>
  <c r="AC53" i="27" s="1"/>
  <c r="AC54" i="27" s="1"/>
  <c r="AI62" i="27"/>
  <c r="AI63" i="27" s="1"/>
  <c r="AI64" i="27" s="1"/>
  <c r="BP100" i="1"/>
  <c r="BP102" i="1" s="1"/>
  <c r="BP103" i="1" s="1"/>
  <c r="BF101" i="1"/>
  <c r="BG101" i="1" s="1"/>
  <c r="BH101" i="1" s="1"/>
  <c r="BI101" i="1" s="1"/>
  <c r="BJ101" i="1" s="1"/>
  <c r="BK101" i="1" s="1"/>
  <c r="BL101" i="1" s="1"/>
  <c r="BM101" i="1" s="1"/>
  <c r="BN101" i="1" s="1"/>
  <c r="BO101" i="1" s="1"/>
  <c r="BP101" i="1" s="1"/>
  <c r="BF104" i="1"/>
  <c r="BG104" i="1" s="1"/>
  <c r="BH104" i="1" s="1"/>
  <c r="BI104" i="1" s="1"/>
  <c r="BJ104" i="1" s="1"/>
  <c r="BK104" i="1" s="1"/>
  <c r="BL104" i="1" s="1"/>
  <c r="BM104" i="1" s="1"/>
  <c r="BN104" i="1" s="1"/>
  <c r="BO104" i="1" s="1"/>
  <c r="BP104" i="1" s="1"/>
  <c r="AE42" i="27"/>
  <c r="AE43" i="27" s="1"/>
  <c r="AE44" i="27" s="1"/>
  <c r="AF42" i="27" s="1"/>
  <c r="AF43" i="27" s="1"/>
  <c r="AF44" i="27" s="1"/>
  <c r="AG42" i="27" s="1"/>
  <c r="AG43" i="27" s="1"/>
  <c r="AG44" i="27" s="1"/>
  <c r="AY79" i="1"/>
  <c r="AY81" i="1" s="1"/>
  <c r="AY82" i="1" s="1"/>
  <c r="AX80" i="1"/>
  <c r="AC38" i="26"/>
  <c r="AC39" i="26" s="1"/>
  <c r="AD36" i="26" s="1"/>
  <c r="AC37" i="26"/>
  <c r="X10" i="1"/>
  <c r="X12" i="1" s="1"/>
  <c r="X13" i="1" s="1"/>
  <c r="Y10" i="1" s="1"/>
  <c r="Y12" i="1" s="1"/>
  <c r="Y13" i="1" s="1"/>
  <c r="W11" i="1"/>
  <c r="X52" i="1"/>
  <c r="X53" i="1" s="1"/>
  <c r="X54" i="1" s="1"/>
  <c r="P73" i="27"/>
  <c r="P74" i="27" s="1"/>
  <c r="Q72" i="27" s="1"/>
  <c r="X42" i="1"/>
  <c r="X43" i="1" s="1"/>
  <c r="X44" i="1" s="1"/>
  <c r="W62" i="1"/>
  <c r="W63" i="1" s="1"/>
  <c r="W64" i="1" s="1"/>
  <c r="K73" i="1"/>
  <c r="K21" i="1"/>
  <c r="K22" i="1" s="1"/>
  <c r="V32" i="1"/>
  <c r="V33" i="1" s="1"/>
  <c r="V34" i="1" s="1"/>
  <c r="AJ62" i="27" l="1"/>
  <c r="AJ63" i="27" s="1"/>
  <c r="AJ64" i="27" s="1"/>
  <c r="BQ100" i="1"/>
  <c r="BQ102" i="1" s="1"/>
  <c r="BQ103" i="1" s="1"/>
  <c r="BR100" i="1" s="1"/>
  <c r="BR102" i="1" s="1"/>
  <c r="BR103" i="1" s="1"/>
  <c r="BS100" i="1" s="1"/>
  <c r="AH42" i="27"/>
  <c r="AH43" i="27" s="1"/>
  <c r="AH44" i="27" s="1"/>
  <c r="AD52" i="27"/>
  <c r="AD53" i="27" s="1"/>
  <c r="AD54" i="27" s="1"/>
  <c r="AY80" i="1"/>
  <c r="AZ79" i="1"/>
  <c r="AZ81" i="1" s="1"/>
  <c r="AZ82" i="1" s="1"/>
  <c r="BA79" i="1" s="1"/>
  <c r="BA81" i="1" s="1"/>
  <c r="BA82" i="1" s="1"/>
  <c r="AD38" i="26"/>
  <c r="AD39" i="26" s="1"/>
  <c r="AE36" i="26" s="1"/>
  <c r="AD37" i="26"/>
  <c r="X11" i="1"/>
  <c r="Y11" i="1" s="1"/>
  <c r="Y52" i="1"/>
  <c r="Y53" i="1" s="1"/>
  <c r="Y54" i="1" s="1"/>
  <c r="X62" i="1"/>
  <c r="X63" i="1" s="1"/>
  <c r="X64" i="1" s="1"/>
  <c r="Y42" i="1"/>
  <c r="Y43" i="1" s="1"/>
  <c r="Y44" i="1" s="1"/>
  <c r="W32" i="1"/>
  <c r="W33" i="1" s="1"/>
  <c r="W34" i="1" s="1"/>
  <c r="K74" i="1"/>
  <c r="K23" i="1"/>
  <c r="AK62" i="27" l="1"/>
  <c r="AK63" i="27" s="1"/>
  <c r="AK64" i="27" s="1"/>
  <c r="AI42" i="27"/>
  <c r="AI43" i="27" s="1"/>
  <c r="AI44" i="27" s="1"/>
  <c r="BQ104" i="1"/>
  <c r="BR104" i="1" s="1"/>
  <c r="BS104" i="1" s="1"/>
  <c r="BQ101" i="1"/>
  <c r="BR101" i="1" s="1"/>
  <c r="BS101" i="1" s="1"/>
  <c r="BS102" i="1"/>
  <c r="BS103" i="1" s="1"/>
  <c r="AE52" i="27"/>
  <c r="AE53" i="27" s="1"/>
  <c r="AE54" i="27" s="1"/>
  <c r="AF52" i="27" s="1"/>
  <c r="AF53" i="27" s="1"/>
  <c r="AF54" i="27" s="1"/>
  <c r="BB79" i="1"/>
  <c r="BB81" i="1" s="1"/>
  <c r="BB82" i="1" s="1"/>
  <c r="AZ80" i="1"/>
  <c r="BA80" i="1" s="1"/>
  <c r="BB80" i="1" s="1"/>
  <c r="AE38" i="26"/>
  <c r="AE39" i="26" s="1"/>
  <c r="AF36" i="26" s="1"/>
  <c r="Z52" i="1"/>
  <c r="Z53" i="1" s="1"/>
  <c r="Z54" i="1" s="1"/>
  <c r="Z42" i="1"/>
  <c r="Z43" i="1" s="1"/>
  <c r="Z44" i="1" s="1"/>
  <c r="Y62" i="1"/>
  <c r="Y63" i="1" s="1"/>
  <c r="Y64" i="1" s="1"/>
  <c r="X32" i="1"/>
  <c r="X33" i="1" s="1"/>
  <c r="X34" i="1" s="1"/>
  <c r="K24" i="1"/>
  <c r="L72" i="1"/>
  <c r="AJ42" i="27" l="1"/>
  <c r="AJ43" i="27" s="1"/>
  <c r="AJ44" i="27" s="1"/>
  <c r="AL62" i="27"/>
  <c r="BT100" i="1"/>
  <c r="BT104" i="1" s="1"/>
  <c r="AG52" i="27"/>
  <c r="AG53" i="27" s="1"/>
  <c r="AG54" i="27" s="1"/>
  <c r="Z10" i="1"/>
  <c r="Z12" i="1" s="1"/>
  <c r="Z13" i="1" s="1"/>
  <c r="BC79" i="1"/>
  <c r="BC81" i="1" s="1"/>
  <c r="BC82" i="1" s="1"/>
  <c r="AF38" i="26"/>
  <c r="AF39" i="26" s="1"/>
  <c r="AG36" i="26" s="1"/>
  <c r="AE37" i="26"/>
  <c r="AF37" i="26" s="1"/>
  <c r="AA52" i="1"/>
  <c r="AA53" i="1" s="1"/>
  <c r="AA54" i="1" s="1"/>
  <c r="Q73" i="27"/>
  <c r="Q74" i="27" s="1"/>
  <c r="R72" i="27" s="1"/>
  <c r="Z62" i="1"/>
  <c r="Z63" i="1" s="1"/>
  <c r="Z64" i="1" s="1"/>
  <c r="AA42" i="1"/>
  <c r="AA43" i="1" s="1"/>
  <c r="AA44" i="1" s="1"/>
  <c r="L21" i="1"/>
  <c r="L22" i="1" s="1"/>
  <c r="L73" i="1"/>
  <c r="Y32" i="1"/>
  <c r="Y33" i="1" s="1"/>
  <c r="Y34" i="1" s="1"/>
  <c r="AL63" i="27" l="1"/>
  <c r="AL64" i="27" s="1"/>
  <c r="AM62" i="27" s="1"/>
  <c r="AK42" i="27"/>
  <c r="AK43" i="27" s="1"/>
  <c r="AK44" i="27" s="1"/>
  <c r="BT102" i="1"/>
  <c r="BT103" i="1" s="1"/>
  <c r="BU100" i="1" s="1"/>
  <c r="BU102" i="1" s="1"/>
  <c r="BU103" i="1" s="1"/>
  <c r="BV100" i="1" s="1"/>
  <c r="BV102" i="1" s="1"/>
  <c r="BV103" i="1" s="1"/>
  <c r="BW100" i="1" s="1"/>
  <c r="BW102" i="1" s="1"/>
  <c r="BW103" i="1" s="1"/>
  <c r="AO89" i="27" s="1"/>
  <c r="BT101" i="1"/>
  <c r="AH52" i="27"/>
  <c r="AH53" i="27" s="1"/>
  <c r="AH54" i="27" s="1"/>
  <c r="AA10" i="1"/>
  <c r="AA12" i="1" s="1"/>
  <c r="AA13" i="1" s="1"/>
  <c r="AB10" i="1" s="1"/>
  <c r="AB12" i="1" s="1"/>
  <c r="AB13" i="1" s="1"/>
  <c r="Z11" i="1"/>
  <c r="BC80" i="1"/>
  <c r="BD79" i="1"/>
  <c r="BD81" i="1" s="1"/>
  <c r="BD82" i="1" s="1"/>
  <c r="AG38" i="26"/>
  <c r="AG39" i="26" s="1"/>
  <c r="AH36" i="26" s="1"/>
  <c r="AG37" i="26"/>
  <c r="AB52" i="1"/>
  <c r="AB53" i="1" s="1"/>
  <c r="AB54" i="1" s="1"/>
  <c r="AB42" i="1"/>
  <c r="AB43" i="1" s="1"/>
  <c r="AB44" i="1" s="1"/>
  <c r="AA62" i="1"/>
  <c r="AA63" i="1" s="1"/>
  <c r="AA64" i="1" s="1"/>
  <c r="L74" i="1"/>
  <c r="L23" i="1"/>
  <c r="Z32" i="1"/>
  <c r="Z33" i="1" s="1"/>
  <c r="Z34" i="1" s="1"/>
  <c r="AA11" i="1" l="1"/>
  <c r="AO91" i="27"/>
  <c r="AO92" i="27" s="1"/>
  <c r="AO90" i="27"/>
  <c r="AO93" i="27"/>
  <c r="AM63" i="27"/>
  <c r="AM64" i="27" s="1"/>
  <c r="AN62" i="27" s="1"/>
  <c r="AN63" i="27" s="1"/>
  <c r="AN64" i="27" s="1"/>
  <c r="AL42" i="27"/>
  <c r="AI52" i="27"/>
  <c r="AI53" i="27" s="1"/>
  <c r="AI54" i="27" s="1"/>
  <c r="BX100" i="1"/>
  <c r="BX102" i="1" s="1"/>
  <c r="BX103" i="1" s="1"/>
  <c r="BY100" i="1" s="1"/>
  <c r="BY102" i="1" s="1"/>
  <c r="BY103" i="1" s="1"/>
  <c r="BZ100" i="1" s="1"/>
  <c r="BZ102" i="1" s="1"/>
  <c r="BZ103" i="1" s="1"/>
  <c r="CA100" i="1" s="1"/>
  <c r="CA102" i="1" s="1"/>
  <c r="CA103" i="1" s="1"/>
  <c r="CB100" i="1" s="1"/>
  <c r="CB102" i="1" s="1"/>
  <c r="CB103" i="1" s="1"/>
  <c r="CC100" i="1" s="1"/>
  <c r="CC102" i="1" s="1"/>
  <c r="CC103" i="1" s="1"/>
  <c r="CD100" i="1" s="1"/>
  <c r="CD102" i="1" s="1"/>
  <c r="CD103" i="1" s="1"/>
  <c r="CE100" i="1" s="1"/>
  <c r="CE102" i="1" s="1"/>
  <c r="CE103" i="1" s="1"/>
  <c r="CF100" i="1" s="1"/>
  <c r="CF102" i="1" s="1"/>
  <c r="CF103" i="1" s="1"/>
  <c r="CG100" i="1" s="1"/>
  <c r="CG102" i="1" s="1"/>
  <c r="CG103" i="1" s="1"/>
  <c r="CH100" i="1" s="1"/>
  <c r="CH102" i="1" s="1"/>
  <c r="CH103" i="1" s="1"/>
  <c r="CI100" i="1" s="1"/>
  <c r="CI102" i="1" s="1"/>
  <c r="CI103" i="1" s="1"/>
  <c r="CJ100" i="1" s="1"/>
  <c r="CJ102" i="1" s="1"/>
  <c r="CJ103" i="1" s="1"/>
  <c r="CK100" i="1" s="1"/>
  <c r="CK102" i="1" s="1"/>
  <c r="CK103" i="1" s="1"/>
  <c r="CL100" i="1" s="1"/>
  <c r="CL102" i="1" s="1"/>
  <c r="CL103" i="1" s="1"/>
  <c r="CM100" i="1" s="1"/>
  <c r="CM102" i="1" s="1"/>
  <c r="CM103" i="1" s="1"/>
  <c r="CN100" i="1" s="1"/>
  <c r="CN102" i="1" s="1"/>
  <c r="CN103" i="1" s="1"/>
  <c r="CO100" i="1" s="1"/>
  <c r="CO102" i="1" s="1"/>
  <c r="CO103" i="1" s="1"/>
  <c r="CP100" i="1" s="1"/>
  <c r="CP102" i="1" s="1"/>
  <c r="CP103" i="1" s="1"/>
  <c r="CQ100" i="1" s="1"/>
  <c r="CQ102" i="1" s="1"/>
  <c r="CQ103" i="1" s="1"/>
  <c r="CR100" i="1" s="1"/>
  <c r="CR102" i="1" s="1"/>
  <c r="CR103" i="1" s="1"/>
  <c r="CS100" i="1" s="1"/>
  <c r="CS102" i="1" s="1"/>
  <c r="CS103" i="1" s="1"/>
  <c r="CT100" i="1" s="1"/>
  <c r="CT102" i="1" s="1"/>
  <c r="CT103" i="1" s="1"/>
  <c r="CU100" i="1" s="1"/>
  <c r="CU102" i="1" s="1"/>
  <c r="CU103" i="1" s="1"/>
  <c r="BU104" i="1"/>
  <c r="BV104" i="1" s="1"/>
  <c r="BW104" i="1" s="1"/>
  <c r="BU101" i="1"/>
  <c r="BV101" i="1" s="1"/>
  <c r="BW101" i="1" s="1"/>
  <c r="EB102" i="26" s="1"/>
  <c r="EC102" i="26" s="1"/>
  <c r="AZ84" i="27" s="1"/>
  <c r="BD80" i="1"/>
  <c r="BE79" i="1"/>
  <c r="BE81" i="1" s="1"/>
  <c r="BE82" i="1" s="1"/>
  <c r="AH38" i="26"/>
  <c r="AH39" i="26" s="1"/>
  <c r="AI36" i="26" s="1"/>
  <c r="AB11" i="1"/>
  <c r="AC10" i="1"/>
  <c r="AC12" i="1" s="1"/>
  <c r="AC13" i="1" s="1"/>
  <c r="AC52" i="1"/>
  <c r="AC53" i="1" s="1"/>
  <c r="AC54" i="1" s="1"/>
  <c r="AB62" i="1"/>
  <c r="AB63" i="1" s="1"/>
  <c r="AB64" i="1" s="1"/>
  <c r="AC42" i="1"/>
  <c r="AC43" i="1" s="1"/>
  <c r="AC44" i="1" s="1"/>
  <c r="M72" i="1"/>
  <c r="L24" i="1"/>
  <c r="AA32" i="1"/>
  <c r="AA33" i="1" s="1"/>
  <c r="AA34" i="1" s="1"/>
  <c r="BX101" i="1" l="1"/>
  <c r="BY101" i="1" s="1"/>
  <c r="BZ101" i="1" s="1"/>
  <c r="CA101" i="1" s="1"/>
  <c r="CB101" i="1" s="1"/>
  <c r="CC101" i="1" s="1"/>
  <c r="CD101" i="1" s="1"/>
  <c r="CE101" i="1" s="1"/>
  <c r="CF101" i="1" s="1"/>
  <c r="CG101" i="1" s="1"/>
  <c r="CH101" i="1" s="1"/>
  <c r="CI101" i="1" s="1"/>
  <c r="CJ101" i="1" s="1"/>
  <c r="CK101" i="1" s="1"/>
  <c r="CL101" i="1" s="1"/>
  <c r="CM101" i="1" s="1"/>
  <c r="CN101" i="1" s="1"/>
  <c r="CO101" i="1" s="1"/>
  <c r="CP101" i="1" s="1"/>
  <c r="CQ101" i="1" s="1"/>
  <c r="CR101" i="1" s="1"/>
  <c r="CS101" i="1" s="1"/>
  <c r="CT101" i="1" s="1"/>
  <c r="CU101" i="1" s="1"/>
  <c r="AL43" i="27"/>
  <c r="AL44" i="27" s="1"/>
  <c r="AM42" i="27" s="1"/>
  <c r="AM43" i="27" s="1"/>
  <c r="AM44" i="27" s="1"/>
  <c r="AJ52" i="27"/>
  <c r="AJ53" i="27" s="1"/>
  <c r="AJ54" i="27" s="1"/>
  <c r="AO62" i="27"/>
  <c r="AO63" i="27" s="1"/>
  <c r="AO64" i="27" s="1"/>
  <c r="AP89" i="27"/>
  <c r="BE80" i="1"/>
  <c r="BF79" i="1"/>
  <c r="BF81" i="1" s="1"/>
  <c r="BF82" i="1" s="1"/>
  <c r="AH37" i="26"/>
  <c r="AI38" i="26"/>
  <c r="AI39" i="26" s="1"/>
  <c r="AJ36" i="26" s="1"/>
  <c r="AD10" i="1"/>
  <c r="AD12" i="1" s="1"/>
  <c r="AD13" i="1" s="1"/>
  <c r="AC11" i="1"/>
  <c r="AD52" i="1"/>
  <c r="AD53" i="1" s="1"/>
  <c r="AD54" i="1" s="1"/>
  <c r="R73" i="27"/>
  <c r="R74" i="27" s="1"/>
  <c r="S72" i="27" s="1"/>
  <c r="AC62" i="1"/>
  <c r="AC63" i="1" s="1"/>
  <c r="AC64" i="1" s="1"/>
  <c r="AD42" i="1"/>
  <c r="AD43" i="1" s="1"/>
  <c r="AD44" i="1" s="1"/>
  <c r="AB32" i="1"/>
  <c r="AB33" i="1" s="1"/>
  <c r="AB34" i="1" s="1"/>
  <c r="M73" i="1"/>
  <c r="M21" i="1"/>
  <c r="M22" i="1" s="1"/>
  <c r="AK52" i="27" l="1"/>
  <c r="AK53" i="27" s="1"/>
  <c r="AK54" i="27" s="1"/>
  <c r="AP62" i="27"/>
  <c r="AP63" i="27" s="1"/>
  <c r="AP64" i="27" s="1"/>
  <c r="AN42" i="27"/>
  <c r="AN43" i="27" s="1"/>
  <c r="AN44" i="27" s="1"/>
  <c r="AP91" i="27"/>
  <c r="AP92" i="27" s="1"/>
  <c r="AQ89" i="27" s="1"/>
  <c r="AQ91" i="27" s="1"/>
  <c r="AQ92" i="27" s="1"/>
  <c r="AR89" i="27" s="1"/>
  <c r="AR91" i="27" s="1"/>
  <c r="AR92" i="27" s="1"/>
  <c r="AS89" i="27" s="1"/>
  <c r="AS91" i="27" s="1"/>
  <c r="AS92" i="27" s="1"/>
  <c r="AT89" i="27" s="1"/>
  <c r="AT91" i="27" s="1"/>
  <c r="AT92" i="27" s="1"/>
  <c r="AU89" i="27" s="1"/>
  <c r="AU91" i="27" s="1"/>
  <c r="AU92" i="27" s="1"/>
  <c r="AP93" i="27"/>
  <c r="AP90" i="27"/>
  <c r="BF80" i="1"/>
  <c r="BG79" i="1"/>
  <c r="BG81" i="1" s="1"/>
  <c r="BG82" i="1" s="1"/>
  <c r="AJ38" i="26"/>
  <c r="AJ39" i="26" s="1"/>
  <c r="AK36" i="26" s="1"/>
  <c r="AI37" i="26"/>
  <c r="AJ37" i="26" s="1"/>
  <c r="AD11" i="1"/>
  <c r="AE10" i="1"/>
  <c r="AE12" i="1" s="1"/>
  <c r="AE13" i="1" s="1"/>
  <c r="AE52" i="1"/>
  <c r="AE53" i="1" s="1"/>
  <c r="AE54" i="1" s="1"/>
  <c r="AE42" i="1"/>
  <c r="AE43" i="1" s="1"/>
  <c r="AE44" i="1" s="1"/>
  <c r="AD62" i="1"/>
  <c r="AD63" i="1" s="1"/>
  <c r="AD64" i="1" s="1"/>
  <c r="AC32" i="1"/>
  <c r="AC33" i="1" s="1"/>
  <c r="AC34" i="1" s="1"/>
  <c r="M74" i="1"/>
  <c r="M23" i="1"/>
  <c r="AQ62" i="27" l="1"/>
  <c r="AQ63" i="27" s="1"/>
  <c r="AQ64" i="27" s="1"/>
  <c r="AO42" i="27"/>
  <c r="AO43" i="27" s="1"/>
  <c r="AO44" i="27" s="1"/>
  <c r="AL52" i="27"/>
  <c r="AQ93" i="27"/>
  <c r="AR93" i="27" s="1"/>
  <c r="AS93" i="27" s="1"/>
  <c r="AT93" i="27" s="1"/>
  <c r="AU93" i="27" s="1"/>
  <c r="AQ90" i="27"/>
  <c r="AR90" i="27" s="1"/>
  <c r="AS90" i="27" s="1"/>
  <c r="AT90" i="27" s="1"/>
  <c r="AU90" i="27" s="1"/>
  <c r="BG80" i="1"/>
  <c r="BH79" i="1"/>
  <c r="BH81" i="1" s="1"/>
  <c r="BH82" i="1" s="1"/>
  <c r="AK38" i="26"/>
  <c r="AK39" i="26" s="1"/>
  <c r="AL36" i="26" s="1"/>
  <c r="AE11" i="1"/>
  <c r="AF10" i="1"/>
  <c r="AF12" i="1" s="1"/>
  <c r="AF13" i="1" s="1"/>
  <c r="AF52" i="1"/>
  <c r="AF53" i="1" s="1"/>
  <c r="AF54" i="1" s="1"/>
  <c r="AE62" i="1"/>
  <c r="AE63" i="1" s="1"/>
  <c r="AE64" i="1" s="1"/>
  <c r="AF42" i="1"/>
  <c r="AF43" i="1" s="1"/>
  <c r="AF44" i="1" s="1"/>
  <c r="AG42" i="1" s="1"/>
  <c r="AG43" i="1" s="1"/>
  <c r="N72" i="1"/>
  <c r="M24" i="1"/>
  <c r="AD32" i="1"/>
  <c r="AD33" i="1" s="1"/>
  <c r="AD34" i="1" s="1"/>
  <c r="AL53" i="27" l="1"/>
  <c r="AL54" i="27" s="1"/>
  <c r="AM52" i="27" s="1"/>
  <c r="AM53" i="27" s="1"/>
  <c r="AM54" i="27" s="1"/>
  <c r="AP42" i="27"/>
  <c r="AP43" i="27" s="1"/>
  <c r="AP44" i="27" s="1"/>
  <c r="AR62" i="27"/>
  <c r="AR63" i="27" s="1"/>
  <c r="AR64" i="27" s="1"/>
  <c r="BH80" i="1"/>
  <c r="BI79" i="1"/>
  <c r="BI81" i="1" s="1"/>
  <c r="BI82" i="1" s="1"/>
  <c r="AL38" i="26"/>
  <c r="AL39" i="26" s="1"/>
  <c r="AM36" i="26" s="1"/>
  <c r="AK37" i="26"/>
  <c r="AL37" i="26" s="1"/>
  <c r="AF11" i="1"/>
  <c r="AG10" i="1"/>
  <c r="AG12" i="1" s="1"/>
  <c r="AG13" i="1" s="1"/>
  <c r="AG52" i="1"/>
  <c r="AG53" i="1" s="1"/>
  <c r="AG54" i="1" s="1"/>
  <c r="S73" i="27"/>
  <c r="S74" i="27" s="1"/>
  <c r="T72" i="27" s="1"/>
  <c r="AG44" i="1"/>
  <c r="AH42" i="1" s="1"/>
  <c r="AH43" i="1" s="1"/>
  <c r="AF62" i="1"/>
  <c r="AF63" i="1" s="1"/>
  <c r="AF64" i="1" s="1"/>
  <c r="AG62" i="1" s="1"/>
  <c r="AG63" i="1" s="1"/>
  <c r="AE32" i="1"/>
  <c r="AE33" i="1" s="1"/>
  <c r="AE34" i="1" s="1"/>
  <c r="AF32" i="1" s="1"/>
  <c r="AF33" i="1" s="1"/>
  <c r="N73" i="1"/>
  <c r="N21" i="1"/>
  <c r="N22" i="1" s="1"/>
  <c r="AN52" i="27" l="1"/>
  <c r="AN53" i="27" s="1"/>
  <c r="AN54" i="27" s="1"/>
  <c r="AS62" i="27"/>
  <c r="AS63" i="27" s="1"/>
  <c r="AS64" i="27" s="1"/>
  <c r="AQ42" i="27"/>
  <c r="AQ43" i="27" s="1"/>
  <c r="AQ44" i="27" s="1"/>
  <c r="AV89" i="27"/>
  <c r="AV93" i="27" s="1"/>
  <c r="BJ79" i="1"/>
  <c r="BI80" i="1"/>
  <c r="AM38" i="26"/>
  <c r="AM39" i="26" s="1"/>
  <c r="AN36" i="26" s="1"/>
  <c r="AG11" i="1"/>
  <c r="AH10" i="1"/>
  <c r="AH12" i="1" s="1"/>
  <c r="AH13" i="1" s="1"/>
  <c r="AH52" i="1"/>
  <c r="AH53" i="1" s="1"/>
  <c r="AH54" i="1" s="1"/>
  <c r="AG64" i="1"/>
  <c r="AH62" i="1" s="1"/>
  <c r="AH63" i="1" s="1"/>
  <c r="AH44" i="1"/>
  <c r="AI42" i="1" s="1"/>
  <c r="AI43" i="1" s="1"/>
  <c r="AF34" i="1"/>
  <c r="AG32" i="1" s="1"/>
  <c r="AG33" i="1" s="1"/>
  <c r="N74" i="1"/>
  <c r="N23" i="1"/>
  <c r="AT62" i="27" l="1"/>
  <c r="AT63" i="27" s="1"/>
  <c r="AT64" i="27" s="1"/>
  <c r="AR42" i="27"/>
  <c r="AR43" i="27" s="1"/>
  <c r="AR44" i="27" s="1"/>
  <c r="AO52" i="27"/>
  <c r="AO53" i="27" s="1"/>
  <c r="AO54" i="27" s="1"/>
  <c r="AV90" i="27"/>
  <c r="AV91" i="27"/>
  <c r="AV92" i="27" s="1"/>
  <c r="AW89" i="27" s="1"/>
  <c r="AW91" i="27" s="1"/>
  <c r="AW92" i="27" s="1"/>
  <c r="BJ80" i="1"/>
  <c r="BJ81" i="1"/>
  <c r="AN38" i="26"/>
  <c r="AN39" i="26" s="1"/>
  <c r="AO36" i="26" s="1"/>
  <c r="AM37" i="26"/>
  <c r="AH11" i="1"/>
  <c r="AI10" i="1"/>
  <c r="AI12" i="1" s="1"/>
  <c r="AI13" i="1" s="1"/>
  <c r="AI52" i="1"/>
  <c r="AI53" i="1" s="1"/>
  <c r="AI44" i="1"/>
  <c r="AJ42" i="1" s="1"/>
  <c r="AJ43" i="1" s="1"/>
  <c r="AH64" i="1"/>
  <c r="AI62" i="1" s="1"/>
  <c r="AI63" i="1" s="1"/>
  <c r="N24" i="1"/>
  <c r="O72" i="1"/>
  <c r="AG34" i="1"/>
  <c r="AH32" i="1" s="1"/>
  <c r="AH33" i="1" s="1"/>
  <c r="AW90" i="27" l="1"/>
  <c r="AW93" i="27"/>
  <c r="AX89" i="27"/>
  <c r="AS42" i="27"/>
  <c r="AS43" i="27" s="1"/>
  <c r="AS44" i="27" s="1"/>
  <c r="AP52" i="27"/>
  <c r="AP53" i="27" s="1"/>
  <c r="AP54" i="27" s="1"/>
  <c r="AU62" i="27"/>
  <c r="AU63" i="27" s="1"/>
  <c r="AU64" i="27" s="1"/>
  <c r="BJ82" i="1"/>
  <c r="BK79" i="1" s="1"/>
  <c r="AO38" i="26"/>
  <c r="AO39" i="26" s="1"/>
  <c r="AP36" i="26" s="1"/>
  <c r="AN37" i="26"/>
  <c r="AO37" i="26" s="1"/>
  <c r="AJ10" i="1"/>
  <c r="AJ12" i="1" s="1"/>
  <c r="AJ13" i="1" s="1"/>
  <c r="AI11" i="1"/>
  <c r="AI54" i="1"/>
  <c r="T73" i="27"/>
  <c r="T74" i="27" s="1"/>
  <c r="U72" i="27" s="1"/>
  <c r="AI64" i="1"/>
  <c r="AJ62" i="1" s="1"/>
  <c r="AJ63" i="1" s="1"/>
  <c r="AJ44" i="1"/>
  <c r="AK42" i="1" s="1"/>
  <c r="AK43" i="1" s="1"/>
  <c r="O21" i="1"/>
  <c r="O22" i="1" s="1"/>
  <c r="O73" i="1"/>
  <c r="AH34" i="1"/>
  <c r="AI32" i="1" s="1"/>
  <c r="AI33" i="1" s="1"/>
  <c r="AX91" i="27" l="1"/>
  <c r="AX92" i="27" s="1"/>
  <c r="AY89" i="27" s="1"/>
  <c r="AY91" i="27" s="1"/>
  <c r="AX93" i="27"/>
  <c r="AX90" i="27"/>
  <c r="AV62" i="27"/>
  <c r="AQ52" i="27"/>
  <c r="AQ53" i="27" s="1"/>
  <c r="AQ54" i="27" s="1"/>
  <c r="AT42" i="27"/>
  <c r="AT43" i="27" s="1"/>
  <c r="AT44" i="27" s="1"/>
  <c r="BK80" i="1"/>
  <c r="BK81" i="1"/>
  <c r="BK82" i="1" s="1"/>
  <c r="BL79" i="1" s="1"/>
  <c r="BL81" i="1" s="1"/>
  <c r="BL82" i="1" s="1"/>
  <c r="BM79" i="1" s="1"/>
  <c r="AP38" i="26"/>
  <c r="AP39" i="26" s="1"/>
  <c r="AQ36" i="26" s="1"/>
  <c r="AP37" i="26"/>
  <c r="AJ11" i="1"/>
  <c r="AK10" i="1"/>
  <c r="AK12" i="1" s="1"/>
  <c r="AK13" i="1" s="1"/>
  <c r="AJ52" i="1"/>
  <c r="AJ53" i="1" s="1"/>
  <c r="AJ54" i="1" s="1"/>
  <c r="AK44" i="1"/>
  <c r="AL42" i="1" s="1"/>
  <c r="AL43" i="1" s="1"/>
  <c r="AJ64" i="1"/>
  <c r="AK62" i="1" s="1"/>
  <c r="AK63" i="1" s="1"/>
  <c r="AI34" i="1"/>
  <c r="AJ32" i="1" s="1"/>
  <c r="AJ33" i="1" s="1"/>
  <c r="O74" i="1"/>
  <c r="O23" i="1"/>
  <c r="AY90" i="27" l="1"/>
  <c r="AY93" i="27"/>
  <c r="DY90" i="29"/>
  <c r="DZ90" i="29" s="1"/>
  <c r="AY92" i="27"/>
  <c r="AZ89" i="27" s="1"/>
  <c r="AZ91" i="27" s="1"/>
  <c r="AZ92" i="27" s="1"/>
  <c r="BA89" i="27" s="1"/>
  <c r="BA91" i="27" s="1"/>
  <c r="BA92" i="27" s="1"/>
  <c r="BB89" i="27" s="1"/>
  <c r="BB91" i="27" s="1"/>
  <c r="BB92" i="27" s="1"/>
  <c r="BC89" i="27" s="1"/>
  <c r="BC91" i="27" s="1"/>
  <c r="BC92" i="27" s="1"/>
  <c r="AV63" i="27"/>
  <c r="AV64" i="27" s="1"/>
  <c r="AU42" i="27"/>
  <c r="AU43" i="27" s="1"/>
  <c r="AU44" i="27" s="1"/>
  <c r="AR52" i="27"/>
  <c r="AR53" i="27" s="1"/>
  <c r="AR54" i="27" s="1"/>
  <c r="BM81" i="1"/>
  <c r="BL80" i="1"/>
  <c r="BM80" i="1" s="1"/>
  <c r="AQ38" i="26"/>
  <c r="AQ39" i="26" s="1"/>
  <c r="AR36" i="26" s="1"/>
  <c r="AQ37" i="26"/>
  <c r="AL10" i="1"/>
  <c r="AL12" i="1" s="1"/>
  <c r="AL13" i="1" s="1"/>
  <c r="AK11" i="1"/>
  <c r="AK52" i="1"/>
  <c r="AK53" i="1" s="1"/>
  <c r="AK54" i="1" s="1"/>
  <c r="AK64" i="1"/>
  <c r="AL62" i="1" s="1"/>
  <c r="AL63" i="1" s="1"/>
  <c r="AL44" i="1"/>
  <c r="AM42" i="1" s="1"/>
  <c r="AM43" i="1" s="1"/>
  <c r="AJ34" i="1"/>
  <c r="AK32" i="1" s="1"/>
  <c r="AK33" i="1" s="1"/>
  <c r="O24" i="1"/>
  <c r="P72" i="1"/>
  <c r="BD89" i="27" l="1"/>
  <c r="BD91" i="27" s="1"/>
  <c r="BD92" i="27" s="1"/>
  <c r="BE89" i="27" s="1"/>
  <c r="AZ93" i="27"/>
  <c r="BA93" i="27" s="1"/>
  <c r="AZ90" i="27"/>
  <c r="BA90" i="27" s="1"/>
  <c r="BB90" i="27" s="1"/>
  <c r="BC90" i="27" s="1"/>
  <c r="AW62" i="27"/>
  <c r="AW63" i="27" s="1"/>
  <c r="AW64" i="27" s="1"/>
  <c r="AS52" i="27"/>
  <c r="AS53" i="27" s="1"/>
  <c r="AS54" i="27" s="1"/>
  <c r="AV42" i="27"/>
  <c r="BM82" i="1"/>
  <c r="BN79" i="1" s="1"/>
  <c r="BN81" i="1" s="1"/>
  <c r="BN82" i="1" s="1"/>
  <c r="BO79" i="1" s="1"/>
  <c r="BO81" i="1" s="1"/>
  <c r="BO82" i="1" s="1"/>
  <c r="BP79" i="1" s="1"/>
  <c r="BP81" i="1" s="1"/>
  <c r="BP82" i="1" s="1"/>
  <c r="BQ79" i="1" s="1"/>
  <c r="BQ81" i="1" s="1"/>
  <c r="BQ82" i="1" s="1"/>
  <c r="BR79" i="1" s="1"/>
  <c r="BR81" i="1" s="1"/>
  <c r="BR82" i="1" s="1"/>
  <c r="BS79" i="1" s="1"/>
  <c r="BS81" i="1" s="1"/>
  <c r="BS82" i="1" s="1"/>
  <c r="AR38" i="26"/>
  <c r="AR39" i="26" s="1"/>
  <c r="AR37" i="26"/>
  <c r="AL11" i="1"/>
  <c r="AM10" i="1"/>
  <c r="AM12" i="1" s="1"/>
  <c r="AM13" i="1" s="1"/>
  <c r="AL52" i="1"/>
  <c r="AL53" i="1" s="1"/>
  <c r="AL54" i="1" s="1"/>
  <c r="AM52" i="1" s="1"/>
  <c r="U73" i="27"/>
  <c r="U74" i="27" s="1"/>
  <c r="V72" i="27" s="1"/>
  <c r="AM44" i="1"/>
  <c r="AN42" i="1" s="1"/>
  <c r="AN43" i="1" s="1"/>
  <c r="AN44" i="1" s="1"/>
  <c r="AL64" i="1"/>
  <c r="AM62" i="1" s="1"/>
  <c r="AM63" i="1" s="1"/>
  <c r="P21" i="1"/>
  <c r="P22" i="1" s="1"/>
  <c r="P73" i="1"/>
  <c r="AK34" i="1"/>
  <c r="AL32" i="1" s="1"/>
  <c r="AL33" i="1" s="1"/>
  <c r="BE91" i="27" l="1"/>
  <c r="BE92" i="27" s="1"/>
  <c r="BF89" i="27" s="1"/>
  <c r="BF91" i="27" s="1"/>
  <c r="BF92" i="27" s="1"/>
  <c r="BB93" i="27"/>
  <c r="BC93" i="27" s="1"/>
  <c r="BD93" i="27" s="1"/>
  <c r="BE93" i="27" s="1"/>
  <c r="BD90" i="27"/>
  <c r="BE90" i="27" s="1"/>
  <c r="AX62" i="27"/>
  <c r="AX63" i="27" s="1"/>
  <c r="AX64" i="27" s="1"/>
  <c r="AY62" i="27" s="1"/>
  <c r="AV43" i="27"/>
  <c r="AV44" i="27" s="1"/>
  <c r="AT52" i="27"/>
  <c r="AT53" i="27" s="1"/>
  <c r="AT54" i="27" s="1"/>
  <c r="BT79" i="1"/>
  <c r="BT81" i="1" s="1"/>
  <c r="BT82" i="1" s="1"/>
  <c r="BN80" i="1"/>
  <c r="BO80" i="1" s="1"/>
  <c r="BP80" i="1" s="1"/>
  <c r="BQ80" i="1" s="1"/>
  <c r="BR80" i="1" s="1"/>
  <c r="BS80" i="1" s="1"/>
  <c r="AO42" i="1"/>
  <c r="AM53" i="1"/>
  <c r="AN10" i="1"/>
  <c r="AN12" i="1" s="1"/>
  <c r="AN13" i="1" s="1"/>
  <c r="AM11" i="1"/>
  <c r="AM64" i="1"/>
  <c r="AN62" i="1" s="1"/>
  <c r="AN63" i="1" s="1"/>
  <c r="AN64" i="1" s="1"/>
  <c r="AO62" i="1" s="1"/>
  <c r="AO63" i="1" s="1"/>
  <c r="AO64" i="1" s="1"/>
  <c r="AL34" i="1"/>
  <c r="AM32" i="1" s="1"/>
  <c r="AM33" i="1" s="1"/>
  <c r="P74" i="1"/>
  <c r="P23" i="1"/>
  <c r="BF90" i="27" l="1"/>
  <c r="BF93" i="27"/>
  <c r="BG89" i="27"/>
  <c r="BG91" i="27" s="1"/>
  <c r="BG92" i="27" s="1"/>
  <c r="BH89" i="27" s="1"/>
  <c r="BH91" i="27" s="1"/>
  <c r="BH92" i="27" s="1"/>
  <c r="BI89" i="27" s="1"/>
  <c r="BI91" i="27" s="1"/>
  <c r="BI92" i="27" s="1"/>
  <c r="BJ89" i="27" s="1"/>
  <c r="BJ91" i="27" s="1"/>
  <c r="BJ92" i="27" s="1"/>
  <c r="BT80" i="1"/>
  <c r="BU79" i="1"/>
  <c r="BU81" i="1" s="1"/>
  <c r="BU82" i="1" s="1"/>
  <c r="AW42" i="27"/>
  <c r="AW43" i="27" s="1"/>
  <c r="AW44" i="27" s="1"/>
  <c r="AU52" i="27"/>
  <c r="AU53" i="27" s="1"/>
  <c r="AU54" i="27" s="1"/>
  <c r="AP62" i="1"/>
  <c r="AP63" i="1" s="1"/>
  <c r="AP64" i="1" s="1"/>
  <c r="AO43" i="1"/>
  <c r="AM54" i="1"/>
  <c r="AN52" i="1" s="1"/>
  <c r="AN11" i="1"/>
  <c r="AO10" i="1"/>
  <c r="AM34" i="1"/>
  <c r="AN32" i="1" s="1"/>
  <c r="AN33" i="1" s="1"/>
  <c r="AN34" i="1" s="1"/>
  <c r="P24" i="1"/>
  <c r="Q72" i="1"/>
  <c r="BG93" i="27" l="1"/>
  <c r="BH93" i="27" s="1"/>
  <c r="BI93" i="27" s="1"/>
  <c r="BJ93" i="27" s="1"/>
  <c r="BG90" i="27"/>
  <c r="BH90" i="27" s="1"/>
  <c r="BI90" i="27" s="1"/>
  <c r="BJ90" i="27" s="1"/>
  <c r="BK89" i="27"/>
  <c r="BK91" i="27" s="1"/>
  <c r="BK92" i="27" s="1"/>
  <c r="BL89" i="27" s="1"/>
  <c r="BL91" i="27" s="1"/>
  <c r="BL92" i="27" s="1"/>
  <c r="BM89" i="27" s="1"/>
  <c r="BM91" i="27" s="1"/>
  <c r="BM92" i="27" s="1"/>
  <c r="AY63" i="27"/>
  <c r="AY64" i="27" s="1"/>
  <c r="DY62" i="29"/>
  <c r="DZ62" i="29" s="1"/>
  <c r="AZ56" i="27" s="1"/>
  <c r="BV79" i="1"/>
  <c r="BV81" i="1" s="1"/>
  <c r="BV82" i="1" s="1"/>
  <c r="BU80" i="1"/>
  <c r="AX42" i="27"/>
  <c r="AX43" i="27" s="1"/>
  <c r="AX44" i="27" s="1"/>
  <c r="AV52" i="27"/>
  <c r="AO12" i="1"/>
  <c r="AO13" i="1" s="1"/>
  <c r="AP10" i="1" s="1"/>
  <c r="AP12" i="1" s="1"/>
  <c r="AP13" i="1" s="1"/>
  <c r="AQ62" i="1"/>
  <c r="AQ63" i="1" s="1"/>
  <c r="AQ64" i="1" s="1"/>
  <c r="AO32" i="1"/>
  <c r="AO33" i="1" s="1"/>
  <c r="AO34" i="1" s="1"/>
  <c r="AO44" i="1"/>
  <c r="AN53" i="1"/>
  <c r="AO11" i="1"/>
  <c r="V73" i="27"/>
  <c r="V74" i="27" s="1"/>
  <c r="W72" i="27" s="1"/>
  <c r="Q21" i="1"/>
  <c r="Q22" i="1" s="1"/>
  <c r="Q73" i="1"/>
  <c r="AZ62" i="27" l="1"/>
  <c r="BV80" i="1"/>
  <c r="BK90" i="27"/>
  <c r="BL90" i="27" s="1"/>
  <c r="BM90" i="27" s="1"/>
  <c r="BK93" i="27"/>
  <c r="BL93" i="27" s="1"/>
  <c r="BM93" i="27" s="1"/>
  <c r="BN89" i="27"/>
  <c r="BN91" i="27" s="1"/>
  <c r="BN92" i="27" s="1"/>
  <c r="AZ63" i="27"/>
  <c r="AZ64" i="27" s="1"/>
  <c r="BW79" i="1"/>
  <c r="BW81" i="1" s="1"/>
  <c r="BW82" i="1" s="1"/>
  <c r="BX82" i="1" s="1"/>
  <c r="BY82" i="1" s="1"/>
  <c r="BZ82" i="1" s="1"/>
  <c r="CA82" i="1" s="1"/>
  <c r="CB82" i="1" s="1"/>
  <c r="CC82" i="1" s="1"/>
  <c r="CD82" i="1" s="1"/>
  <c r="CE82" i="1" s="1"/>
  <c r="CF82" i="1" s="1"/>
  <c r="CG82" i="1" s="1"/>
  <c r="CH82" i="1" s="1"/>
  <c r="CI82" i="1" s="1"/>
  <c r="CJ82" i="1" s="1"/>
  <c r="CK82" i="1" s="1"/>
  <c r="CL82" i="1" s="1"/>
  <c r="CM82" i="1" s="1"/>
  <c r="CN82" i="1" s="1"/>
  <c r="CO82" i="1" s="1"/>
  <c r="CP82" i="1" s="1"/>
  <c r="CQ82" i="1" s="1"/>
  <c r="CR82" i="1" s="1"/>
  <c r="CS82" i="1" s="1"/>
  <c r="CT82" i="1" s="1"/>
  <c r="CU82" i="1" s="1"/>
  <c r="AY42" i="27"/>
  <c r="AV53" i="27"/>
  <c r="AV54" i="27" s="1"/>
  <c r="AR62" i="1"/>
  <c r="AR63" i="1" s="1"/>
  <c r="AR64" i="1" s="1"/>
  <c r="AP32" i="1"/>
  <c r="AP33" i="1" s="1"/>
  <c r="AP34" i="1" s="1"/>
  <c r="AP42" i="1"/>
  <c r="AN54" i="1"/>
  <c r="AO52" i="1" s="1"/>
  <c r="AP11" i="1"/>
  <c r="AQ10" i="1"/>
  <c r="AQ12" i="1" s="1"/>
  <c r="AQ13" i="1" s="1"/>
  <c r="Q74" i="1"/>
  <c r="Q23" i="1"/>
  <c r="BN93" i="27" l="1"/>
  <c r="BO89" i="27"/>
  <c r="BN90" i="27"/>
  <c r="BW80" i="1"/>
  <c r="BA62" i="27"/>
  <c r="BA63" i="27" s="1"/>
  <c r="BA64" i="27" s="1"/>
  <c r="BB62" i="27" s="1"/>
  <c r="BB63" i="27" s="1"/>
  <c r="BB64" i="27" s="1"/>
  <c r="BC62" i="27" s="1"/>
  <c r="BC63" i="27" s="1"/>
  <c r="BC64" i="27" s="1"/>
  <c r="BD62" i="27" s="1"/>
  <c r="BD63" i="27" s="1"/>
  <c r="BD64" i="27" s="1"/>
  <c r="BE62" i="27" s="1"/>
  <c r="BE63" i="27" s="1"/>
  <c r="BE64" i="27" s="1"/>
  <c r="BF62" i="27" s="1"/>
  <c r="BF63" i="27" s="1"/>
  <c r="BF64" i="27" s="1"/>
  <c r="BG62" i="27" s="1"/>
  <c r="BG63" i="27" s="1"/>
  <c r="BG64" i="27" s="1"/>
  <c r="BH62" i="27" s="1"/>
  <c r="BH63" i="27" s="1"/>
  <c r="BH64" i="27" s="1"/>
  <c r="BI62" i="27" s="1"/>
  <c r="BI63" i="27" s="1"/>
  <c r="BI64" i="27" s="1"/>
  <c r="BJ62" i="27" s="1"/>
  <c r="BJ63" i="27" s="1"/>
  <c r="BJ64" i="27" s="1"/>
  <c r="BK62" i="27" s="1"/>
  <c r="BK63" i="27" s="1"/>
  <c r="BK64" i="27" s="1"/>
  <c r="BL62" i="27" s="1"/>
  <c r="BL63" i="27" s="1"/>
  <c r="BL64" i="27" s="1"/>
  <c r="BM62" i="27" s="1"/>
  <c r="AY43" i="27"/>
  <c r="AY44" i="27" s="1"/>
  <c r="DY42" i="29"/>
  <c r="DZ42" i="29" s="1"/>
  <c r="AZ36" i="27" s="1"/>
  <c r="AW52" i="27"/>
  <c r="AW53" i="27" s="1"/>
  <c r="AW54" i="27" s="1"/>
  <c r="AS62" i="1"/>
  <c r="AS63" i="1" s="1"/>
  <c r="AS64" i="1" s="1"/>
  <c r="AQ32" i="1"/>
  <c r="AQ33" i="1" s="1"/>
  <c r="AQ34" i="1" s="1"/>
  <c r="AO53" i="1"/>
  <c r="AP43" i="1"/>
  <c r="AR10" i="1"/>
  <c r="AR12" i="1" s="1"/>
  <c r="AR13" i="1" s="1"/>
  <c r="AQ11" i="1"/>
  <c r="Q24" i="1"/>
  <c r="R72" i="1"/>
  <c r="AZ42" i="27" l="1"/>
  <c r="AZ43" i="27" s="1"/>
  <c r="AZ44" i="27" s="1"/>
  <c r="BO93" i="27"/>
  <c r="BO91" i="27"/>
  <c r="BO92" i="27" s="1"/>
  <c r="BP89" i="27" s="1"/>
  <c r="BP91" i="27" s="1"/>
  <c r="BP92" i="27" s="1"/>
  <c r="BQ89" i="27" s="1"/>
  <c r="BQ91" i="27" s="1"/>
  <c r="BQ92" i="27" s="1"/>
  <c r="BO90" i="27"/>
  <c r="BM63" i="27"/>
  <c r="BM64" i="27" s="1"/>
  <c r="BX80" i="1"/>
  <c r="BY80" i="1" s="1"/>
  <c r="BZ80" i="1" s="1"/>
  <c r="CA80" i="1" s="1"/>
  <c r="CB80" i="1" s="1"/>
  <c r="CC80" i="1" s="1"/>
  <c r="CD80" i="1" s="1"/>
  <c r="CE80" i="1" s="1"/>
  <c r="CF80" i="1" s="1"/>
  <c r="CG80" i="1" s="1"/>
  <c r="CH80" i="1" s="1"/>
  <c r="CI80" i="1" s="1"/>
  <c r="CJ80" i="1" s="1"/>
  <c r="CK80" i="1" s="1"/>
  <c r="CL80" i="1" s="1"/>
  <c r="CM80" i="1" s="1"/>
  <c r="CN80" i="1" s="1"/>
  <c r="CO80" i="1" s="1"/>
  <c r="CP80" i="1" s="1"/>
  <c r="CQ80" i="1" s="1"/>
  <c r="CR80" i="1" s="1"/>
  <c r="CS80" i="1" s="1"/>
  <c r="CT80" i="1" s="1"/>
  <c r="CU80" i="1" s="1"/>
  <c r="EB81" i="26"/>
  <c r="EC81" i="26" s="1"/>
  <c r="AZ76" i="27" s="1"/>
  <c r="AZ78" i="27" s="1"/>
  <c r="AZ79" i="27" s="1"/>
  <c r="BA42" i="27"/>
  <c r="BA43" i="27" s="1"/>
  <c r="BA44" i="27" s="1"/>
  <c r="BB42" i="27" s="1"/>
  <c r="BB43" i="27" s="1"/>
  <c r="BB44" i="27" s="1"/>
  <c r="BC42" i="27" s="1"/>
  <c r="BC43" i="27" s="1"/>
  <c r="BC44" i="27" s="1"/>
  <c r="BD42" i="27" s="1"/>
  <c r="BD43" i="27" s="1"/>
  <c r="BD44" i="27" s="1"/>
  <c r="BE42" i="27" s="1"/>
  <c r="BE43" i="27" s="1"/>
  <c r="BE44" i="27" s="1"/>
  <c r="BF42" i="27" s="1"/>
  <c r="BF43" i="27" s="1"/>
  <c r="BF44" i="27" s="1"/>
  <c r="BG42" i="27" s="1"/>
  <c r="BG43" i="27" s="1"/>
  <c r="BG44" i="27" s="1"/>
  <c r="BH42" i="27" s="1"/>
  <c r="BH43" i="27" s="1"/>
  <c r="BH44" i="27" s="1"/>
  <c r="BI42" i="27" s="1"/>
  <c r="BI43" i="27" s="1"/>
  <c r="BI44" i="27" s="1"/>
  <c r="BJ42" i="27" s="1"/>
  <c r="BJ43" i="27" s="1"/>
  <c r="BJ44" i="27" s="1"/>
  <c r="BK42" i="27" s="1"/>
  <c r="BK43" i="27" s="1"/>
  <c r="BK44" i="27" s="1"/>
  <c r="BL42" i="27" s="1"/>
  <c r="BL43" i="27" s="1"/>
  <c r="BL44" i="27" s="1"/>
  <c r="BM42" i="27" s="1"/>
  <c r="AX52" i="27"/>
  <c r="AX53" i="27" s="1"/>
  <c r="AX54" i="27" s="1"/>
  <c r="AT62" i="1"/>
  <c r="AT63" i="1" s="1"/>
  <c r="AT64" i="1" s="1"/>
  <c r="AR32" i="1"/>
  <c r="AR33" i="1" s="1"/>
  <c r="AR34" i="1" s="1"/>
  <c r="AO54" i="1"/>
  <c r="AP44" i="1"/>
  <c r="AR11" i="1"/>
  <c r="AS10" i="1"/>
  <c r="AS12" i="1" s="1"/>
  <c r="AS13" i="1" s="1"/>
  <c r="AT10" i="1" s="1"/>
  <c r="W73" i="27"/>
  <c r="W74" i="27" s="1"/>
  <c r="X72" i="27" s="1"/>
  <c r="R21" i="1"/>
  <c r="R22" i="1" s="1"/>
  <c r="R73" i="1"/>
  <c r="BP90" i="27" l="1"/>
  <c r="BQ90" i="27" s="1"/>
  <c r="BR89" i="27"/>
  <c r="BP93" i="27"/>
  <c r="BQ93" i="27" s="1"/>
  <c r="BN62" i="27"/>
  <c r="BN63" i="27" s="1"/>
  <c r="BN64" i="27" s="1"/>
  <c r="BO62" i="27" s="1"/>
  <c r="BO63" i="27" s="1"/>
  <c r="BO64" i="27" s="1"/>
  <c r="BP62" i="27" s="1"/>
  <c r="BP63" i="27" s="1"/>
  <c r="BP64" i="27" s="1"/>
  <c r="BQ62" i="27" s="1"/>
  <c r="BQ63" i="27" s="1"/>
  <c r="BQ64" i="27" s="1"/>
  <c r="BR62" i="27" s="1"/>
  <c r="BR63" i="27" s="1"/>
  <c r="BR64" i="27" s="1"/>
  <c r="BS62" i="27" s="1"/>
  <c r="BS63" i="27" s="1"/>
  <c r="BS64" i="27" s="1"/>
  <c r="BT62" i="27" s="1"/>
  <c r="BT63" i="27" s="1"/>
  <c r="BT64" i="27" s="1"/>
  <c r="BU62" i="27" s="1"/>
  <c r="BU63" i="27" s="1"/>
  <c r="BU64" i="27" s="1"/>
  <c r="BM43" i="27"/>
  <c r="BM44" i="27" s="1"/>
  <c r="AZ81" i="27"/>
  <c r="AZ82" i="27" s="1"/>
  <c r="BA79" i="27" s="1"/>
  <c r="BA81" i="27" s="1"/>
  <c r="BA82" i="27" s="1"/>
  <c r="BB79" i="27" s="1"/>
  <c r="BB81" i="27" s="1"/>
  <c r="BB82" i="27" s="1"/>
  <c r="BC79" i="27" s="1"/>
  <c r="BC81" i="27" s="1"/>
  <c r="BC82" i="27" s="1"/>
  <c r="BD79" i="27" s="1"/>
  <c r="BD81" i="27" s="1"/>
  <c r="BD82" i="27" s="1"/>
  <c r="BE79" i="27" s="1"/>
  <c r="BE81" i="27" s="1"/>
  <c r="BE82" i="27" s="1"/>
  <c r="BF79" i="27" s="1"/>
  <c r="BF81" i="27" s="1"/>
  <c r="BF82" i="27" s="1"/>
  <c r="BG79" i="27" s="1"/>
  <c r="BG81" i="27" s="1"/>
  <c r="BG82" i="27" s="1"/>
  <c r="BH79" i="27" s="1"/>
  <c r="BH81" i="27" s="1"/>
  <c r="BH82" i="27" s="1"/>
  <c r="BI79" i="27" s="1"/>
  <c r="BI81" i="27" s="1"/>
  <c r="BI82" i="27" s="1"/>
  <c r="BJ79" i="27" s="1"/>
  <c r="BJ81" i="27" s="1"/>
  <c r="BJ82" i="27" s="1"/>
  <c r="BK79" i="27" s="1"/>
  <c r="BK81" i="27" s="1"/>
  <c r="BK82" i="27" s="1"/>
  <c r="BL79" i="27" s="1"/>
  <c r="BL81" i="27" s="1"/>
  <c r="BL82" i="27" s="1"/>
  <c r="BM79" i="27" s="1"/>
  <c r="BM81" i="27" s="1"/>
  <c r="BM82" i="27" s="1"/>
  <c r="BN79" i="27" s="1"/>
  <c r="BN81" i="27" s="1"/>
  <c r="BN82" i="27" s="1"/>
  <c r="BO79" i="27" s="1"/>
  <c r="BO81" i="27" s="1"/>
  <c r="BO82" i="27" s="1"/>
  <c r="BP79" i="27" s="1"/>
  <c r="BP81" i="27" s="1"/>
  <c r="BP82" i="27" s="1"/>
  <c r="BQ79" i="27" s="1"/>
  <c r="BQ81" i="27" s="1"/>
  <c r="BQ82" i="27" s="1"/>
  <c r="BR79" i="27" s="1"/>
  <c r="BR81" i="27" s="1"/>
  <c r="BR82" i="27" s="1"/>
  <c r="BS79" i="27" s="1"/>
  <c r="BS81" i="27" s="1"/>
  <c r="BS82" i="27" s="1"/>
  <c r="BT79" i="27" s="1"/>
  <c r="BT81" i="27" s="1"/>
  <c r="BT82" i="27" s="1"/>
  <c r="BU79" i="27" s="1"/>
  <c r="BU81" i="27" s="1"/>
  <c r="BU82" i="27" s="1"/>
  <c r="AZ80" i="27"/>
  <c r="AY52" i="27"/>
  <c r="AU62" i="1"/>
  <c r="AU63" i="1" s="1"/>
  <c r="AU64" i="1" s="1"/>
  <c r="AP52" i="1"/>
  <c r="AQ42" i="1"/>
  <c r="AT12" i="1"/>
  <c r="AT13" i="1" s="1"/>
  <c r="AU10" i="1" s="1"/>
  <c r="AS11" i="1"/>
  <c r="R74" i="1"/>
  <c r="R23" i="1"/>
  <c r="BR90" i="27" l="1"/>
  <c r="BR93" i="27"/>
  <c r="BR91" i="27"/>
  <c r="BR92" i="27" s="1"/>
  <c r="BS89" i="27" s="1"/>
  <c r="BS91" i="27" s="1"/>
  <c r="BS92" i="27" s="1"/>
  <c r="BN42" i="27"/>
  <c r="BN43" i="27" s="1"/>
  <c r="BN44" i="27" s="1"/>
  <c r="BO42" i="27" s="1"/>
  <c r="BO43" i="27" s="1"/>
  <c r="BO44" i="27" s="1"/>
  <c r="BP42" i="27" s="1"/>
  <c r="BP43" i="27" s="1"/>
  <c r="BP44" i="27" s="1"/>
  <c r="BQ42" i="27" s="1"/>
  <c r="BQ43" i="27" s="1"/>
  <c r="BQ44" i="27" s="1"/>
  <c r="BR42" i="27" s="1"/>
  <c r="BR43" i="27" s="1"/>
  <c r="BR44" i="27" s="1"/>
  <c r="BS42" i="27" s="1"/>
  <c r="BS43" i="27" s="1"/>
  <c r="BS44" i="27" s="1"/>
  <c r="BT42" i="27" s="1"/>
  <c r="BT43" i="27" s="1"/>
  <c r="BT44" i="27" s="1"/>
  <c r="BU42" i="27" s="1"/>
  <c r="BU43" i="27" s="1"/>
  <c r="BU44" i="27" s="1"/>
  <c r="BA80" i="27"/>
  <c r="BB80" i="27" s="1"/>
  <c r="BC80" i="27" s="1"/>
  <c r="BD80" i="27" s="1"/>
  <c r="BE80" i="27" s="1"/>
  <c r="BF80" i="27" s="1"/>
  <c r="BG80" i="27" s="1"/>
  <c r="BH80" i="27" s="1"/>
  <c r="BI80" i="27" s="1"/>
  <c r="BJ80" i="27" s="1"/>
  <c r="BK80" i="27" s="1"/>
  <c r="BL80" i="27" s="1"/>
  <c r="BM80" i="27" s="1"/>
  <c r="BN80" i="27" s="1"/>
  <c r="BO80" i="27" s="1"/>
  <c r="BP80" i="27" s="1"/>
  <c r="BQ80" i="27" s="1"/>
  <c r="BR80" i="27" s="1"/>
  <c r="BS80" i="27" s="1"/>
  <c r="BT80" i="27" s="1"/>
  <c r="BU80" i="27" s="1"/>
  <c r="AY53" i="27"/>
  <c r="AY54" i="27" s="1"/>
  <c r="DY52" i="29"/>
  <c r="DZ52" i="29" s="1"/>
  <c r="AZ46" i="27" s="1"/>
  <c r="AV62" i="1"/>
  <c r="AV63" i="1" s="1"/>
  <c r="AV64" i="1" s="1"/>
  <c r="AP53" i="1"/>
  <c r="AQ43" i="1"/>
  <c r="AT11" i="1"/>
  <c r="AU12" i="1"/>
  <c r="AU13" i="1" s="1"/>
  <c r="AV10" i="1" s="1"/>
  <c r="R24" i="1"/>
  <c r="S72" i="1"/>
  <c r="BT89" i="27" l="1"/>
  <c r="BS93" i="27"/>
  <c r="BS90" i="27"/>
  <c r="BT90" i="27" s="1"/>
  <c r="AZ52" i="27"/>
  <c r="AZ53" i="27" s="1"/>
  <c r="AZ54" i="27" s="1"/>
  <c r="AW62" i="1"/>
  <c r="AW63" i="1" s="1"/>
  <c r="AW64" i="1" s="1"/>
  <c r="AP54" i="1"/>
  <c r="AQ44" i="1"/>
  <c r="AV12" i="1"/>
  <c r="AV13" i="1" s="1"/>
  <c r="AW10" i="1" s="1"/>
  <c r="AU11" i="1"/>
  <c r="X73" i="27"/>
  <c r="X74" i="27" s="1"/>
  <c r="Y72" i="27" s="1"/>
  <c r="S21" i="1"/>
  <c r="S22" i="1" s="1"/>
  <c r="S73" i="1"/>
  <c r="BT93" i="27" l="1"/>
  <c r="BT91" i="27"/>
  <c r="BT92" i="27" s="1"/>
  <c r="BU89" i="27" s="1"/>
  <c r="BA52" i="27"/>
  <c r="BA53" i="27" s="1"/>
  <c r="BA54" i="27" s="1"/>
  <c r="BB52" i="27" s="1"/>
  <c r="BB53" i="27" s="1"/>
  <c r="BB54" i="27" s="1"/>
  <c r="BC52" i="27" s="1"/>
  <c r="BC53" i="27" s="1"/>
  <c r="BC54" i="27" s="1"/>
  <c r="BD52" i="27" s="1"/>
  <c r="BD53" i="27" s="1"/>
  <c r="BD54" i="27" s="1"/>
  <c r="BE52" i="27" s="1"/>
  <c r="BE53" i="27" s="1"/>
  <c r="BE54" i="27" s="1"/>
  <c r="BF52" i="27" s="1"/>
  <c r="BF53" i="27" s="1"/>
  <c r="BF54" i="27" s="1"/>
  <c r="BG52" i="27" s="1"/>
  <c r="BG53" i="27" s="1"/>
  <c r="BG54" i="27" s="1"/>
  <c r="BH52" i="27" s="1"/>
  <c r="BH53" i="27" s="1"/>
  <c r="BH54" i="27" s="1"/>
  <c r="BI52" i="27" s="1"/>
  <c r="BI53" i="27" s="1"/>
  <c r="BI54" i="27" s="1"/>
  <c r="BJ52" i="27" s="1"/>
  <c r="BJ53" i="27" s="1"/>
  <c r="BJ54" i="27" s="1"/>
  <c r="BK52" i="27" s="1"/>
  <c r="BK53" i="27" s="1"/>
  <c r="BK54" i="27" s="1"/>
  <c r="BL52" i="27" s="1"/>
  <c r="BL53" i="27" s="1"/>
  <c r="BL54" i="27" s="1"/>
  <c r="BM52" i="27" s="1"/>
  <c r="AX62" i="1"/>
  <c r="AX63" i="1" s="1"/>
  <c r="AX64" i="1" s="1"/>
  <c r="AQ52" i="1"/>
  <c r="AR42" i="1"/>
  <c r="AV11" i="1"/>
  <c r="AW12" i="1"/>
  <c r="AW13" i="1" s="1"/>
  <c r="AX10" i="1" s="1"/>
  <c r="S74" i="1"/>
  <c r="S23" i="1"/>
  <c r="BU93" i="27" l="1"/>
  <c r="BU91" i="27"/>
  <c r="BU92" i="27" s="1"/>
  <c r="BU90" i="27"/>
  <c r="BM53" i="27"/>
  <c r="BM54" i="27" s="1"/>
  <c r="AY62" i="1"/>
  <c r="AY63" i="1" s="1"/>
  <c r="AY64" i="1" s="1"/>
  <c r="AQ53" i="1"/>
  <c r="AR43" i="1"/>
  <c r="AX12" i="1"/>
  <c r="AX13" i="1" s="1"/>
  <c r="AY10" i="1" s="1"/>
  <c r="AW11" i="1"/>
  <c r="S24" i="1"/>
  <c r="T72" i="1"/>
  <c r="BN52" i="27" l="1"/>
  <c r="BN53" i="27" s="1"/>
  <c r="BN54" i="27" s="1"/>
  <c r="BO52" i="27" s="1"/>
  <c r="BO53" i="27" s="1"/>
  <c r="BO54" i="27" s="1"/>
  <c r="BP52" i="27" s="1"/>
  <c r="BP53" i="27" s="1"/>
  <c r="BP54" i="27" s="1"/>
  <c r="BQ52" i="27" s="1"/>
  <c r="BQ53" i="27" s="1"/>
  <c r="BQ54" i="27" s="1"/>
  <c r="BR52" i="27" s="1"/>
  <c r="BR53" i="27" s="1"/>
  <c r="BR54" i="27" s="1"/>
  <c r="BS52" i="27" s="1"/>
  <c r="BS53" i="27" s="1"/>
  <c r="BS54" i="27" s="1"/>
  <c r="BT52" i="27" s="1"/>
  <c r="BT53" i="27" s="1"/>
  <c r="BT54" i="27" s="1"/>
  <c r="BU52" i="27" s="1"/>
  <c r="BU53" i="27" s="1"/>
  <c r="BU54" i="27" s="1"/>
  <c r="AZ62" i="1"/>
  <c r="AZ63" i="1" s="1"/>
  <c r="AZ64" i="1" s="1"/>
  <c r="AQ54" i="1"/>
  <c r="AR44" i="1"/>
  <c r="AS42" i="1" s="1"/>
  <c r="AS43" i="1" s="1"/>
  <c r="AX11" i="1"/>
  <c r="AY12" i="1"/>
  <c r="AY13" i="1" s="1"/>
  <c r="AZ10" i="1" s="1"/>
  <c r="Y73" i="27"/>
  <c r="Y74" i="27" s="1"/>
  <c r="T21" i="1"/>
  <c r="T22" i="1" s="1"/>
  <c r="T73" i="1"/>
  <c r="Z72" i="27" l="1"/>
  <c r="BA62" i="1"/>
  <c r="BA63" i="1" s="1"/>
  <c r="BA64" i="1" s="1"/>
  <c r="AZ12" i="1"/>
  <c r="AZ13" i="1" s="1"/>
  <c r="BA10" i="1" s="1"/>
  <c r="AR52" i="1"/>
  <c r="AS44" i="1"/>
  <c r="AT42" i="1" s="1"/>
  <c r="AT43" i="1" s="1"/>
  <c r="AY11" i="1"/>
  <c r="T74" i="1"/>
  <c r="T23" i="1"/>
  <c r="Z73" i="27" l="1"/>
  <c r="BB62" i="1"/>
  <c r="BB63" i="1" s="1"/>
  <c r="BB64" i="1" s="1"/>
  <c r="BA12" i="1"/>
  <c r="BA13" i="1" s="1"/>
  <c r="BB10" i="1" s="1"/>
  <c r="AZ11" i="1"/>
  <c r="BA11" i="1" s="1"/>
  <c r="AR53" i="1"/>
  <c r="AT44" i="1"/>
  <c r="AU42" i="1" s="1"/>
  <c r="AU43" i="1" s="1"/>
  <c r="U72" i="1"/>
  <c r="T24" i="1"/>
  <c r="BC62" i="1" l="1"/>
  <c r="BC63" i="1" s="1"/>
  <c r="BC64" i="1" s="1"/>
  <c r="BB12" i="1"/>
  <c r="AR54" i="1"/>
  <c r="AS52" i="1" s="1"/>
  <c r="AU44" i="1"/>
  <c r="AV42" i="1" s="1"/>
  <c r="AV43" i="1" s="1"/>
  <c r="Z74" i="27"/>
  <c r="AA72" i="27" s="1"/>
  <c r="U21" i="1"/>
  <c r="U22" i="1" s="1"/>
  <c r="U73" i="1"/>
  <c r="BD62" i="1" l="1"/>
  <c r="BD63" i="1" s="1"/>
  <c r="BD64" i="1" s="1"/>
  <c r="BB13" i="1"/>
  <c r="BC10" i="1" s="1"/>
  <c r="BC12" i="1" s="1"/>
  <c r="BC13" i="1" s="1"/>
  <c r="BD10" i="1" s="1"/>
  <c r="BB11" i="1"/>
  <c r="AS53" i="1"/>
  <c r="AS54" i="1" s="1"/>
  <c r="AV44" i="1"/>
  <c r="AW42" i="1" s="1"/>
  <c r="AW43" i="1" s="1"/>
  <c r="U74" i="1"/>
  <c r="U23" i="1"/>
  <c r="BE62" i="1" l="1"/>
  <c r="BE63" i="1" s="1"/>
  <c r="BE64" i="1" s="1"/>
  <c r="BC11" i="1"/>
  <c r="BD12" i="1"/>
  <c r="BD13" i="1" s="1"/>
  <c r="BE10" i="1" s="1"/>
  <c r="AT52" i="1"/>
  <c r="AW44" i="1"/>
  <c r="AX42" i="1" s="1"/>
  <c r="AX43" i="1" s="1"/>
  <c r="U24" i="1"/>
  <c r="V72" i="1"/>
  <c r="BF62" i="1" l="1"/>
  <c r="BF63" i="1" s="1"/>
  <c r="BF64" i="1" s="1"/>
  <c r="BE12" i="1"/>
  <c r="BE13" i="1" s="1"/>
  <c r="BF10" i="1" s="1"/>
  <c r="BD11" i="1"/>
  <c r="BE11" i="1" s="1"/>
  <c r="AT53" i="1"/>
  <c r="AX44" i="1"/>
  <c r="AY42" i="1" s="1"/>
  <c r="AY43" i="1" s="1"/>
  <c r="AA73" i="27"/>
  <c r="AA74" i="27" s="1"/>
  <c r="AB72" i="27" s="1"/>
  <c r="V21" i="1"/>
  <c r="V22" i="1" s="1"/>
  <c r="V73" i="1"/>
  <c r="BG62" i="1" l="1"/>
  <c r="BG63" i="1" s="1"/>
  <c r="BG64" i="1" s="1"/>
  <c r="BF12" i="1"/>
  <c r="BF13" i="1" s="1"/>
  <c r="BG10" i="1" s="1"/>
  <c r="AT54" i="1"/>
  <c r="AU52" i="1" s="1"/>
  <c r="AU53" i="1" s="1"/>
  <c r="AY44" i="1"/>
  <c r="V74" i="1"/>
  <c r="V23" i="1"/>
  <c r="BH62" i="1" l="1"/>
  <c r="BH63" i="1" s="1"/>
  <c r="BH64" i="1" s="1"/>
  <c r="AZ42" i="1"/>
  <c r="AZ43" i="1" s="1"/>
  <c r="AZ44" i="1" s="1"/>
  <c r="BG12" i="1"/>
  <c r="BG13" i="1" s="1"/>
  <c r="BH10" i="1" s="1"/>
  <c r="BF11" i="1"/>
  <c r="BG11" i="1" s="1"/>
  <c r="AU54" i="1"/>
  <c r="AV52" i="1" s="1"/>
  <c r="AV53" i="1" s="1"/>
  <c r="V24" i="1"/>
  <c r="W72" i="1"/>
  <c r="BI62" i="1" l="1"/>
  <c r="BI63" i="1" s="1"/>
  <c r="BI64" i="1" s="1"/>
  <c r="BA42" i="1"/>
  <c r="BA43" i="1" s="1"/>
  <c r="BA44" i="1" s="1"/>
  <c r="BH12" i="1"/>
  <c r="BH13" i="1" s="1"/>
  <c r="BI10" i="1" s="1"/>
  <c r="AV54" i="1"/>
  <c r="AW52" i="1" s="1"/>
  <c r="AW53" i="1" s="1"/>
  <c r="AB73" i="27"/>
  <c r="AB74" i="27" s="1"/>
  <c r="AC72" i="27" s="1"/>
  <c r="W21" i="1"/>
  <c r="W22" i="1" s="1"/>
  <c r="W73" i="1"/>
  <c r="BJ62" i="1" l="1"/>
  <c r="BB42" i="1"/>
  <c r="BB43" i="1" s="1"/>
  <c r="BB44" i="1" s="1"/>
  <c r="BI12" i="1"/>
  <c r="BI13" i="1" s="1"/>
  <c r="BJ10" i="1" s="1"/>
  <c r="BJ12" i="1" s="1"/>
  <c r="BH11" i="1"/>
  <c r="BI11" i="1" s="1"/>
  <c r="AW54" i="1"/>
  <c r="AX52" i="1" s="1"/>
  <c r="AX53" i="1" s="1"/>
  <c r="W74" i="1"/>
  <c r="W23" i="1"/>
  <c r="BJ63" i="1" l="1"/>
  <c r="BJ64" i="1" s="1"/>
  <c r="BK62" i="1" s="1"/>
  <c r="BK63" i="1" s="1"/>
  <c r="BK64" i="1" s="1"/>
  <c r="BL62" i="1" s="1"/>
  <c r="BL63" i="1" s="1"/>
  <c r="BL64" i="1" s="1"/>
  <c r="BJ11" i="1"/>
  <c r="BC42" i="1"/>
  <c r="BC43" i="1" s="1"/>
  <c r="BC44" i="1" s="1"/>
  <c r="BJ13" i="1"/>
  <c r="BK10" i="1" s="1"/>
  <c r="BK12" i="1" s="1"/>
  <c r="BK13" i="1" s="1"/>
  <c r="BL10" i="1" s="1"/>
  <c r="AX54" i="1"/>
  <c r="AY52" i="1" s="1"/>
  <c r="AY53" i="1" s="1"/>
  <c r="W24" i="1"/>
  <c r="X72" i="1"/>
  <c r="BM62" i="1" l="1"/>
  <c r="BM63" i="1" s="1"/>
  <c r="BL12" i="1"/>
  <c r="BL13" i="1" s="1"/>
  <c r="BK11" i="1"/>
  <c r="BL11" i="1" s="1"/>
  <c r="BD42" i="1"/>
  <c r="BD43" i="1" s="1"/>
  <c r="BD44" i="1" s="1"/>
  <c r="AY54" i="1"/>
  <c r="AC73" i="27"/>
  <c r="AC74" i="27" s="1"/>
  <c r="AD72" i="27" s="1"/>
  <c r="X21" i="1"/>
  <c r="X22" i="1" s="1"/>
  <c r="X73" i="1"/>
  <c r="BX11" i="26" l="1"/>
  <c r="BY11" i="26" s="1"/>
  <c r="BM5" i="1" s="1"/>
  <c r="BM10" i="1" s="1"/>
  <c r="BM12" i="1" s="1"/>
  <c r="BM13" i="1" s="1"/>
  <c r="BN10" i="1" s="1"/>
  <c r="BN12" i="1" s="1"/>
  <c r="BN13" i="1" s="1"/>
  <c r="BO10" i="1" s="1"/>
  <c r="BO12" i="1" s="1"/>
  <c r="BO13" i="1" s="1"/>
  <c r="BP10" i="1" s="1"/>
  <c r="BP12" i="1" s="1"/>
  <c r="BP13" i="1" s="1"/>
  <c r="BQ10" i="1" s="1"/>
  <c r="BQ12" i="1" s="1"/>
  <c r="BQ13" i="1" s="1"/>
  <c r="BR10" i="1" s="1"/>
  <c r="BR12" i="1" s="1"/>
  <c r="BR13" i="1" s="1"/>
  <c r="BS10" i="1" s="1"/>
  <c r="BS12" i="1" s="1"/>
  <c r="BS13" i="1" s="1"/>
  <c r="BT10" i="1" s="1"/>
  <c r="BT12" i="1" s="1"/>
  <c r="BT13" i="1" s="1"/>
  <c r="BU10" i="1" s="1"/>
  <c r="BU12" i="1" s="1"/>
  <c r="BU13" i="1" s="1"/>
  <c r="BV10" i="1" s="1"/>
  <c r="BV12" i="1" s="1"/>
  <c r="BV13" i="1" s="1"/>
  <c r="BW10" i="1" s="1"/>
  <c r="BW12" i="1" s="1"/>
  <c r="BW13" i="1" s="1"/>
  <c r="BX10" i="1" s="1"/>
  <c r="BX12" i="1" s="1"/>
  <c r="BX13" i="1" s="1"/>
  <c r="BY10" i="1" s="1"/>
  <c r="BY12" i="1" s="1"/>
  <c r="BY13" i="1" s="1"/>
  <c r="BZ10" i="1" s="1"/>
  <c r="BZ12" i="1" s="1"/>
  <c r="BZ13" i="1" s="1"/>
  <c r="CA10" i="1" s="1"/>
  <c r="CA12" i="1" s="1"/>
  <c r="CA13" i="1" s="1"/>
  <c r="CB10" i="1" s="1"/>
  <c r="CB12" i="1" s="1"/>
  <c r="CB13" i="1" s="1"/>
  <c r="CC10" i="1" s="1"/>
  <c r="CC12" i="1" s="1"/>
  <c r="CC13" i="1" s="1"/>
  <c r="CD10" i="1" s="1"/>
  <c r="CD12" i="1" s="1"/>
  <c r="CD13" i="1" s="1"/>
  <c r="CE10" i="1" s="1"/>
  <c r="CE12" i="1" s="1"/>
  <c r="CE13" i="1" s="1"/>
  <c r="CF10" i="1" s="1"/>
  <c r="CF12" i="1" s="1"/>
  <c r="CF13" i="1" s="1"/>
  <c r="CG10" i="1" s="1"/>
  <c r="CG12" i="1" s="1"/>
  <c r="CG13" i="1" s="1"/>
  <c r="CH10" i="1" s="1"/>
  <c r="CH12" i="1" s="1"/>
  <c r="CH13" i="1" s="1"/>
  <c r="CI10" i="1" s="1"/>
  <c r="CI12" i="1" s="1"/>
  <c r="CI13" i="1" s="1"/>
  <c r="CJ10" i="1" s="1"/>
  <c r="CJ12" i="1" s="1"/>
  <c r="CJ13" i="1" s="1"/>
  <c r="CK10" i="1" s="1"/>
  <c r="CK12" i="1" s="1"/>
  <c r="CK13" i="1" s="1"/>
  <c r="CL10" i="1" s="1"/>
  <c r="CL12" i="1" s="1"/>
  <c r="CL13" i="1" s="1"/>
  <c r="CM10" i="1" s="1"/>
  <c r="CM12" i="1" s="1"/>
  <c r="CM13" i="1" s="1"/>
  <c r="CN10" i="1" s="1"/>
  <c r="CN12" i="1" s="1"/>
  <c r="CN13" i="1" s="1"/>
  <c r="CO10" i="1" s="1"/>
  <c r="CO12" i="1" s="1"/>
  <c r="CO13" i="1" s="1"/>
  <c r="CP10" i="1" s="1"/>
  <c r="CP12" i="1" s="1"/>
  <c r="CP13" i="1" s="1"/>
  <c r="CQ10" i="1" s="1"/>
  <c r="CQ12" i="1" s="1"/>
  <c r="CQ13" i="1" s="1"/>
  <c r="CR10" i="1" s="1"/>
  <c r="CR12" i="1" s="1"/>
  <c r="CR13" i="1" s="1"/>
  <c r="CS10" i="1" s="1"/>
  <c r="CS12" i="1" s="1"/>
  <c r="CS13" i="1" s="1"/>
  <c r="CT10" i="1" s="1"/>
  <c r="BM64" i="1"/>
  <c r="BN62" i="1" s="1"/>
  <c r="BN63" i="1" s="1"/>
  <c r="BN64" i="1" s="1"/>
  <c r="BO62" i="1" s="1"/>
  <c r="BO63" i="1" s="1"/>
  <c r="BO64" i="1" s="1"/>
  <c r="BP62" i="1" s="1"/>
  <c r="BP63" i="1" s="1"/>
  <c r="BP64" i="1" s="1"/>
  <c r="BQ62" i="1" s="1"/>
  <c r="BQ63" i="1" s="1"/>
  <c r="BQ64" i="1" s="1"/>
  <c r="BE42" i="1"/>
  <c r="BE43" i="1" s="1"/>
  <c r="BE44" i="1" s="1"/>
  <c r="AZ52" i="1"/>
  <c r="AZ53" i="1" s="1"/>
  <c r="AZ54" i="1" s="1"/>
  <c r="X74" i="1"/>
  <c r="X23" i="1"/>
  <c r="CT12" i="1" l="1"/>
  <c r="CT13" i="1" s="1"/>
  <c r="CU10" i="1" s="1"/>
  <c r="CU12" i="1" s="1"/>
  <c r="CU13" i="1" s="1"/>
  <c r="BM11" i="1"/>
  <c r="BN11" i="1" s="1"/>
  <c r="BO11" i="1" s="1"/>
  <c r="BP11" i="1" s="1"/>
  <c r="BQ11" i="1" s="1"/>
  <c r="BR11" i="1" s="1"/>
  <c r="BS11" i="1" s="1"/>
  <c r="BT11" i="1" s="1"/>
  <c r="BU11" i="1" s="1"/>
  <c r="BV11" i="1" s="1"/>
  <c r="BW11" i="1" s="1"/>
  <c r="BR62" i="1"/>
  <c r="BR63" i="1" s="1"/>
  <c r="BR64" i="1" s="1"/>
  <c r="BF42" i="1"/>
  <c r="BF43" i="1" s="1"/>
  <c r="BF44" i="1" s="1"/>
  <c r="BA52" i="1"/>
  <c r="BA53" i="1" s="1"/>
  <c r="BA54" i="1" s="1"/>
  <c r="X24" i="1"/>
  <c r="Y72" i="1"/>
  <c r="BX11" i="1" l="1"/>
  <c r="BY11" i="1" s="1"/>
  <c r="BZ11" i="1" s="1"/>
  <c r="CA11" i="1" s="1"/>
  <c r="CB11" i="1" s="1"/>
  <c r="CC11" i="1" s="1"/>
  <c r="CD11" i="1" s="1"/>
  <c r="CE11" i="1" s="1"/>
  <c r="CF11" i="1" s="1"/>
  <c r="CG11" i="1" s="1"/>
  <c r="CH11" i="1" s="1"/>
  <c r="CI11" i="1" s="1"/>
  <c r="CJ11" i="1" s="1"/>
  <c r="CK11" i="1" s="1"/>
  <c r="CL11" i="1" s="1"/>
  <c r="CM11" i="1" s="1"/>
  <c r="CN11" i="1" s="1"/>
  <c r="CO11" i="1" s="1"/>
  <c r="CP11" i="1" s="1"/>
  <c r="CQ11" i="1" s="1"/>
  <c r="CR11" i="1" s="1"/>
  <c r="CS11" i="1" s="1"/>
  <c r="CT11" i="1" s="1"/>
  <c r="CU11" i="1" s="1"/>
  <c r="EB12" i="26"/>
  <c r="EC12" i="26" s="1"/>
  <c r="BS62" i="1"/>
  <c r="BS63" i="1" s="1"/>
  <c r="BS64" i="1" s="1"/>
  <c r="BG42" i="1"/>
  <c r="BG43" i="1" s="1"/>
  <c r="BG44" i="1" s="1"/>
  <c r="BB52" i="1"/>
  <c r="BB53" i="1" s="1"/>
  <c r="BB54" i="1" s="1"/>
  <c r="AD73" i="27"/>
  <c r="AD74" i="27" s="1"/>
  <c r="AE72" i="27" s="1"/>
  <c r="Y21" i="1"/>
  <c r="Y22" i="1" s="1"/>
  <c r="Y73" i="1"/>
  <c r="BT62" i="1" l="1"/>
  <c r="BT63" i="1" s="1"/>
  <c r="BT64" i="1" s="1"/>
  <c r="BH42" i="1"/>
  <c r="BH43" i="1" s="1"/>
  <c r="BH44" i="1" s="1"/>
  <c r="BC52" i="1"/>
  <c r="BC53" i="1" s="1"/>
  <c r="BC54" i="1" s="1"/>
  <c r="Y74" i="1"/>
  <c r="Y23" i="1"/>
  <c r="BU62" i="1" l="1"/>
  <c r="BU63" i="1" s="1"/>
  <c r="BU64" i="1" s="1"/>
  <c r="BI42" i="1"/>
  <c r="BI43" i="1" s="1"/>
  <c r="BI44" i="1" s="1"/>
  <c r="BD52" i="1"/>
  <c r="BD53" i="1" s="1"/>
  <c r="BD54" i="1" s="1"/>
  <c r="Y24" i="1"/>
  <c r="Z72" i="1"/>
  <c r="BV62" i="1" l="1"/>
  <c r="BV63" i="1" s="1"/>
  <c r="BV64" i="1" s="1"/>
  <c r="BJ42" i="1"/>
  <c r="BJ43" i="1" s="1"/>
  <c r="BJ44" i="1" s="1"/>
  <c r="BE52" i="1"/>
  <c r="BE53" i="1" s="1"/>
  <c r="BE54" i="1" s="1"/>
  <c r="AE73" i="27"/>
  <c r="AE74" i="27" s="1"/>
  <c r="AF72" i="27" s="1"/>
  <c r="Z73" i="1"/>
  <c r="Z21" i="1"/>
  <c r="Z22" i="1" s="1"/>
  <c r="BW62" i="1" l="1"/>
  <c r="BW63" i="1" s="1"/>
  <c r="BW64" i="1" s="1"/>
  <c r="BX62" i="1" s="1"/>
  <c r="BX63" i="1" s="1"/>
  <c r="BX64" i="1" s="1"/>
  <c r="BY62" i="1" s="1"/>
  <c r="BY63" i="1" s="1"/>
  <c r="BY64" i="1" s="1"/>
  <c r="BZ62" i="1" s="1"/>
  <c r="BZ63" i="1" s="1"/>
  <c r="BZ64" i="1" s="1"/>
  <c r="CA62" i="1" s="1"/>
  <c r="CA63" i="1" s="1"/>
  <c r="CA64" i="1" s="1"/>
  <c r="CB62" i="1" s="1"/>
  <c r="CB63" i="1" s="1"/>
  <c r="CB64" i="1" s="1"/>
  <c r="CC62" i="1" s="1"/>
  <c r="CC63" i="1" s="1"/>
  <c r="CC64" i="1" s="1"/>
  <c r="CD62" i="1" s="1"/>
  <c r="CD63" i="1" s="1"/>
  <c r="CD64" i="1" s="1"/>
  <c r="CE62" i="1" s="1"/>
  <c r="CE63" i="1" s="1"/>
  <c r="CE64" i="1" s="1"/>
  <c r="AF73" i="27"/>
  <c r="BK42" i="1"/>
  <c r="BK43" i="1" s="1"/>
  <c r="BK44" i="1" s="1"/>
  <c r="BL42" i="1" s="1"/>
  <c r="BL43" i="1" s="1"/>
  <c r="BL44" i="1" s="1"/>
  <c r="BF52" i="1"/>
  <c r="BF53" i="1" s="1"/>
  <c r="BF54" i="1" s="1"/>
  <c r="Z74" i="1"/>
  <c r="Z23" i="1"/>
  <c r="CF62" i="1" l="1"/>
  <c r="CF63" i="1" s="1"/>
  <c r="CF64" i="1" s="1"/>
  <c r="CG62" i="1" s="1"/>
  <c r="CG63" i="1" s="1"/>
  <c r="CG64" i="1" s="1"/>
  <c r="AF74" i="27"/>
  <c r="BM42" i="1"/>
  <c r="BM43" i="1" s="1"/>
  <c r="BM44" i="1" s="1"/>
  <c r="BN42" i="1" s="1"/>
  <c r="BN43" i="1" s="1"/>
  <c r="BG52" i="1"/>
  <c r="BG53" i="1" s="1"/>
  <c r="BG54" i="1" s="1"/>
  <c r="Z24" i="1"/>
  <c r="AA72" i="1"/>
  <c r="CH62" i="1" l="1"/>
  <c r="AG72" i="27"/>
  <c r="BN44" i="1"/>
  <c r="BO42" i="1" s="1"/>
  <c r="BO43" i="1" s="1"/>
  <c r="BO44" i="1" s="1"/>
  <c r="BP42" i="1" s="1"/>
  <c r="BP43" i="1" s="1"/>
  <c r="BP44" i="1" s="1"/>
  <c r="BQ42" i="1" s="1"/>
  <c r="BQ43" i="1" s="1"/>
  <c r="BQ44" i="1" s="1"/>
  <c r="BH52" i="1"/>
  <c r="BH53" i="1" s="1"/>
  <c r="BH54" i="1" s="1"/>
  <c r="AA21" i="1"/>
  <c r="AA22" i="1" s="1"/>
  <c r="AA73" i="1"/>
  <c r="CH63" i="1" l="1"/>
  <c r="CH64" i="1" s="1"/>
  <c r="EB63" i="26"/>
  <c r="EC63" i="26" s="1"/>
  <c r="CI56" i="1" s="1"/>
  <c r="BR42" i="1"/>
  <c r="BR43" i="1" s="1"/>
  <c r="BR44" i="1" s="1"/>
  <c r="AG73" i="27"/>
  <c r="BI52" i="1"/>
  <c r="BI53" i="1" s="1"/>
  <c r="BI54" i="1" s="1"/>
  <c r="AA23" i="1"/>
  <c r="AA74" i="1"/>
  <c r="CI62" i="1" l="1"/>
  <c r="CI63" i="1" s="1"/>
  <c r="CI64" i="1" s="1"/>
  <c r="CJ62" i="1" s="1"/>
  <c r="CJ63" i="1" s="1"/>
  <c r="CJ64" i="1" s="1"/>
  <c r="CK62" i="1" s="1"/>
  <c r="CK63" i="1" s="1"/>
  <c r="CK64" i="1" s="1"/>
  <c r="CL62" i="1" s="1"/>
  <c r="CL63" i="1" s="1"/>
  <c r="CL64" i="1" s="1"/>
  <c r="CM62" i="1" s="1"/>
  <c r="CM63" i="1" s="1"/>
  <c r="CM64" i="1" s="1"/>
  <c r="CN62" i="1" s="1"/>
  <c r="CN63" i="1" s="1"/>
  <c r="CN64" i="1" s="1"/>
  <c r="CO62" i="1" s="1"/>
  <c r="CO63" i="1" s="1"/>
  <c r="CO64" i="1" s="1"/>
  <c r="CP62" i="1" s="1"/>
  <c r="CP63" i="1" s="1"/>
  <c r="CP64" i="1" s="1"/>
  <c r="CQ62" i="1" s="1"/>
  <c r="CQ63" i="1" s="1"/>
  <c r="CQ64" i="1" s="1"/>
  <c r="CR62" i="1" s="1"/>
  <c r="CR63" i="1" s="1"/>
  <c r="CR64" i="1" s="1"/>
  <c r="CS62" i="1" s="1"/>
  <c r="CS63" i="1" s="1"/>
  <c r="CS64" i="1" s="1"/>
  <c r="CT62" i="1" s="1"/>
  <c r="CT63" i="1" s="1"/>
  <c r="CT64" i="1" s="1"/>
  <c r="CU62" i="1" s="1"/>
  <c r="CU63" i="1" s="1"/>
  <c r="CU64" i="1" s="1"/>
  <c r="BS42" i="1"/>
  <c r="BS43" i="1" s="1"/>
  <c r="BS44" i="1" s="1"/>
  <c r="AG74" i="27"/>
  <c r="BJ52" i="1"/>
  <c r="AA24" i="1"/>
  <c r="AB72" i="1"/>
  <c r="BJ53" i="1" l="1"/>
  <c r="BJ54" i="1" s="1"/>
  <c r="BK52" i="1" s="1"/>
  <c r="BK53" i="1" s="1"/>
  <c r="BK54" i="1" s="1"/>
  <c r="BL52" i="1" s="1"/>
  <c r="BL53" i="1" s="1"/>
  <c r="BL54" i="1" s="1"/>
  <c r="BT42" i="1"/>
  <c r="BT43" i="1" s="1"/>
  <c r="BT44" i="1" s="1"/>
  <c r="AH72" i="27"/>
  <c r="AB21" i="1"/>
  <c r="AB22" i="1" s="1"/>
  <c r="AB73" i="1"/>
  <c r="BU42" i="1" l="1"/>
  <c r="BU43" i="1" s="1"/>
  <c r="BU44" i="1" s="1"/>
  <c r="AH73" i="27"/>
  <c r="BM52" i="1"/>
  <c r="BM53" i="1" s="1"/>
  <c r="BM54" i="1" s="1"/>
  <c r="BN52" i="1" s="1"/>
  <c r="BN53" i="1" s="1"/>
  <c r="BN54" i="1" s="1"/>
  <c r="AB74" i="1"/>
  <c r="AB23" i="1"/>
  <c r="BV42" i="1" l="1"/>
  <c r="BV43" i="1" s="1"/>
  <c r="BV44" i="1" s="1"/>
  <c r="AH74" i="27"/>
  <c r="AI72" i="27" s="1"/>
  <c r="BO52" i="1"/>
  <c r="BO53" i="1" s="1"/>
  <c r="BO54" i="1" s="1"/>
  <c r="BP52" i="1" s="1"/>
  <c r="BP53" i="1" s="1"/>
  <c r="BP54" i="1" s="1"/>
  <c r="BQ52" i="1" s="1"/>
  <c r="BQ53" i="1" s="1"/>
  <c r="BQ54" i="1" s="1"/>
  <c r="AB24" i="1"/>
  <c r="AC72" i="1"/>
  <c r="AI73" i="27" l="1"/>
  <c r="BW42" i="1"/>
  <c r="BW43" i="1" s="1"/>
  <c r="BW44" i="1" s="1"/>
  <c r="BX42" i="1" s="1"/>
  <c r="BX43" i="1" s="1"/>
  <c r="BX44" i="1" s="1"/>
  <c r="BY42" i="1" s="1"/>
  <c r="BY43" i="1" s="1"/>
  <c r="BY44" i="1" s="1"/>
  <c r="BZ42" i="1" s="1"/>
  <c r="BZ43" i="1" s="1"/>
  <c r="BZ44" i="1" s="1"/>
  <c r="CA42" i="1" s="1"/>
  <c r="CA43" i="1" s="1"/>
  <c r="CA44" i="1" s="1"/>
  <c r="CB42" i="1" s="1"/>
  <c r="CB43" i="1" s="1"/>
  <c r="CB44" i="1" s="1"/>
  <c r="CC42" i="1" s="1"/>
  <c r="CC43" i="1" s="1"/>
  <c r="CC44" i="1" s="1"/>
  <c r="CD42" i="1" s="1"/>
  <c r="CD43" i="1" s="1"/>
  <c r="CD44" i="1" s="1"/>
  <c r="CE42" i="1" s="1"/>
  <c r="CE43" i="1" s="1"/>
  <c r="CE44" i="1" s="1"/>
  <c r="BR52" i="1"/>
  <c r="BR53" i="1" s="1"/>
  <c r="BR54" i="1" s="1"/>
  <c r="AC73" i="1"/>
  <c r="AC21" i="1"/>
  <c r="AC22" i="1" s="1"/>
  <c r="CF42" i="1" l="1"/>
  <c r="CF43" i="1" s="1"/>
  <c r="CF44" i="1" s="1"/>
  <c r="CG42" i="1" s="1"/>
  <c r="CG43" i="1" s="1"/>
  <c r="CG44" i="1" s="1"/>
  <c r="CH42" i="1" s="1"/>
  <c r="AI74" i="27"/>
  <c r="AJ72" i="27" s="1"/>
  <c r="BS52" i="1"/>
  <c r="BS53" i="1" s="1"/>
  <c r="BS54" i="1" s="1"/>
  <c r="AC74" i="1"/>
  <c r="AC23" i="1"/>
  <c r="AJ73" i="27" l="1"/>
  <c r="BT52" i="1"/>
  <c r="BT53" i="1" s="1"/>
  <c r="BT54" i="1" s="1"/>
  <c r="AC24" i="1"/>
  <c r="AD72" i="1"/>
  <c r="AJ74" i="27" l="1"/>
  <c r="AK72" i="27" s="1"/>
  <c r="AK73" i="27" s="1"/>
  <c r="AK74" i="27" s="1"/>
  <c r="AL72" i="27" s="1"/>
  <c r="BU52" i="1"/>
  <c r="BU53" i="1" s="1"/>
  <c r="BU54" i="1" s="1"/>
  <c r="AD21" i="1"/>
  <c r="AD22" i="1" s="1"/>
  <c r="AD73" i="1"/>
  <c r="AL73" i="27" l="1"/>
  <c r="BV52" i="1"/>
  <c r="BV53" i="1" s="1"/>
  <c r="BV54" i="1" s="1"/>
  <c r="AD74" i="1"/>
  <c r="AD23" i="1"/>
  <c r="AL74" i="27" l="1"/>
  <c r="AM72" i="27" s="1"/>
  <c r="BW52" i="1"/>
  <c r="BW53" i="1" s="1"/>
  <c r="BW54" i="1" s="1"/>
  <c r="BX52" i="1" s="1"/>
  <c r="BX53" i="1" s="1"/>
  <c r="BX54" i="1" s="1"/>
  <c r="BY52" i="1" s="1"/>
  <c r="BY53" i="1" s="1"/>
  <c r="BY54" i="1" s="1"/>
  <c r="BZ52" i="1" s="1"/>
  <c r="BZ53" i="1" s="1"/>
  <c r="BZ54" i="1" s="1"/>
  <c r="CA52" i="1" s="1"/>
  <c r="CA53" i="1" s="1"/>
  <c r="CA54" i="1" s="1"/>
  <c r="CB52" i="1" s="1"/>
  <c r="CB53" i="1" s="1"/>
  <c r="CB54" i="1" s="1"/>
  <c r="CC52" i="1" s="1"/>
  <c r="CC53" i="1" s="1"/>
  <c r="CC54" i="1" s="1"/>
  <c r="CD52" i="1" s="1"/>
  <c r="CD53" i="1" s="1"/>
  <c r="CD54" i="1" s="1"/>
  <c r="CE52" i="1" s="1"/>
  <c r="CE53" i="1" s="1"/>
  <c r="CE54" i="1" s="1"/>
  <c r="AE72" i="1"/>
  <c r="AD24" i="1"/>
  <c r="CF52" i="1" l="1"/>
  <c r="CF53" i="1" s="1"/>
  <c r="CF54" i="1" s="1"/>
  <c r="CG52" i="1" s="1"/>
  <c r="CG53" i="1" s="1"/>
  <c r="CG54" i="1" s="1"/>
  <c r="AM73" i="27"/>
  <c r="AE73" i="1"/>
  <c r="AE21" i="1"/>
  <c r="AE22" i="1" s="1"/>
  <c r="CH52" i="1" l="1"/>
  <c r="AM74" i="27"/>
  <c r="AN72" i="27" s="1"/>
  <c r="AE23" i="1"/>
  <c r="AE74" i="1"/>
  <c r="AF72" i="1" s="1"/>
  <c r="CH53" i="1" l="1"/>
  <c r="CH54" i="1" s="1"/>
  <c r="EB53" i="26"/>
  <c r="EC53" i="26" s="1"/>
  <c r="CI46" i="1" s="1"/>
  <c r="CI52" i="1" s="1"/>
  <c r="CI53" i="1" s="1"/>
  <c r="CI54" i="1" s="1"/>
  <c r="AN73" i="27"/>
  <c r="AF21" i="1"/>
  <c r="AF22" i="1" s="1"/>
  <c r="AF73" i="1"/>
  <c r="AF23" i="1" s="1"/>
  <c r="AE24" i="1"/>
  <c r="CJ52" i="1" l="1"/>
  <c r="CJ53" i="1" s="1"/>
  <c r="CJ54" i="1" s="1"/>
  <c r="CK52" i="1" s="1"/>
  <c r="CK53" i="1" s="1"/>
  <c r="CK54" i="1" s="1"/>
  <c r="CL52" i="1" s="1"/>
  <c r="CL53" i="1" s="1"/>
  <c r="CL54" i="1" s="1"/>
  <c r="CM52" i="1" s="1"/>
  <c r="CM53" i="1" s="1"/>
  <c r="CM54" i="1" s="1"/>
  <c r="CN52" i="1" s="1"/>
  <c r="CN53" i="1" s="1"/>
  <c r="CN54" i="1" s="1"/>
  <c r="CO52" i="1" s="1"/>
  <c r="CO53" i="1" s="1"/>
  <c r="CO54" i="1" s="1"/>
  <c r="CP52" i="1" s="1"/>
  <c r="CP53" i="1" s="1"/>
  <c r="CP54" i="1" s="1"/>
  <c r="CQ52" i="1" s="1"/>
  <c r="CQ53" i="1" s="1"/>
  <c r="CQ54" i="1" s="1"/>
  <c r="CR52" i="1" s="1"/>
  <c r="CR53" i="1" s="1"/>
  <c r="CR54" i="1" s="1"/>
  <c r="CS52" i="1" s="1"/>
  <c r="CS53" i="1" s="1"/>
  <c r="CS54" i="1" s="1"/>
  <c r="CT52" i="1" s="1"/>
  <c r="CT53" i="1" s="1"/>
  <c r="CT54" i="1" s="1"/>
  <c r="CU52" i="1" s="1"/>
  <c r="CU53" i="1" s="1"/>
  <c r="CU54" i="1" s="1"/>
  <c r="AN74" i="27"/>
  <c r="AO72" i="27" s="1"/>
  <c r="AF74" i="1"/>
  <c r="AG72" i="1" s="1"/>
  <c r="AG73" i="1" s="1"/>
  <c r="AG23" i="1" s="1"/>
  <c r="AO73" i="27" l="1"/>
  <c r="AF24" i="1"/>
  <c r="AG21" i="1"/>
  <c r="AG22" i="1" s="1"/>
  <c r="AG74" i="1"/>
  <c r="AH72" i="1" s="1"/>
  <c r="AH21" i="1" s="1"/>
  <c r="AO74" i="27" l="1"/>
  <c r="AP72" i="27" s="1"/>
  <c r="AH22" i="1"/>
  <c r="AH73" i="1"/>
  <c r="AH23" i="1" s="1"/>
  <c r="AG24" i="1"/>
  <c r="AP73" i="27" l="1"/>
  <c r="AH74" i="1"/>
  <c r="AI72" i="1" s="1"/>
  <c r="AI73" i="1" s="1"/>
  <c r="AP74" i="27" l="1"/>
  <c r="AQ72" i="27" s="1"/>
  <c r="AH24" i="1"/>
  <c r="AI21" i="1"/>
  <c r="AI22" i="1" s="1"/>
  <c r="AI23" i="1"/>
  <c r="AI74" i="1"/>
  <c r="AQ73" i="27" l="1"/>
  <c r="AJ72" i="1"/>
  <c r="AI24" i="1"/>
  <c r="AQ74" i="27" l="1"/>
  <c r="AR72" i="27" s="1"/>
  <c r="AJ21" i="1"/>
  <c r="AJ22" i="1" s="1"/>
  <c r="AJ73" i="1"/>
  <c r="AR73" i="27" l="1"/>
  <c r="AJ23" i="1"/>
  <c r="AJ74" i="1"/>
  <c r="AR74" i="27" l="1"/>
  <c r="AS72" i="27" s="1"/>
  <c r="AK72" i="1"/>
  <c r="AJ24" i="1"/>
  <c r="AS73" i="27" l="1"/>
  <c r="AK21" i="1"/>
  <c r="AK22" i="1" s="1"/>
  <c r="AK73" i="1"/>
  <c r="AS74" i="27" l="1"/>
  <c r="AT72" i="27" s="1"/>
  <c r="AK23" i="1"/>
  <c r="AK74" i="1"/>
  <c r="AT73" i="27" l="1"/>
  <c r="AL72" i="1"/>
  <c r="AK24" i="1"/>
  <c r="AT74" i="27" l="1"/>
  <c r="AU72" i="27" s="1"/>
  <c r="AL21" i="1"/>
  <c r="AL22" i="1" s="1"/>
  <c r="AL73" i="1"/>
  <c r="AU73" i="27" l="1"/>
  <c r="AL23" i="1"/>
  <c r="AL74" i="1"/>
  <c r="AM72" i="1" s="1"/>
  <c r="AU74" i="27" l="1"/>
  <c r="AV72" i="27" s="1"/>
  <c r="AM73" i="1"/>
  <c r="AM23" i="1" s="1"/>
  <c r="AM21" i="1"/>
  <c r="AM22" i="1" s="1"/>
  <c r="AL24" i="1"/>
  <c r="AV73" i="27" l="1"/>
  <c r="AM74" i="1"/>
  <c r="AN72" i="1" s="1"/>
  <c r="AN73" i="1" s="1"/>
  <c r="AV74" i="27" l="1"/>
  <c r="AM24" i="1"/>
  <c r="AN21" i="1"/>
  <c r="AN22" i="1" s="1"/>
  <c r="AN74" i="1"/>
  <c r="AN23" i="1"/>
  <c r="AW72" i="27" l="1"/>
  <c r="AO72" i="1"/>
  <c r="AN24" i="1"/>
  <c r="AW73" i="27" l="1"/>
  <c r="AO73" i="1"/>
  <c r="AO21" i="1"/>
  <c r="AO22" i="1" s="1"/>
  <c r="AW74" i="27" l="1"/>
  <c r="AO74" i="1"/>
  <c r="AO23" i="1"/>
  <c r="AX72" i="27" l="1"/>
  <c r="AP72" i="1"/>
  <c r="AO24" i="1"/>
  <c r="AX73" i="27" l="1"/>
  <c r="AP73" i="1"/>
  <c r="AP21" i="1"/>
  <c r="AP22" i="1" s="1"/>
  <c r="AX74" i="27" l="1"/>
  <c r="AP74" i="1"/>
  <c r="AP23" i="1"/>
  <c r="AY72" i="27" l="1"/>
  <c r="DY72" i="29" s="1"/>
  <c r="DZ72" i="29" s="1"/>
  <c r="AZ66" i="27" s="1"/>
  <c r="AQ72" i="1"/>
  <c r="AP24" i="1"/>
  <c r="AY73" i="27" l="1"/>
  <c r="AQ73" i="1"/>
  <c r="AQ21" i="1"/>
  <c r="AQ22" i="1" s="1"/>
  <c r="AY74" i="27" l="1"/>
  <c r="AQ74" i="1"/>
  <c r="AQ23" i="1"/>
  <c r="E12" i="27"/>
  <c r="E13" i="27" s="1"/>
  <c r="F10" i="27" s="1"/>
  <c r="AZ72" i="27" l="1"/>
  <c r="AZ73" i="27" s="1"/>
  <c r="AZ74" i="27" s="1"/>
  <c r="AR72" i="1"/>
  <c r="AQ24" i="1"/>
  <c r="E11" i="27"/>
  <c r="BA72" i="27" l="1"/>
  <c r="AR73" i="1"/>
  <c r="AR23" i="1" s="1"/>
  <c r="AR21" i="1"/>
  <c r="AR22" i="1" s="1"/>
  <c r="F12" i="27"/>
  <c r="F11" i="27"/>
  <c r="BA73" i="27" l="1"/>
  <c r="AS37" i="26"/>
  <c r="AT37" i="26" s="1"/>
  <c r="AR74" i="1"/>
  <c r="F13" i="27"/>
  <c r="G10" i="27" s="1"/>
  <c r="BA74" i="27" l="1"/>
  <c r="BB72" i="27" s="1"/>
  <c r="AS26" i="1"/>
  <c r="AS32" i="1" s="1"/>
  <c r="AS33" i="1" s="1"/>
  <c r="AS34" i="1" s="1"/>
  <c r="AT32" i="1" s="1"/>
  <c r="AT33" i="1" s="1"/>
  <c r="AT34" i="1" s="1"/>
  <c r="AS15" i="1"/>
  <c r="AS72" i="1"/>
  <c r="AR24" i="1"/>
  <c r="G12" i="27"/>
  <c r="G13" i="27" s="1"/>
  <c r="H10" i="27" s="1"/>
  <c r="G11" i="27"/>
  <c r="BB73" i="27" l="1"/>
  <c r="AU32" i="1"/>
  <c r="AU33" i="1" s="1"/>
  <c r="AU34" i="1" s="1"/>
  <c r="AS21" i="1"/>
  <c r="AS22" i="1" s="1"/>
  <c r="AS73" i="1"/>
  <c r="H12" i="27"/>
  <c r="H13" i="27" s="1"/>
  <c r="I10" i="27" s="1"/>
  <c r="BB74" i="27" l="1"/>
  <c r="AS23" i="1"/>
  <c r="AS74" i="1"/>
  <c r="AV32" i="1"/>
  <c r="AV33" i="1" s="1"/>
  <c r="AV34" i="1" s="1"/>
  <c r="AW32" i="1" s="1"/>
  <c r="AW33" i="1" s="1"/>
  <c r="I12" i="27"/>
  <c r="I13" i="27" s="1"/>
  <c r="J10" i="27" s="1"/>
  <c r="H11" i="27"/>
  <c r="I11" i="27" s="1"/>
  <c r="BC72" i="27" l="1"/>
  <c r="AS24" i="1"/>
  <c r="AT72" i="1"/>
  <c r="AW34" i="1"/>
  <c r="AX32" i="1" s="1"/>
  <c r="AX33" i="1" s="1"/>
  <c r="J12" i="27"/>
  <c r="J13" i="27" s="1"/>
  <c r="K10" i="27" s="1"/>
  <c r="BC73" i="27" l="1"/>
  <c r="AT73" i="1"/>
  <c r="AT21" i="1"/>
  <c r="AT22" i="1" s="1"/>
  <c r="AX34" i="1"/>
  <c r="AY32" i="1" s="1"/>
  <c r="AY33" i="1" s="1"/>
  <c r="J11" i="27"/>
  <c r="K12" i="27"/>
  <c r="K13" i="27" s="1"/>
  <c r="BC74" i="27" l="1"/>
  <c r="AY34" i="1"/>
  <c r="AT74" i="1"/>
  <c r="AT23" i="1"/>
  <c r="L10" i="27"/>
  <c r="L12" i="27" s="1"/>
  <c r="L13" i="27" s="1"/>
  <c r="M10" i="27" s="1"/>
  <c r="M12" i="27" s="1"/>
  <c r="M13" i="27" s="1"/>
  <c r="K11" i="27"/>
  <c r="BD72" i="27" l="1"/>
  <c r="AZ32" i="1"/>
  <c r="AZ33" i="1" s="1"/>
  <c r="AZ34" i="1" s="1"/>
  <c r="AU72" i="1"/>
  <c r="AT24" i="1"/>
  <c r="L11" i="27"/>
  <c r="M11" i="27" s="1"/>
  <c r="N10" i="27"/>
  <c r="N12" i="27" s="1"/>
  <c r="N13" i="27" s="1"/>
  <c r="BD73" i="27" l="1"/>
  <c r="BA32" i="1"/>
  <c r="BA33" i="1" s="1"/>
  <c r="BA34" i="1" s="1"/>
  <c r="AU21" i="1"/>
  <c r="AU22" i="1" s="1"/>
  <c r="AU73" i="1"/>
  <c r="O10" i="27"/>
  <c r="O12" i="27" s="1"/>
  <c r="O13" i="27" s="1"/>
  <c r="N11" i="27"/>
  <c r="BD74" i="27" l="1"/>
  <c r="BB32" i="1"/>
  <c r="BB33" i="1" s="1"/>
  <c r="BB34" i="1" s="1"/>
  <c r="O11" i="27"/>
  <c r="AU23" i="1"/>
  <c r="AU74" i="1"/>
  <c r="P10" i="27"/>
  <c r="P12" i="27" s="1"/>
  <c r="P13" i="27" s="1"/>
  <c r="BE72" i="27" l="1"/>
  <c r="BC32" i="1"/>
  <c r="AV72" i="1"/>
  <c r="AU24" i="1"/>
  <c r="Q10" i="27"/>
  <c r="Q12" i="27" s="1"/>
  <c r="Q13" i="27" s="1"/>
  <c r="P11" i="27"/>
  <c r="BE73" i="27" l="1"/>
  <c r="BC33" i="1"/>
  <c r="Q11" i="27"/>
  <c r="AV21" i="1"/>
  <c r="AV22" i="1" s="1"/>
  <c r="AV73" i="1"/>
  <c r="R10" i="27"/>
  <c r="R12" i="27" s="1"/>
  <c r="R13" i="27" s="1"/>
  <c r="BE74" i="27" l="1"/>
  <c r="BC34" i="1"/>
  <c r="AV23" i="1"/>
  <c r="AV74" i="1"/>
  <c r="AW72" i="1" s="1"/>
  <c r="S10" i="27"/>
  <c r="S12" i="27" s="1"/>
  <c r="S13" i="27" s="1"/>
  <c r="R11" i="27"/>
  <c r="BF72" i="27" l="1"/>
  <c r="BD32" i="1"/>
  <c r="BD33" i="1" s="1"/>
  <c r="BD34" i="1" s="1"/>
  <c r="AW21" i="1"/>
  <c r="AW22" i="1" s="1"/>
  <c r="AW73" i="1"/>
  <c r="AW23" i="1" s="1"/>
  <c r="AV24" i="1"/>
  <c r="S11" i="27"/>
  <c r="T10" i="27"/>
  <c r="BF73" i="27" l="1"/>
  <c r="BE32" i="1"/>
  <c r="BE33" i="1" s="1"/>
  <c r="BE34" i="1" s="1"/>
  <c r="AW74" i="1"/>
  <c r="AX72" i="1" s="1"/>
  <c r="AX21" i="1" s="1"/>
  <c r="AX22" i="1" s="1"/>
  <c r="T11" i="27"/>
  <c r="T12" i="27"/>
  <c r="T13" i="27" s="1"/>
  <c r="U10" i="27" s="1"/>
  <c r="U12" i="27" s="1"/>
  <c r="U13" i="27" s="1"/>
  <c r="BF74" i="27" l="1"/>
  <c r="AW24" i="1"/>
  <c r="BF32" i="1"/>
  <c r="BF33" i="1" s="1"/>
  <c r="BF34" i="1" s="1"/>
  <c r="AX73" i="1"/>
  <c r="AX23" i="1" s="1"/>
  <c r="U11" i="27"/>
  <c r="V10" i="27"/>
  <c r="V12" i="27" s="1"/>
  <c r="V13" i="27" s="1"/>
  <c r="BG72" i="27" l="1"/>
  <c r="BG32" i="1"/>
  <c r="BG33" i="1" s="1"/>
  <c r="BG34" i="1" s="1"/>
  <c r="AX74" i="1"/>
  <c r="AY72" i="1" s="1"/>
  <c r="AY21" i="1" s="1"/>
  <c r="AY22" i="1" s="1"/>
  <c r="W10" i="27"/>
  <c r="W12" i="27" s="1"/>
  <c r="W13" i="27" s="1"/>
  <c r="V11" i="27"/>
  <c r="BG73" i="27" l="1"/>
  <c r="AX24" i="1"/>
  <c r="BH32" i="1"/>
  <c r="BH33" i="1" s="1"/>
  <c r="BH34" i="1" s="1"/>
  <c r="AY73" i="1"/>
  <c r="AY23" i="1" s="1"/>
  <c r="W11" i="27"/>
  <c r="X10" i="27"/>
  <c r="X12" i="27" s="1"/>
  <c r="X13" i="27" s="1"/>
  <c r="BG74" i="27" l="1"/>
  <c r="AY74" i="1"/>
  <c r="AZ72" i="1" s="1"/>
  <c r="AZ21" i="1" s="1"/>
  <c r="AZ22" i="1" s="1"/>
  <c r="BI32" i="1"/>
  <c r="BI33" i="1" s="1"/>
  <c r="BI34" i="1" s="1"/>
  <c r="Y10" i="27"/>
  <c r="Y12" i="27" s="1"/>
  <c r="Y13" i="27" s="1"/>
  <c r="X11" i="27"/>
  <c r="AY24" i="1" l="1"/>
  <c r="BH72" i="27"/>
  <c r="AZ73" i="1"/>
  <c r="AZ23" i="1" s="1"/>
  <c r="BJ32" i="1"/>
  <c r="BJ33" i="1" s="1"/>
  <c r="BJ34" i="1" s="1"/>
  <c r="Y11" i="27"/>
  <c r="Z10" i="27"/>
  <c r="Z12" i="27" s="1"/>
  <c r="Z13" i="27" s="1"/>
  <c r="AA10" i="27" s="1"/>
  <c r="AZ74" i="1" l="1"/>
  <c r="BA72" i="1" s="1"/>
  <c r="BA21" i="1" s="1"/>
  <c r="BA22" i="1" s="1"/>
  <c r="BH73" i="27"/>
  <c r="BK32" i="1"/>
  <c r="BK33" i="1" s="1"/>
  <c r="BK34" i="1" s="1"/>
  <c r="BL32" i="1" s="1"/>
  <c r="BL33" i="1" s="1"/>
  <c r="BL34" i="1" s="1"/>
  <c r="AA12" i="27"/>
  <c r="AA13" i="27" s="1"/>
  <c r="AB10" i="27" s="1"/>
  <c r="Z11" i="27"/>
  <c r="AZ24" i="1" l="1"/>
  <c r="BA73" i="1"/>
  <c r="BA23" i="1" s="1"/>
  <c r="BH74" i="27"/>
  <c r="BI72" i="27" s="1"/>
  <c r="BM32" i="1"/>
  <c r="BM33" i="1" s="1"/>
  <c r="BM34" i="1" s="1"/>
  <c r="BN32" i="1" s="1"/>
  <c r="BN33" i="1" s="1"/>
  <c r="BN34" i="1" s="1"/>
  <c r="BO32" i="1" s="1"/>
  <c r="BO33" i="1" s="1"/>
  <c r="BO34" i="1" s="1"/>
  <c r="BP32" i="1" s="1"/>
  <c r="BP33" i="1" s="1"/>
  <c r="BP34" i="1" s="1"/>
  <c r="BQ32" i="1" s="1"/>
  <c r="BQ33" i="1" s="1"/>
  <c r="BQ34" i="1" s="1"/>
  <c r="AA11" i="27"/>
  <c r="AB12" i="27"/>
  <c r="BA74" i="1" l="1"/>
  <c r="BB72" i="1" s="1"/>
  <c r="BB21" i="1" s="1"/>
  <c r="BB22" i="1" s="1"/>
  <c r="BI73" i="27"/>
  <c r="BR32" i="1"/>
  <c r="BR33" i="1" s="1"/>
  <c r="BR34" i="1" s="1"/>
  <c r="AB13" i="27"/>
  <c r="AC10" i="27" s="1"/>
  <c r="AB11" i="27"/>
  <c r="BA24" i="1" l="1"/>
  <c r="BB73" i="1"/>
  <c r="BB23" i="1" s="1"/>
  <c r="BI74" i="27"/>
  <c r="BJ72" i="27" s="1"/>
  <c r="BS32" i="1"/>
  <c r="BS33" i="1" s="1"/>
  <c r="BS34" i="1" s="1"/>
  <c r="AC12" i="27"/>
  <c r="AC13" i="27" s="1"/>
  <c r="BB74" i="1"/>
  <c r="BC72" i="1" s="1"/>
  <c r="BC73" i="1" s="1"/>
  <c r="AC11" i="27"/>
  <c r="BD11" i="29" s="1"/>
  <c r="BE11" i="29" s="1"/>
  <c r="BJ73" i="27" l="1"/>
  <c r="AD5" i="27"/>
  <c r="BN19" i="29"/>
  <c r="AD10" i="27"/>
  <c r="AD12" i="27" s="1"/>
  <c r="AD13" i="27" s="1"/>
  <c r="AE10" i="27" s="1"/>
  <c r="BT32" i="1"/>
  <c r="BT33" i="1" s="1"/>
  <c r="BT34" i="1" s="1"/>
  <c r="BB24" i="1"/>
  <c r="BC23" i="1"/>
  <c r="BC74" i="1"/>
  <c r="BD72" i="1" s="1"/>
  <c r="BD21" i="1" s="1"/>
  <c r="BC21" i="1"/>
  <c r="BC22" i="1" s="1"/>
  <c r="BJ74" i="27" l="1"/>
  <c r="AD11" i="27"/>
  <c r="AE11" i="27" s="1"/>
  <c r="BN22" i="29"/>
  <c r="BO19" i="29" s="1"/>
  <c r="BO21" i="29" s="1"/>
  <c r="BP19" i="29" s="1"/>
  <c r="BP21" i="29" s="1"/>
  <c r="BP22" i="29" s="1"/>
  <c r="BQ19" i="29" s="1"/>
  <c r="BQ21" i="29" s="1"/>
  <c r="BQ22" i="29" s="1"/>
  <c r="BR19" i="29" s="1"/>
  <c r="BR21" i="29" s="1"/>
  <c r="BR22" i="29" s="1"/>
  <c r="BS19" i="29" s="1"/>
  <c r="BS21" i="29" s="1"/>
  <c r="BS22" i="29" s="1"/>
  <c r="BT19" i="29" s="1"/>
  <c r="BT21" i="29" s="1"/>
  <c r="BT22" i="29" s="1"/>
  <c r="BU19" i="29" s="1"/>
  <c r="BU21" i="29" s="1"/>
  <c r="BU22" i="29" s="1"/>
  <c r="BN20" i="29"/>
  <c r="BU32" i="1"/>
  <c r="BU33" i="1" s="1"/>
  <c r="BU34" i="1" s="1"/>
  <c r="AE12" i="27"/>
  <c r="BD22" i="1"/>
  <c r="BC24" i="1"/>
  <c r="BD73" i="1"/>
  <c r="BD23" i="1" s="1"/>
  <c r="BK72" i="27" l="1"/>
  <c r="BO20" i="29"/>
  <c r="BP20" i="29" s="1"/>
  <c r="BQ20" i="29" s="1"/>
  <c r="BR20" i="29" s="1"/>
  <c r="BS20" i="29" s="1"/>
  <c r="BT20" i="29" s="1"/>
  <c r="BU20" i="29" s="1"/>
  <c r="BV32" i="1"/>
  <c r="BV33" i="1" s="1"/>
  <c r="BV34" i="1" s="1"/>
  <c r="AE13" i="27"/>
  <c r="BD74" i="1"/>
  <c r="BK73" i="27" l="1"/>
  <c r="BW32" i="1"/>
  <c r="BW33" i="1" s="1"/>
  <c r="BW34" i="1" s="1"/>
  <c r="BX32" i="1" s="1"/>
  <c r="BX33" i="1" s="1"/>
  <c r="BX34" i="1" s="1"/>
  <c r="BY32" i="1" s="1"/>
  <c r="BY33" i="1" s="1"/>
  <c r="BY34" i="1" s="1"/>
  <c r="AF10" i="27"/>
  <c r="BE72" i="1"/>
  <c r="BD24" i="1"/>
  <c r="BK74" i="27" l="1"/>
  <c r="BZ32" i="1"/>
  <c r="BZ33" i="1" s="1"/>
  <c r="BZ34" i="1" s="1"/>
  <c r="CA32" i="1" s="1"/>
  <c r="CA33" i="1" s="1"/>
  <c r="CA34" i="1" s="1"/>
  <c r="CB32" i="1" s="1"/>
  <c r="CB33" i="1" s="1"/>
  <c r="CB34" i="1" s="1"/>
  <c r="CC32" i="1" s="1"/>
  <c r="CC33" i="1" s="1"/>
  <c r="AF12" i="27"/>
  <c r="AF13" i="27" s="1"/>
  <c r="AG10" i="27" s="1"/>
  <c r="AF11" i="27"/>
  <c r="BE21" i="1"/>
  <c r="BE22" i="1" s="1"/>
  <c r="BE73" i="1"/>
  <c r="BL72" i="27" l="1"/>
  <c r="CC34" i="1"/>
  <c r="CD32" i="1" s="1"/>
  <c r="CD33" i="1" s="1"/>
  <c r="CD34" i="1" s="1"/>
  <c r="CE32" i="1" s="1"/>
  <c r="CE33" i="1" s="1"/>
  <c r="CE34" i="1" s="1"/>
  <c r="AG12" i="27"/>
  <c r="AG11" i="27"/>
  <c r="BE23" i="1"/>
  <c r="BE74" i="1"/>
  <c r="BL73" i="27" l="1"/>
  <c r="CF32" i="1"/>
  <c r="CF33" i="1" s="1"/>
  <c r="CF34" i="1" s="1"/>
  <c r="CG32" i="1" s="1"/>
  <c r="CG33" i="1" s="1"/>
  <c r="CG34" i="1" s="1"/>
  <c r="CH32" i="1" s="1"/>
  <c r="EB33" i="26" s="1"/>
  <c r="EC33" i="26" s="1"/>
  <c r="CI26" i="1" s="1"/>
  <c r="AG13" i="27"/>
  <c r="AH10" i="27" s="1"/>
  <c r="AH12" i="27" s="1"/>
  <c r="AH13" i="27" s="1"/>
  <c r="AI10" i="27" s="1"/>
  <c r="AI12" i="27" s="1"/>
  <c r="AI13" i="27" s="1"/>
  <c r="AJ10" i="27" s="1"/>
  <c r="BF72" i="1"/>
  <c r="BE24" i="1"/>
  <c r="BL74" i="27" l="1"/>
  <c r="BM72" i="27" s="1"/>
  <c r="CH33" i="1"/>
  <c r="AJ12" i="27"/>
  <c r="AH11" i="27"/>
  <c r="AI11" i="27" s="1"/>
  <c r="AJ11" i="27" s="1"/>
  <c r="BF21" i="1"/>
  <c r="BF22" i="1" s="1"/>
  <c r="BF73" i="1"/>
  <c r="BF23" i="1" s="1"/>
  <c r="BM73" i="27" l="1"/>
  <c r="BM74" i="27" s="1"/>
  <c r="BN72" i="27" s="1"/>
  <c r="CH34" i="1"/>
  <c r="CI32" i="1" s="1"/>
  <c r="AJ13" i="27"/>
  <c r="AK10" i="27" s="1"/>
  <c r="BF74" i="1"/>
  <c r="BN73" i="27" l="1"/>
  <c r="CI33" i="1"/>
  <c r="CI34" i="1" s="1"/>
  <c r="BV19" i="29"/>
  <c r="BW19" i="29" s="1"/>
  <c r="AK12" i="27"/>
  <c r="AK11" i="27"/>
  <c r="BG72" i="1"/>
  <c r="BF24" i="1"/>
  <c r="BN74" i="27" l="1"/>
  <c r="BO72" i="27" s="1"/>
  <c r="CJ32" i="1"/>
  <c r="CJ33" i="1" s="1"/>
  <c r="CJ34" i="1" s="1"/>
  <c r="CK32" i="1" s="1"/>
  <c r="CK33" i="1" s="1"/>
  <c r="CK34" i="1" s="1"/>
  <c r="CL32" i="1" s="1"/>
  <c r="CL33" i="1" s="1"/>
  <c r="CL34" i="1" s="1"/>
  <c r="CM32" i="1" s="1"/>
  <c r="CM33" i="1" s="1"/>
  <c r="CM34" i="1" s="1"/>
  <c r="AK13" i="27"/>
  <c r="AL10" i="27" s="1"/>
  <c r="AL12" i="27" s="1"/>
  <c r="AL13" i="27" s="1"/>
  <c r="BG21" i="1"/>
  <c r="BG22" i="1" s="1"/>
  <c r="BG73" i="1"/>
  <c r="BO73" i="27" l="1"/>
  <c r="CN32" i="1"/>
  <c r="CN33" i="1" s="1"/>
  <c r="CN34" i="1" s="1"/>
  <c r="CO32" i="1" s="1"/>
  <c r="CO33" i="1" s="1"/>
  <c r="CO34" i="1" s="1"/>
  <c r="CP32" i="1" s="1"/>
  <c r="CP33" i="1" s="1"/>
  <c r="CP34" i="1" s="1"/>
  <c r="CQ32" i="1" s="1"/>
  <c r="CQ33" i="1" s="1"/>
  <c r="CQ34" i="1" s="1"/>
  <c r="CR32" i="1" s="1"/>
  <c r="CR33" i="1" s="1"/>
  <c r="CR34" i="1" s="1"/>
  <c r="CS32" i="1" s="1"/>
  <c r="CS33" i="1" s="1"/>
  <c r="CS34" i="1" s="1"/>
  <c r="CT32" i="1" s="1"/>
  <c r="CT33" i="1" s="1"/>
  <c r="CT34" i="1" s="1"/>
  <c r="CU32" i="1" s="1"/>
  <c r="CU33" i="1" s="1"/>
  <c r="CU34" i="1" s="1"/>
  <c r="AL11" i="27"/>
  <c r="AM10" i="27"/>
  <c r="BG23" i="1"/>
  <c r="BG74" i="1"/>
  <c r="BO74" i="27" l="1"/>
  <c r="BH72" i="1"/>
  <c r="BG24" i="1"/>
  <c r="BP72" i="27" l="1"/>
  <c r="AM12" i="27"/>
  <c r="AM13" i="27" s="1"/>
  <c r="AN10" i="27" s="1"/>
  <c r="BH21" i="1"/>
  <c r="BH22" i="1" s="1"/>
  <c r="BH73" i="1"/>
  <c r="BP73" i="27" l="1"/>
  <c r="AN12" i="27"/>
  <c r="AN13" i="27" s="1"/>
  <c r="AO10" i="27" s="1"/>
  <c r="AO12" i="27" s="1"/>
  <c r="AO13" i="27" s="1"/>
  <c r="AM11" i="27"/>
  <c r="AN11" i="27" s="1"/>
  <c r="BH23" i="1"/>
  <c r="BH74" i="1"/>
  <c r="BI72" i="1" s="1"/>
  <c r="BP74" i="27" l="1"/>
  <c r="AO11" i="27"/>
  <c r="AP10" i="27"/>
  <c r="AP12" i="27" s="1"/>
  <c r="AP13" i="27" s="1"/>
  <c r="AQ10" i="27" s="1"/>
  <c r="AQ12" i="27" s="1"/>
  <c r="AQ13" i="27" s="1"/>
  <c r="AR10" i="27" s="1"/>
  <c r="AR12" i="27" s="1"/>
  <c r="AR13" i="27" s="1"/>
  <c r="AS10" i="27" s="1"/>
  <c r="BI21" i="1"/>
  <c r="BI73" i="1"/>
  <c r="BI23" i="1" s="1"/>
  <c r="BH24" i="1"/>
  <c r="BQ72" i="27" l="1"/>
  <c r="AS12" i="27"/>
  <c r="AP11" i="27"/>
  <c r="AQ11" i="27" s="1"/>
  <c r="AR11" i="27" s="1"/>
  <c r="AS11" i="27" s="1"/>
  <c r="BI74" i="1"/>
  <c r="BJ72" i="1" s="1"/>
  <c r="BI22" i="1"/>
  <c r="BQ73" i="27" l="1"/>
  <c r="AS13" i="27"/>
  <c r="AT10" i="27" s="1"/>
  <c r="AT12" i="27" s="1"/>
  <c r="AT13" i="27" s="1"/>
  <c r="AU10" i="27" s="1"/>
  <c r="AU12" i="27" s="1"/>
  <c r="AU13" i="27" s="1"/>
  <c r="AV10" i="27" s="1"/>
  <c r="AV12" i="27" s="1"/>
  <c r="AV13" i="27" s="1"/>
  <c r="AW10" i="27" s="1"/>
  <c r="AW12" i="27" s="1"/>
  <c r="AW13" i="27" s="1"/>
  <c r="AX10" i="27" s="1"/>
  <c r="AX12" i="27" s="1"/>
  <c r="AX13" i="27" s="1"/>
  <c r="BI24" i="1"/>
  <c r="BJ21" i="1"/>
  <c r="BJ73" i="1"/>
  <c r="BQ74" i="27" l="1"/>
  <c r="AY10" i="27"/>
  <c r="AY12" i="27" s="1"/>
  <c r="AY13" i="27" s="1"/>
  <c r="AT11" i="27"/>
  <c r="AU11" i="27" s="1"/>
  <c r="AV11" i="27" s="1"/>
  <c r="AW11" i="27" s="1"/>
  <c r="AX11" i="27" s="1"/>
  <c r="BJ22" i="1"/>
  <c r="BJ23" i="1"/>
  <c r="BJ74" i="1"/>
  <c r="BK72" i="1" s="1"/>
  <c r="BR72" i="27" l="1"/>
  <c r="AY11" i="27"/>
  <c r="BK21" i="1"/>
  <c r="BK22" i="1" s="1"/>
  <c r="BK73" i="1"/>
  <c r="BJ24" i="1"/>
  <c r="BR73" i="27" l="1"/>
  <c r="BK23" i="1"/>
  <c r="BK74" i="1"/>
  <c r="M21" i="27"/>
  <c r="M22" i="27" s="1"/>
  <c r="L12" i="29"/>
  <c r="N26" i="27" s="1"/>
  <c r="M33" i="27"/>
  <c r="M34" i="27" s="1"/>
  <c r="BR74" i="27" l="1"/>
  <c r="BK24" i="1"/>
  <c r="BL72" i="1"/>
  <c r="N32" i="27"/>
  <c r="N33" i="27" s="1"/>
  <c r="N15" i="27"/>
  <c r="M24" i="27"/>
  <c r="M23" i="27"/>
  <c r="BS72" i="27" l="1"/>
  <c r="BL21" i="1"/>
  <c r="BL22" i="1" s="1"/>
  <c r="BL73" i="1"/>
  <c r="N21" i="27"/>
  <c r="N22" i="27" s="1"/>
  <c r="N34" i="27"/>
  <c r="O32" i="27" s="1"/>
  <c r="N23" i="27"/>
  <c r="BS73" i="27" l="1"/>
  <c r="BL74" i="1"/>
  <c r="BM72" i="1" s="1"/>
  <c r="BL23" i="1"/>
  <c r="O33" i="27"/>
  <c r="O23" i="27" s="1"/>
  <c r="O21" i="27"/>
  <c r="O22" i="27" s="1"/>
  <c r="N24" i="27"/>
  <c r="BS74" i="27" l="1"/>
  <c r="BM21" i="1"/>
  <c r="BM22" i="1" s="1"/>
  <c r="BM73" i="1"/>
  <c r="BL24" i="1"/>
  <c r="O34" i="27"/>
  <c r="P32" i="27" s="1"/>
  <c r="P21" i="27" s="1"/>
  <c r="P22" i="27" s="1"/>
  <c r="BT72" i="27" l="1"/>
  <c r="O24" i="27"/>
  <c r="BM23" i="1"/>
  <c r="BM74" i="1"/>
  <c r="BM24" i="1" s="1"/>
  <c r="P33" i="27"/>
  <c r="P23" i="27" s="1"/>
  <c r="BT73" i="27" l="1"/>
  <c r="BN72" i="1"/>
  <c r="BN21" i="1" s="1"/>
  <c r="BN22" i="1" s="1"/>
  <c r="P34" i="27"/>
  <c r="P24" i="27" s="1"/>
  <c r="BT74" i="27" l="1"/>
  <c r="Q32" i="27"/>
  <c r="Q33" i="27" s="1"/>
  <c r="BN73" i="1"/>
  <c r="BN74" i="1" s="1"/>
  <c r="BO72" i="1" s="1"/>
  <c r="BO21" i="1" s="1"/>
  <c r="BO22" i="1" s="1"/>
  <c r="BU72" i="27" l="1"/>
  <c r="Q21" i="27"/>
  <c r="Q22" i="27" s="1"/>
  <c r="BN23" i="1"/>
  <c r="BN24" i="1"/>
  <c r="BO73" i="1"/>
  <c r="BO74" i="1" s="1"/>
  <c r="BP72" i="1" s="1"/>
  <c r="BP21" i="1" s="1"/>
  <c r="BP22" i="1" s="1"/>
  <c r="Q23" i="27"/>
  <c r="Q34" i="27"/>
  <c r="BU73" i="27" l="1"/>
  <c r="BO23" i="1"/>
  <c r="BO24" i="1"/>
  <c r="BP73" i="1"/>
  <c r="BP74" i="1" s="1"/>
  <c r="R32" i="27"/>
  <c r="Q24" i="27"/>
  <c r="BU74" i="27" l="1"/>
  <c r="BP23" i="1"/>
  <c r="BP24" i="1"/>
  <c r="BQ72" i="1"/>
  <c r="R21" i="27"/>
  <c r="R22" i="27" s="1"/>
  <c r="R33" i="27"/>
  <c r="BQ21" i="1" l="1"/>
  <c r="BQ22" i="1" s="1"/>
  <c r="BQ73" i="1"/>
  <c r="R23" i="27"/>
  <c r="R34" i="27"/>
  <c r="S32" i="27" s="1"/>
  <c r="BQ74" i="1" l="1"/>
  <c r="BQ23" i="1"/>
  <c r="S33" i="27"/>
  <c r="S23" i="27" s="1"/>
  <c r="S21" i="27"/>
  <c r="S22" i="27" s="1"/>
  <c r="R24" i="27"/>
  <c r="BR72" i="1" l="1"/>
  <c r="BQ24" i="1"/>
  <c r="S34" i="27"/>
  <c r="T32" i="27" s="1"/>
  <c r="T33" i="27" s="1"/>
  <c r="BR21" i="1" l="1"/>
  <c r="BR22" i="1" s="1"/>
  <c r="BR73" i="1"/>
  <c r="S24" i="27"/>
  <c r="T23" i="27"/>
  <c r="T34" i="27"/>
  <c r="U32" i="27" s="1"/>
  <c r="U33" i="27" s="1"/>
  <c r="T21" i="27"/>
  <c r="T22" i="27" s="1"/>
  <c r="BR23" i="1" l="1"/>
  <c r="BR74" i="1"/>
  <c r="T24" i="27"/>
  <c r="U23" i="27"/>
  <c r="U34" i="27"/>
  <c r="V32" i="27" s="1"/>
  <c r="V33" i="27" s="1"/>
  <c r="U21" i="27"/>
  <c r="U22" i="27" s="1"/>
  <c r="BS72" i="1" l="1"/>
  <c r="BR24" i="1"/>
  <c r="U24" i="27"/>
  <c r="V23" i="27"/>
  <c r="V34" i="27"/>
  <c r="W32" i="27" s="1"/>
  <c r="W21" i="27" s="1"/>
  <c r="V21" i="27"/>
  <c r="V22" i="27" s="1"/>
  <c r="BS21" i="1" l="1"/>
  <c r="BS22" i="1" s="1"/>
  <c r="BS73" i="1"/>
  <c r="V24" i="27"/>
  <c r="W33" i="27"/>
  <c r="W22" i="27"/>
  <c r="BS23" i="1" l="1"/>
  <c r="BS74" i="1"/>
  <c r="W23" i="27"/>
  <c r="W34" i="27"/>
  <c r="BT72" i="1" l="1"/>
  <c r="BS24" i="1"/>
  <c r="X32" i="27"/>
  <c r="W24" i="27"/>
  <c r="BT21" i="1" l="1"/>
  <c r="BT22" i="1" s="1"/>
  <c r="BT73" i="1"/>
  <c r="X33" i="27"/>
  <c r="X21" i="27"/>
  <c r="X22" i="27" s="1"/>
  <c r="BT23" i="1" l="1"/>
  <c r="BT74" i="1"/>
  <c r="X23" i="27"/>
  <c r="X34" i="27"/>
  <c r="BU72" i="1" l="1"/>
  <c r="BT24" i="1"/>
  <c r="Y32" i="27"/>
  <c r="X24" i="27"/>
  <c r="BU21" i="1" l="1"/>
  <c r="BU22" i="1" s="1"/>
  <c r="BU73" i="1"/>
  <c r="Y33" i="27"/>
  <c r="Y21" i="27"/>
  <c r="Y22" i="27" s="1"/>
  <c r="BU23" i="1" l="1"/>
  <c r="BU74" i="1"/>
  <c r="Y23" i="27"/>
  <c r="Y34" i="27"/>
  <c r="Z32" i="27" s="1"/>
  <c r="Z33" i="27" s="1"/>
  <c r="BV72" i="1" l="1"/>
  <c r="BU24" i="1"/>
  <c r="Z21" i="27"/>
  <c r="Z22" i="27" s="1"/>
  <c r="Y24" i="27"/>
  <c r="BV21" i="1" l="1"/>
  <c r="BV22" i="1" s="1"/>
  <c r="BV73" i="1"/>
  <c r="Z23" i="27"/>
  <c r="BV23" i="1" l="1"/>
  <c r="BV74" i="1"/>
  <c r="Z34" i="27"/>
  <c r="AA32" i="27" s="1"/>
  <c r="BW72" i="1" l="1"/>
  <c r="BV24" i="1"/>
  <c r="AA21" i="27"/>
  <c r="AA33" i="27"/>
  <c r="AA23" i="27" s="1"/>
  <c r="Z24" i="27"/>
  <c r="BW21" i="1" l="1"/>
  <c r="BW22" i="1" s="1"/>
  <c r="BW73" i="1"/>
  <c r="AA34" i="27"/>
  <c r="AB32" i="27" s="1"/>
  <c r="AA22" i="27"/>
  <c r="AA24" i="27" l="1"/>
  <c r="AB21" i="27"/>
  <c r="AB22" i="27" s="1"/>
  <c r="BW23" i="1"/>
  <c r="BW74" i="1"/>
  <c r="AB33" i="27"/>
  <c r="AB23" i="27" s="1"/>
  <c r="AB34" i="27" l="1"/>
  <c r="AC32" i="27" s="1"/>
  <c r="AC21" i="27" s="1"/>
  <c r="AC22" i="27" s="1"/>
  <c r="BW24" i="1"/>
  <c r="BX72" i="1"/>
  <c r="AB24" i="27" l="1"/>
  <c r="AC33" i="27"/>
  <c r="AC23" i="27" s="1"/>
  <c r="BX73" i="1"/>
  <c r="BX21" i="1"/>
  <c r="BX22" i="1" s="1"/>
  <c r="AC34" i="27" l="1"/>
  <c r="AD32" i="27" s="1"/>
  <c r="AD21" i="27" s="1"/>
  <c r="AD22" i="27" s="1"/>
  <c r="BX74" i="1"/>
  <c r="BX23" i="1"/>
  <c r="AC24" i="27" l="1"/>
  <c r="AD33" i="27"/>
  <c r="AD23" i="27" s="1"/>
  <c r="BY72" i="1"/>
  <c r="BX24" i="1"/>
  <c r="AD34" i="27" l="1"/>
  <c r="AE32" i="27" s="1"/>
  <c r="AE21" i="27" s="1"/>
  <c r="AE22" i="27" s="1"/>
  <c r="BY21" i="1"/>
  <c r="BY22" i="1" s="1"/>
  <c r="BY73" i="1"/>
  <c r="AD24" i="27" l="1"/>
  <c r="AE33" i="27"/>
  <c r="AE23" i="27" s="1"/>
  <c r="BY23" i="1"/>
  <c r="BY74" i="1"/>
  <c r="AE34" i="27" l="1"/>
  <c r="AF32" i="27" s="1"/>
  <c r="AF33" i="27" s="1"/>
  <c r="AF34" i="27" s="1"/>
  <c r="AF24" i="27" s="1"/>
  <c r="BZ72" i="1"/>
  <c r="BY24" i="1"/>
  <c r="AE24" i="27" l="1"/>
  <c r="AF23" i="27"/>
  <c r="AG32" i="27"/>
  <c r="AG33" i="27" s="1"/>
  <c r="AF21" i="27"/>
  <c r="AF22" i="27" s="1"/>
  <c r="BZ21" i="1"/>
  <c r="BZ22" i="1" s="1"/>
  <c r="BZ73" i="1"/>
  <c r="AG21" i="27" l="1"/>
  <c r="AG22" i="27" s="1"/>
  <c r="BZ23" i="1"/>
  <c r="BZ74" i="1"/>
  <c r="AG34" i="27"/>
  <c r="AG23" i="27"/>
  <c r="BZ24" i="1" l="1"/>
  <c r="CA72" i="1"/>
  <c r="AH32" i="27"/>
  <c r="AG24" i="27"/>
  <c r="CA21" i="1" l="1"/>
  <c r="CA22" i="1" s="1"/>
  <c r="CA73" i="1"/>
  <c r="AH33" i="27"/>
  <c r="AH21" i="27"/>
  <c r="CA23" i="1" l="1"/>
  <c r="CA74" i="1"/>
  <c r="AH22" i="27"/>
  <c r="AH23" i="27"/>
  <c r="AH34" i="27"/>
  <c r="AI32" i="27" s="1"/>
  <c r="AI33" i="27" l="1"/>
  <c r="AI23" i="27" s="1"/>
  <c r="AI21" i="27"/>
  <c r="AI22" i="27" s="1"/>
  <c r="CA24" i="1"/>
  <c r="CB72" i="1"/>
  <c r="AH24" i="27"/>
  <c r="AI34" i="27" l="1"/>
  <c r="AJ32" i="27" s="1"/>
  <c r="AJ33" i="27" s="1"/>
  <c r="CB21" i="1"/>
  <c r="CB22" i="1" s="1"/>
  <c r="CB73" i="1"/>
  <c r="AI24" i="27" l="1"/>
  <c r="AJ23" i="27"/>
  <c r="AJ34" i="27"/>
  <c r="AK32" i="27" s="1"/>
  <c r="AK33" i="27" s="1"/>
  <c r="AK23" i="27" s="1"/>
  <c r="AJ21" i="27"/>
  <c r="AJ22" i="27" s="1"/>
  <c r="CB74" i="1"/>
  <c r="CB23" i="1"/>
  <c r="AJ24" i="27" l="1"/>
  <c r="AK21" i="27"/>
  <c r="AK22" i="27" s="1"/>
  <c r="CB24" i="1"/>
  <c r="CC72" i="1"/>
  <c r="AK34" i="27"/>
  <c r="AK24" i="27" s="1"/>
  <c r="AL32" i="27" l="1"/>
  <c r="CC21" i="1"/>
  <c r="CC22" i="1" s="1"/>
  <c r="CC73" i="1"/>
  <c r="AL33" i="27" l="1"/>
  <c r="AL21" i="27"/>
  <c r="AL22" i="27" s="1"/>
  <c r="CC23" i="1"/>
  <c r="CC74" i="1"/>
  <c r="AL23" i="27" l="1"/>
  <c r="AL34" i="27"/>
  <c r="CC24" i="1"/>
  <c r="CD72" i="1"/>
  <c r="AM32" i="27" l="1"/>
  <c r="AL24" i="27"/>
  <c r="CD21" i="1"/>
  <c r="CD22" i="1" s="1"/>
  <c r="CD73" i="1"/>
  <c r="AM33" i="27" l="1"/>
  <c r="AM21" i="27"/>
  <c r="AM22" i="27" s="1"/>
  <c r="CD74" i="1"/>
  <c r="CD23" i="1"/>
  <c r="CD24" i="1" l="1"/>
  <c r="CE72" i="1"/>
  <c r="AM23" i="27"/>
  <c r="AM34" i="27"/>
  <c r="CE21" i="1" l="1"/>
  <c r="CE22" i="1" s="1"/>
  <c r="CE73" i="1"/>
  <c r="AN32" i="27"/>
  <c r="AM24" i="27"/>
  <c r="CE74" i="1" l="1"/>
  <c r="CF72" i="1" s="1"/>
  <c r="CE23" i="1"/>
  <c r="AN33" i="27"/>
  <c r="AN21" i="27"/>
  <c r="AN22" i="27" s="1"/>
  <c r="CF21" i="1" l="1"/>
  <c r="CF22" i="1" s="1"/>
  <c r="CF73" i="1"/>
  <c r="CF23" i="1" s="1"/>
  <c r="CE24" i="1"/>
  <c r="AN23" i="27"/>
  <c r="AN34" i="27"/>
  <c r="CF74" i="1" l="1"/>
  <c r="AO32" i="27"/>
  <c r="AN24" i="27"/>
  <c r="CF24" i="1" l="1"/>
  <c r="CG72" i="1"/>
  <c r="AO33" i="27"/>
  <c r="AO21" i="27"/>
  <c r="AO22" i="27" s="1"/>
  <c r="CG21" i="1" l="1"/>
  <c r="CG73" i="1"/>
  <c r="AO23" i="27"/>
  <c r="AO34" i="27"/>
  <c r="CG22" i="1" l="1"/>
  <c r="CG74" i="1"/>
  <c r="CH72" i="1" s="1"/>
  <c r="EB73" i="26" s="1"/>
  <c r="EC73" i="26" s="1"/>
  <c r="CI66" i="1" s="1"/>
  <c r="CG23" i="1"/>
  <c r="AP32" i="27"/>
  <c r="AO24" i="27"/>
  <c r="CH73" i="1" l="1"/>
  <c r="CH74" i="1" s="1"/>
  <c r="CI72" i="1" s="1"/>
  <c r="CI73" i="1" s="1"/>
  <c r="CG24" i="1"/>
  <c r="AP33" i="27"/>
  <c r="AP21" i="27"/>
  <c r="AP22" i="27" s="1"/>
  <c r="CI74" i="1" l="1"/>
  <c r="AP23" i="27"/>
  <c r="AP34" i="27"/>
  <c r="CJ72" i="1" l="1"/>
  <c r="AQ32" i="27"/>
  <c r="AP24" i="27"/>
  <c r="CJ73" i="1" l="1"/>
  <c r="AQ33" i="27"/>
  <c r="AQ21" i="27"/>
  <c r="AQ22" i="27" s="1"/>
  <c r="CJ74" i="1" l="1"/>
  <c r="CK72" i="1" s="1"/>
  <c r="AQ23" i="27"/>
  <c r="AQ34" i="27"/>
  <c r="CK73" i="1" l="1"/>
  <c r="AR32" i="27"/>
  <c r="AQ24" i="27"/>
  <c r="CK74" i="1" l="1"/>
  <c r="AR33" i="27"/>
  <c r="AR21" i="27"/>
  <c r="AR22" i="27" s="1"/>
  <c r="CL72" i="1" l="1"/>
  <c r="AR23" i="27"/>
  <c r="AR34" i="27"/>
  <c r="CL73" i="1" l="1"/>
  <c r="AS32" i="27"/>
  <c r="AR24" i="27"/>
  <c r="CL74" i="1" l="1"/>
  <c r="AS33" i="27"/>
  <c r="AS21" i="27"/>
  <c r="AS22" i="27" s="1"/>
  <c r="CM72" i="1" l="1"/>
  <c r="AS23" i="27"/>
  <c r="AS34" i="27"/>
  <c r="CM73" i="1" l="1"/>
  <c r="AT32" i="27"/>
  <c r="AS24" i="27"/>
  <c r="CM74" i="1" l="1"/>
  <c r="AT33" i="27"/>
  <c r="AT21" i="27"/>
  <c r="AT22" i="27" s="1"/>
  <c r="CN72" i="1" l="1"/>
  <c r="AT23" i="27"/>
  <c r="AT34" i="27"/>
  <c r="CN73" i="1" l="1"/>
  <c r="AU32" i="27"/>
  <c r="AT24" i="27"/>
  <c r="CN74" i="1" l="1"/>
  <c r="AU33" i="27"/>
  <c r="AU21" i="27"/>
  <c r="AU22" i="27" s="1"/>
  <c r="CO72" i="1" l="1"/>
  <c r="AU23" i="27"/>
  <c r="AU34" i="27"/>
  <c r="AV32" i="27" s="1"/>
  <c r="AV33" i="27" s="1"/>
  <c r="AV34" i="27" s="1"/>
  <c r="CO73" i="1" l="1"/>
  <c r="AW32" i="27"/>
  <c r="AW33" i="27" s="1"/>
  <c r="AW34" i="27" s="1"/>
  <c r="AX32" i="27" s="1"/>
  <c r="AU24" i="27"/>
  <c r="CO74" i="1" l="1"/>
  <c r="AW23" i="27"/>
  <c r="AW21" i="27"/>
  <c r="AV21" i="27"/>
  <c r="AV22" i="27" s="1"/>
  <c r="CP72" i="1" l="1"/>
  <c r="AW22" i="27"/>
  <c r="AV23" i="27"/>
  <c r="CP73" i="1" l="1"/>
  <c r="AX33" i="27"/>
  <c r="AX34" i="27" s="1"/>
  <c r="AV24" i="27"/>
  <c r="CP74" i="1" l="1"/>
  <c r="AY32" i="27"/>
  <c r="DY32" i="29" s="1"/>
  <c r="DZ32" i="29" s="1"/>
  <c r="AZ26" i="27" s="1"/>
  <c r="AX23" i="27"/>
  <c r="AX21" i="27"/>
  <c r="AX22" i="27" s="1"/>
  <c r="AW24" i="27"/>
  <c r="CQ72" i="1" l="1"/>
  <c r="AZ15" i="27"/>
  <c r="AY21" i="27"/>
  <c r="AY22" i="27" s="1"/>
  <c r="AY33" i="27"/>
  <c r="AY23" i="27" s="1"/>
  <c r="AX24" i="27"/>
  <c r="CQ73" i="1" l="1"/>
  <c r="AY34" i="27"/>
  <c r="AY24" i="27" s="1"/>
  <c r="CQ74" i="1" l="1"/>
  <c r="AZ32" i="27"/>
  <c r="AZ33" i="27" s="1"/>
  <c r="CR72" i="1" l="1"/>
  <c r="AZ23" i="27"/>
  <c r="AZ34" i="27"/>
  <c r="BA32" i="27" s="1"/>
  <c r="BA33" i="27" s="1"/>
  <c r="AZ21" i="27"/>
  <c r="AZ22" i="27" s="1"/>
  <c r="CH21" i="1"/>
  <c r="CH22" i="1" s="1"/>
  <c r="CH43" i="1"/>
  <c r="CH23" i="1" s="1"/>
  <c r="EB43" i="26"/>
  <c r="EC43" i="26" s="1"/>
  <c r="CI36" i="1" s="1"/>
  <c r="AZ24" i="27" l="1"/>
  <c r="CR73" i="1"/>
  <c r="BA21" i="27"/>
  <c r="BA22" i="27" s="1"/>
  <c r="BA23" i="27"/>
  <c r="BA34" i="27"/>
  <c r="CI15" i="1"/>
  <c r="CH44" i="1"/>
  <c r="CI42" i="1" s="1"/>
  <c r="DY11" i="29"/>
  <c r="DZ11" i="29" s="1"/>
  <c r="AZ5" i="27" s="1"/>
  <c r="AZ10" i="27" s="1"/>
  <c r="AZ11" i="27" s="1"/>
  <c r="CH24" i="1" l="1"/>
  <c r="CR74" i="1"/>
  <c r="CS72" i="1" s="1"/>
  <c r="BA24" i="27"/>
  <c r="BB32" i="27"/>
  <c r="CI43" i="1"/>
  <c r="CI23" i="1" s="1"/>
  <c r="CI21" i="1"/>
  <c r="CI22" i="1" s="1"/>
  <c r="AZ12" i="27"/>
  <c r="AZ13" i="27" s="1"/>
  <c r="CI44" i="1" l="1"/>
  <c r="CJ42" i="1" s="1"/>
  <c r="CJ43" i="1" s="1"/>
  <c r="CJ23" i="1" s="1"/>
  <c r="CS73" i="1"/>
  <c r="BB33" i="27"/>
  <c r="BB21" i="27"/>
  <c r="BB22" i="27" s="1"/>
  <c r="BA10" i="27"/>
  <c r="BA12" i="27" s="1"/>
  <c r="BA13" i="27" s="1"/>
  <c r="CJ21" i="1" l="1"/>
  <c r="CJ22" i="1" s="1"/>
  <c r="CI24" i="1"/>
  <c r="CJ44" i="1"/>
  <c r="CJ24" i="1" s="1"/>
  <c r="CS74" i="1"/>
  <c r="CK42" i="1"/>
  <c r="BB34" i="27"/>
  <c r="BB23" i="27"/>
  <c r="BA11" i="27"/>
  <c r="FF11" i="29" s="1"/>
  <c r="FG11" i="29" s="1"/>
  <c r="BB5" i="27" s="1"/>
  <c r="BB10" i="27" s="1"/>
  <c r="CT72" i="1" l="1"/>
  <c r="CK43" i="1"/>
  <c r="CK21" i="1"/>
  <c r="CK22" i="1" s="1"/>
  <c r="BC32" i="27"/>
  <c r="BB24" i="27"/>
  <c r="CT73" i="1" l="1"/>
  <c r="CK44" i="1"/>
  <c r="CK23" i="1"/>
  <c r="BC33" i="27"/>
  <c r="BC21" i="27"/>
  <c r="BC22" i="27" s="1"/>
  <c r="BB12" i="27"/>
  <c r="BB13" i="27" s="1"/>
  <c r="BC10" i="27" s="1"/>
  <c r="BC12" i="27" s="1"/>
  <c r="BC13" i="27" s="1"/>
  <c r="BD10" i="27" s="1"/>
  <c r="BD12" i="27" s="1"/>
  <c r="BD13" i="27" s="1"/>
  <c r="BE10" i="27" s="1"/>
  <c r="BE12" i="27" s="1"/>
  <c r="BE13" i="27" s="1"/>
  <c r="BF10" i="27" s="1"/>
  <c r="BF12" i="27" s="1"/>
  <c r="BF13" i="27" s="1"/>
  <c r="BG10" i="27" s="1"/>
  <c r="BG12" i="27" s="1"/>
  <c r="BG13" i="27" s="1"/>
  <c r="BH10" i="27" s="1"/>
  <c r="BH12" i="27" s="1"/>
  <c r="BH13" i="27" s="1"/>
  <c r="BB11" i="27"/>
  <c r="CT74" i="1" l="1"/>
  <c r="CL42" i="1"/>
  <c r="CK24" i="1"/>
  <c r="BC34" i="27"/>
  <c r="BC23" i="27"/>
  <c r="BC11" i="27"/>
  <c r="BD11" i="27" s="1"/>
  <c r="BE11" i="27" s="1"/>
  <c r="BF11" i="27" s="1"/>
  <c r="CU72" i="1" l="1"/>
  <c r="CL43" i="1"/>
  <c r="CL21" i="1"/>
  <c r="CL22" i="1" s="1"/>
  <c r="BG11" i="27"/>
  <c r="BH11" i="27" s="1"/>
  <c r="BD32" i="27"/>
  <c r="BC24" i="27"/>
  <c r="CU73" i="1" l="1"/>
  <c r="CL44" i="1"/>
  <c r="CL23" i="1"/>
  <c r="FQ11" i="29"/>
  <c r="FR11" i="29" s="1"/>
  <c r="BD33" i="27"/>
  <c r="BD21" i="27"/>
  <c r="BD22" i="27" s="1"/>
  <c r="CU74" i="1" l="1"/>
  <c r="BI5" i="27"/>
  <c r="BI10" i="27"/>
  <c r="BI12" i="27" s="1"/>
  <c r="CM42" i="1"/>
  <c r="CL24" i="1"/>
  <c r="BD34" i="27"/>
  <c r="BD23" i="27"/>
  <c r="BI11" i="27" l="1"/>
  <c r="CM43" i="1"/>
  <c r="CM21" i="1"/>
  <c r="CM22" i="1" s="1"/>
  <c r="BE32" i="27"/>
  <c r="BD24" i="27"/>
  <c r="CM44" i="1" l="1"/>
  <c r="CM23" i="1"/>
  <c r="BI13" i="27"/>
  <c r="BJ10" i="27" s="1"/>
  <c r="BJ12" i="27" s="1"/>
  <c r="BJ13" i="27" s="1"/>
  <c r="BK10" i="27" s="1"/>
  <c r="BK12" i="27" s="1"/>
  <c r="BK13" i="27" s="1"/>
  <c r="BL10" i="27" s="1"/>
  <c r="BL12" i="27" s="1"/>
  <c r="BL13" i="27" s="1"/>
  <c r="BM10" i="27" s="1"/>
  <c r="BM12" i="27" s="1"/>
  <c r="BM13" i="27" s="1"/>
  <c r="BN10" i="27" s="1"/>
  <c r="BN12" i="27" s="1"/>
  <c r="BN13" i="27" s="1"/>
  <c r="BO10" i="27" s="1"/>
  <c r="BO12" i="27" s="1"/>
  <c r="BO13" i="27" s="1"/>
  <c r="BP10" i="27" s="1"/>
  <c r="BP12" i="27" s="1"/>
  <c r="BP13" i="27" s="1"/>
  <c r="BQ10" i="27" s="1"/>
  <c r="BQ12" i="27" s="1"/>
  <c r="BQ13" i="27" s="1"/>
  <c r="BR10" i="27" s="1"/>
  <c r="BR12" i="27" s="1"/>
  <c r="BR13" i="27" s="1"/>
  <c r="BS10" i="27" s="1"/>
  <c r="BS12" i="27" s="1"/>
  <c r="BS13" i="27" s="1"/>
  <c r="BT10" i="27" s="1"/>
  <c r="BT12" i="27" s="1"/>
  <c r="BT13" i="27" s="1"/>
  <c r="BU10" i="27" s="1"/>
  <c r="BU12" i="27" s="1"/>
  <c r="BU13" i="27" s="1"/>
  <c r="BE33" i="27"/>
  <c r="BE21" i="27"/>
  <c r="BE22" i="27" s="1"/>
  <c r="BJ11" i="27" l="1"/>
  <c r="BK11" i="27" s="1"/>
  <c r="BL11" i="27" s="1"/>
  <c r="BM11" i="27" s="1"/>
  <c r="BN11" i="27" s="1"/>
  <c r="BO11" i="27" s="1"/>
  <c r="BP11" i="27" s="1"/>
  <c r="BQ11" i="27" s="1"/>
  <c r="BR11" i="27" s="1"/>
  <c r="BS11" i="27" s="1"/>
  <c r="BT11" i="27" s="1"/>
  <c r="BU11" i="27" s="1"/>
  <c r="CN42" i="1"/>
  <c r="CM24" i="1"/>
  <c r="BE34" i="27"/>
  <c r="BE23" i="27"/>
  <c r="CN43" i="1" l="1"/>
  <c r="CN21" i="1"/>
  <c r="CN22" i="1" s="1"/>
  <c r="BF32" i="27"/>
  <c r="BE24" i="27"/>
  <c r="CN44" i="1" l="1"/>
  <c r="CN23" i="1"/>
  <c r="BF33" i="27"/>
  <c r="BF21" i="27"/>
  <c r="BF22" i="27" s="1"/>
  <c r="CO42" i="1" l="1"/>
  <c r="CN24" i="1"/>
  <c r="BF34" i="27"/>
  <c r="BF23" i="27"/>
  <c r="CO43" i="1" l="1"/>
  <c r="CO21" i="1"/>
  <c r="CO22" i="1" s="1"/>
  <c r="BG32" i="27"/>
  <c r="BF24" i="27"/>
  <c r="CO44" i="1" l="1"/>
  <c r="CO23" i="1"/>
  <c r="BG33" i="27"/>
  <c r="BG21" i="27"/>
  <c r="BG22" i="27" s="1"/>
  <c r="CP42" i="1" l="1"/>
  <c r="CO24" i="1"/>
  <c r="BG34" i="27"/>
  <c r="BG23" i="27"/>
  <c r="CP43" i="1" l="1"/>
  <c r="CP21" i="1"/>
  <c r="CP22" i="1" s="1"/>
  <c r="BH32" i="27"/>
  <c r="BG24" i="27"/>
  <c r="CP44" i="1" l="1"/>
  <c r="CP23" i="1"/>
  <c r="BH33" i="27"/>
  <c r="BH21" i="27"/>
  <c r="BH22" i="27" s="1"/>
  <c r="CQ42" i="1" l="1"/>
  <c r="CP24" i="1"/>
  <c r="BH34" i="27"/>
  <c r="BH23" i="27"/>
  <c r="CQ43" i="1" l="1"/>
  <c r="CQ21" i="1"/>
  <c r="CQ22" i="1" s="1"/>
  <c r="BH24" i="27"/>
  <c r="BI32" i="27"/>
  <c r="CQ44" i="1" l="1"/>
  <c r="CQ23" i="1"/>
  <c r="BI33" i="27"/>
  <c r="BI21" i="27"/>
  <c r="BI22" i="27" s="1"/>
  <c r="CR42" i="1" l="1"/>
  <c r="CQ24" i="1"/>
  <c r="BI34" i="27"/>
  <c r="BI23" i="27"/>
  <c r="BI24" i="27" l="1"/>
  <c r="BJ32" i="27"/>
  <c r="CR43" i="1"/>
  <c r="CR21" i="1"/>
  <c r="CR22" i="1" s="1"/>
  <c r="BJ33" i="27" l="1"/>
  <c r="BJ21" i="27"/>
  <c r="CR44" i="1"/>
  <c r="CR23" i="1"/>
  <c r="BJ22" i="27" l="1"/>
  <c r="CR24" i="1"/>
  <c r="CS42" i="1"/>
  <c r="BJ34" i="27"/>
  <c r="BJ23" i="27"/>
  <c r="CS43" i="1" l="1"/>
  <c r="CS21" i="1"/>
  <c r="CS22" i="1" s="1"/>
  <c r="BK32" i="27"/>
  <c r="BJ24" i="27"/>
  <c r="CS44" i="1" l="1"/>
  <c r="CS23" i="1"/>
  <c r="BK33" i="27"/>
  <c r="BK21" i="27"/>
  <c r="BK22" i="27" l="1"/>
  <c r="CT42" i="1"/>
  <c r="CS24" i="1"/>
  <c r="BK34" i="27"/>
  <c r="BK23" i="27"/>
  <c r="CT43" i="1" l="1"/>
  <c r="CT21" i="1"/>
  <c r="CT22" i="1" s="1"/>
  <c r="BL32" i="27"/>
  <c r="BK24" i="27"/>
  <c r="CT44" i="1" l="1"/>
  <c r="CT23" i="1"/>
  <c r="BL33" i="27"/>
  <c r="BL21" i="27"/>
  <c r="BL22" i="27" l="1"/>
  <c r="CU42" i="1"/>
  <c r="CT24" i="1"/>
  <c r="BL34" i="27"/>
  <c r="BL23" i="27"/>
  <c r="BM32" i="27" l="1"/>
  <c r="BM33" i="27" s="1"/>
  <c r="BM34" i="27" s="1"/>
  <c r="CU43" i="1"/>
  <c r="CU21" i="1"/>
  <c r="CU22" i="1" s="1"/>
  <c r="BL24" i="27"/>
  <c r="BM21" i="27" l="1"/>
  <c r="BM22" i="27" s="1"/>
  <c r="BN32" i="27"/>
  <c r="BM24" i="27"/>
  <c r="BM23" i="27"/>
  <c r="CU44" i="1"/>
  <c r="CU23" i="1"/>
  <c r="BN33" i="27" l="1"/>
  <c r="BN21" i="27"/>
  <c r="BN22" i="27" s="1"/>
  <c r="CU24" i="1"/>
  <c r="BN23" i="27" l="1"/>
  <c r="BN34" i="27"/>
  <c r="BN24" i="27" l="1"/>
  <c r="BO32" i="27"/>
  <c r="BO33" i="27" l="1"/>
  <c r="BO21" i="27"/>
  <c r="BO22" i="27" s="1"/>
  <c r="BO34" i="27" l="1"/>
  <c r="BO23" i="27"/>
  <c r="BP32" i="27" l="1"/>
  <c r="BO24" i="27"/>
  <c r="BP33" i="27" l="1"/>
  <c r="BP21" i="27"/>
  <c r="BP22" i="27" s="1"/>
  <c r="BP34" i="27" l="1"/>
  <c r="BP23" i="27"/>
  <c r="BQ32" i="27" l="1"/>
  <c r="BP24" i="27"/>
  <c r="BQ33" i="27" l="1"/>
  <c r="BQ21" i="27"/>
  <c r="BQ22" i="27" s="1"/>
  <c r="BQ34" i="27" l="1"/>
  <c r="BQ23" i="27"/>
  <c r="BR32" i="27" l="1"/>
  <c r="BQ24" i="27"/>
  <c r="BR33" i="27" l="1"/>
  <c r="BR21" i="27"/>
  <c r="BR22" i="27" s="1"/>
  <c r="BR34" i="27" l="1"/>
  <c r="BR23" i="27"/>
  <c r="BS32" i="27" l="1"/>
  <c r="BR24" i="27"/>
  <c r="BS33" i="27" l="1"/>
  <c r="BS21" i="27"/>
  <c r="BS22" i="27" s="1"/>
  <c r="BS34" i="27" l="1"/>
  <c r="BS23" i="27"/>
  <c r="BT32" i="27" l="1"/>
  <c r="BS24" i="27"/>
  <c r="BT33" i="27" l="1"/>
  <c r="BT21" i="27"/>
  <c r="BT22" i="27" s="1"/>
  <c r="BT34" i="27" l="1"/>
  <c r="BT23" i="27"/>
  <c r="BU32" i="27" l="1"/>
  <c r="BT24" i="27"/>
  <c r="BU33" i="27" l="1"/>
  <c r="BU21" i="27"/>
  <c r="BU22" i="27" s="1"/>
  <c r="BU34" i="27" l="1"/>
  <c r="BU23" i="27"/>
  <c r="BU24" i="27" l="1"/>
  <c r="BV6" i="27" l="1"/>
  <c r="BW6" i="27"/>
  <c r="BX6" i="27"/>
  <c r="E6" i="34"/>
  <c r="C6" i="34"/>
  <c r="D6" i="34"/>
  <c r="D52" i="35" l="1"/>
  <c r="D54" i="35"/>
  <c r="C52" i="35"/>
  <c r="B55" i="35" l="1"/>
  <c r="B54" i="35"/>
  <c r="D53" i="35"/>
  <c r="B53" i="35"/>
  <c r="D55" i="35"/>
  <c r="B52" i="35"/>
  <c r="C53" i="35"/>
  <c r="C54" i="35"/>
  <c r="C55" i="35"/>
  <c r="B58" i="35" l="1"/>
  <c r="D58" i="35"/>
  <c r="C58" i="35"/>
  <c r="B71" i="35" l="1"/>
  <c r="C48" i="34" s="1"/>
  <c r="C50" i="34" s="1"/>
  <c r="C51" i="34" s="1"/>
  <c r="C52" i="34" s="1"/>
  <c r="C53" i="34" s="1"/>
  <c r="C54" i="34" s="1"/>
  <c r="B72" i="35"/>
  <c r="C58" i="34" s="1"/>
  <c r="C60" i="34" s="1"/>
  <c r="C61" i="34" s="1"/>
  <c r="C62" i="34" s="1"/>
  <c r="C63" i="34" s="1"/>
  <c r="C64" i="34" s="1"/>
  <c r="B73" i="35"/>
  <c r="C68" i="34" s="1"/>
  <c r="B70" i="35"/>
  <c r="C38" i="34" s="1"/>
  <c r="C40" i="34" s="1"/>
  <c r="C41" i="34" s="1"/>
  <c r="C42" i="34" s="1"/>
  <c r="C43" i="34" s="1"/>
  <c r="C44" i="34" s="1"/>
  <c r="D72" i="35"/>
  <c r="E58" i="34" s="1"/>
  <c r="E60" i="34" s="1"/>
  <c r="E61" i="34" s="1"/>
  <c r="D70" i="35"/>
  <c r="E38" i="34" s="1"/>
  <c r="E40" i="34" s="1"/>
  <c r="E41" i="34" s="1"/>
  <c r="D71" i="35"/>
  <c r="E48" i="34" s="1"/>
  <c r="E50" i="34" s="1"/>
  <c r="E51" i="34" s="1"/>
  <c r="D73" i="35"/>
  <c r="E68" i="34" s="1"/>
  <c r="C70" i="35"/>
  <c r="D38" i="34" s="1"/>
  <c r="D40" i="34" s="1"/>
  <c r="D41" i="34" s="1"/>
  <c r="D42" i="34" s="1"/>
  <c r="D43" i="34" s="1"/>
  <c r="D44" i="34" s="1"/>
  <c r="C72" i="35"/>
  <c r="D58" i="34" s="1"/>
  <c r="D60" i="34" s="1"/>
  <c r="D61" i="34" s="1"/>
  <c r="D62" i="34" s="1"/>
  <c r="D63" i="34" s="1"/>
  <c r="D64" i="34" s="1"/>
  <c r="C71" i="35"/>
  <c r="D48" i="34" s="1"/>
  <c r="D50" i="34" s="1"/>
  <c r="D51" i="34" s="1"/>
  <c r="D52" i="34" s="1"/>
  <c r="D53" i="34" s="1"/>
  <c r="D54" i="34" s="1"/>
  <c r="C73" i="35"/>
  <c r="D68" i="34" s="1"/>
  <c r="E7" i="34"/>
  <c r="E8" i="34" s="1"/>
  <c r="C51" i="35"/>
  <c r="D7" i="34"/>
  <c r="D8" i="34" s="1"/>
  <c r="D51" i="35"/>
  <c r="C7" i="34"/>
  <c r="C8" i="34" s="1"/>
  <c r="C10" i="34" s="1"/>
  <c r="B51" i="35"/>
  <c r="C56" i="35" l="1"/>
  <c r="C69" i="35"/>
  <c r="C74" i="35" s="1"/>
  <c r="E62" i="34"/>
  <c r="E63" i="34" s="1"/>
  <c r="E64" i="34" s="1"/>
  <c r="E52" i="34"/>
  <c r="E53" i="34" s="1"/>
  <c r="E54" i="34" s="1"/>
  <c r="E42" i="34"/>
  <c r="E43" i="34" s="1"/>
  <c r="E44" i="34" s="1"/>
  <c r="D56" i="35"/>
  <c r="D69" i="35"/>
  <c r="D74" i="35" s="1"/>
  <c r="E28" i="34"/>
  <c r="E30" i="34" s="1"/>
  <c r="E31" i="34" s="1"/>
  <c r="C12" i="34"/>
  <c r="C13" i="34" s="1"/>
  <c r="D10" i="34" s="1"/>
  <c r="D12" i="34" s="1"/>
  <c r="D13" i="34" s="1"/>
  <c r="E10" i="34" s="1"/>
  <c r="E12" i="34" s="1"/>
  <c r="E13" i="34" s="1"/>
  <c r="C11" i="34"/>
  <c r="C70" i="34"/>
  <c r="E70" i="34"/>
  <c r="B56" i="35"/>
  <c r="B69" i="35"/>
  <c r="B74" i="35" s="1"/>
  <c r="C28" i="34"/>
  <c r="C30" i="34" s="1"/>
  <c r="C31" i="34" s="1"/>
  <c r="D70" i="34"/>
  <c r="D11" i="34" l="1"/>
  <c r="E11" i="34" s="1"/>
  <c r="C32" i="34"/>
  <c r="C33" i="34" s="1"/>
  <c r="C34" i="34" s="1"/>
  <c r="C19" i="34"/>
  <c r="C71" i="34"/>
  <c r="E17" i="34"/>
  <c r="D28" i="34"/>
  <c r="E71" i="34"/>
  <c r="E19" i="34"/>
  <c r="D71" i="34"/>
  <c r="C17" i="34"/>
  <c r="D30" i="34" l="1"/>
  <c r="D17" i="34"/>
  <c r="C72" i="34"/>
  <c r="C21" i="34" s="1"/>
  <c r="C22" i="34" s="1"/>
  <c r="C20" i="34"/>
  <c r="E20" i="34"/>
  <c r="C73" i="34" l="1"/>
  <c r="D31" i="34"/>
  <c r="D19" i="34"/>
  <c r="D32" i="34" l="1"/>
  <c r="D33" i="34" s="1"/>
  <c r="D34" i="34" s="1"/>
  <c r="E32" i="34" s="1"/>
  <c r="E33" i="34" s="1"/>
  <c r="E34" i="34" s="1"/>
  <c r="D20" i="34"/>
  <c r="C74" i="34"/>
  <c r="C23" i="34"/>
  <c r="C24" i="34" l="1"/>
  <c r="D72" i="34"/>
  <c r="D21" i="34" l="1"/>
  <c r="D22" i="34" s="1"/>
  <c r="D73" i="34"/>
  <c r="D74" i="34" l="1"/>
  <c r="D23" i="34"/>
  <c r="D24" i="34" l="1"/>
  <c r="E72" i="34"/>
  <c r="E21" i="34" l="1"/>
  <c r="E22" i="34" s="1"/>
  <c r="E73" i="34"/>
  <c r="E74" i="34" l="1"/>
  <c r="E24" i="34" s="1"/>
  <c r="E23" i="34"/>
  <c r="BT58" i="28" l="1"/>
  <c r="BT51" i="28" l="1"/>
  <c r="BT69" i="28" l="1"/>
  <c r="BH3" i="30"/>
  <c r="BH4" i="30" s="1"/>
  <c r="BH5" i="30" s="1"/>
  <c r="BH6" i="30" s="1"/>
  <c r="BH7" i="30" s="1"/>
  <c r="BH8" i="30" s="1"/>
  <c r="BV28" i="27"/>
  <c r="BV29" i="27" l="1"/>
  <c r="BV30" i="27" s="1"/>
  <c r="BV31" i="27" s="1"/>
  <c r="BV32" i="27" s="1"/>
  <c r="BV33" i="27" s="1"/>
  <c r="BV34" i="27" s="1"/>
  <c r="BT52" i="28"/>
  <c r="BV7" i="27"/>
  <c r="BV8" i="27" s="1"/>
  <c r="BV10" i="27" s="1"/>
  <c r="BV53" i="28"/>
  <c r="BV55" i="28"/>
  <c r="BT55" i="28"/>
  <c r="BU53" i="28"/>
  <c r="BV58" i="28"/>
  <c r="BV54" i="28"/>
  <c r="BU52" i="28"/>
  <c r="BI10" i="30" s="1"/>
  <c r="BU55" i="28"/>
  <c r="BT54" i="28"/>
  <c r="BT53" i="28"/>
  <c r="BU54" i="28"/>
  <c r="BV52" i="28"/>
  <c r="BV72" i="28" l="1"/>
  <c r="BX58" i="27" s="1"/>
  <c r="BJ24" i="30"/>
  <c r="BV12" i="27"/>
  <c r="BV13" i="27" s="1"/>
  <c r="BV11" i="27"/>
  <c r="BJ17" i="30"/>
  <c r="BV71" i="28"/>
  <c r="BX48" i="27" s="1"/>
  <c r="BX7" i="27"/>
  <c r="BX8" i="27" s="1"/>
  <c r="BH31" i="30"/>
  <c r="BT73" i="28"/>
  <c r="BV68" i="27" s="1"/>
  <c r="BH24" i="30"/>
  <c r="BH25" i="30" s="1"/>
  <c r="BH26" i="30" s="1"/>
  <c r="BH27" i="30" s="1"/>
  <c r="BH28" i="30" s="1"/>
  <c r="BH29" i="30" s="1"/>
  <c r="BT72" i="28"/>
  <c r="BV58" i="27" s="1"/>
  <c r="BV59" i="27" s="1"/>
  <c r="BV60" i="27" s="1"/>
  <c r="BV61" i="27" s="1"/>
  <c r="BV62" i="27" s="1"/>
  <c r="BV63" i="27" s="1"/>
  <c r="BV64" i="27" s="1"/>
  <c r="BH10" i="30"/>
  <c r="BT70" i="28"/>
  <c r="BV38" i="27" s="1"/>
  <c r="BT56" i="28"/>
  <c r="BI31" i="30"/>
  <c r="BV70" i="28"/>
  <c r="BX38" i="27" s="1"/>
  <c r="BJ10" i="30"/>
  <c r="BI24" i="30"/>
  <c r="BI25" i="30" s="1"/>
  <c r="BI26" i="30" s="1"/>
  <c r="BI27" i="30" s="1"/>
  <c r="BI28" i="30" s="1"/>
  <c r="BI29" i="30" s="1"/>
  <c r="BV73" i="28"/>
  <c r="BX68" i="27" s="1"/>
  <c r="BJ31" i="30"/>
  <c r="BV77" i="27"/>
  <c r="BV78" i="27" s="1"/>
  <c r="BV79" i="27" s="1"/>
  <c r="BT71" i="28"/>
  <c r="BV48" i="27" s="1"/>
  <c r="BH17" i="30"/>
  <c r="BI17" i="30"/>
  <c r="BX77" i="27"/>
  <c r="BX78" i="27" s="1"/>
  <c r="BV51" i="28"/>
  <c r="BW7" i="27"/>
  <c r="BW8" i="27" s="1"/>
  <c r="BU58" i="28"/>
  <c r="BU70" i="28" s="1"/>
  <c r="BW38" i="27" s="1"/>
  <c r="BV86" i="27"/>
  <c r="BV87" i="27" l="1"/>
  <c r="BV88" i="27" s="1"/>
  <c r="BV89" i="27" s="1"/>
  <c r="BV93" i="27"/>
  <c r="BV17" i="27"/>
  <c r="BU72" i="28"/>
  <c r="BW58" i="27" s="1"/>
  <c r="BV69" i="28"/>
  <c r="BV74" i="28" s="1"/>
  <c r="BV56" i="28"/>
  <c r="BJ3" i="30"/>
  <c r="BX28" i="27"/>
  <c r="BX17" i="27" s="1"/>
  <c r="BW59" i="27"/>
  <c r="BW60" i="27" s="1"/>
  <c r="BW61" i="27" s="1"/>
  <c r="BW62" i="27" s="1"/>
  <c r="BW63" i="27" s="1"/>
  <c r="BW64" i="27" s="1"/>
  <c r="BU71" i="28"/>
  <c r="BW48" i="27" s="1"/>
  <c r="BU73" i="28"/>
  <c r="BW68" i="27" s="1"/>
  <c r="BH32" i="30"/>
  <c r="BH33" i="30" s="1"/>
  <c r="BH34" i="30"/>
  <c r="BH35" i="30" s="1"/>
  <c r="BH36" i="30" s="1"/>
  <c r="BV69" i="27" s="1"/>
  <c r="BH18" i="30"/>
  <c r="BH19" i="30" s="1"/>
  <c r="BW10" i="27"/>
  <c r="BW12" i="27" s="1"/>
  <c r="BW13" i="27" s="1"/>
  <c r="BX10" i="27" s="1"/>
  <c r="BX12" i="27" s="1"/>
  <c r="BX13" i="27" s="1"/>
  <c r="BX86" i="27"/>
  <c r="BV81" i="27"/>
  <c r="BV82" i="27" s="1"/>
  <c r="BV80" i="27"/>
  <c r="BT74" i="28"/>
  <c r="BJ25" i="30"/>
  <c r="BJ26" i="30" s="1"/>
  <c r="BJ27" i="30" s="1"/>
  <c r="BJ28" i="30" s="1"/>
  <c r="BJ29" i="30" s="1"/>
  <c r="BX59" i="27" s="1"/>
  <c r="BX60" i="27" s="1"/>
  <c r="BX61" i="27" s="1"/>
  <c r="BH11" i="30"/>
  <c r="BU51" i="28"/>
  <c r="BH12" i="30" l="1"/>
  <c r="BH13" i="30" s="1"/>
  <c r="BH14" i="30" s="1"/>
  <c r="BH15" i="30" s="1"/>
  <c r="BV39" i="27" s="1"/>
  <c r="BV40" i="27" s="1"/>
  <c r="BV41" i="27" s="1"/>
  <c r="BV42" i="27" s="1"/>
  <c r="BV43" i="27" s="1"/>
  <c r="BV44" i="27" s="1"/>
  <c r="BI11" i="30"/>
  <c r="BW11" i="27"/>
  <c r="BX11" i="27" s="1"/>
  <c r="BV70" i="27"/>
  <c r="BU56" i="28"/>
  <c r="BU69" i="28"/>
  <c r="BU74" i="28" s="1"/>
  <c r="BI3" i="30"/>
  <c r="BI4" i="30" s="1"/>
  <c r="BI5" i="30" s="1"/>
  <c r="BI6" i="30" s="1"/>
  <c r="BI7" i="30" s="1"/>
  <c r="BI8" i="30" s="1"/>
  <c r="BW28" i="27"/>
  <c r="BW29" i="27" s="1"/>
  <c r="BW30" i="27" s="1"/>
  <c r="BW31" i="27" s="1"/>
  <c r="BW32" i="27" s="1"/>
  <c r="BW33" i="27" s="1"/>
  <c r="BW34" i="27" s="1"/>
  <c r="BI32" i="30"/>
  <c r="BX62" i="27"/>
  <c r="BX63" i="27" s="1"/>
  <c r="BX64" i="27" s="1"/>
  <c r="BI18" i="30"/>
  <c r="BW86" i="27"/>
  <c r="BX87" i="27"/>
  <c r="BX88" i="27" s="1"/>
  <c r="BH20" i="30"/>
  <c r="BH21" i="30" s="1"/>
  <c r="BH22" i="30" s="1"/>
  <c r="BV49" i="27" s="1"/>
  <c r="BV50" i="27" s="1"/>
  <c r="BV51" i="27" s="1"/>
  <c r="BV52" i="27" s="1"/>
  <c r="BV53" i="27" s="1"/>
  <c r="BV54" i="27" s="1"/>
  <c r="BW77" i="27"/>
  <c r="BW78" i="27" s="1"/>
  <c r="BW79" i="27" s="1"/>
  <c r="BW81" i="27" s="1"/>
  <c r="BW82" i="27" s="1"/>
  <c r="BX79" i="27" s="1"/>
  <c r="BX81" i="27" s="1"/>
  <c r="BX82" i="27" s="1"/>
  <c r="BW80" i="27"/>
  <c r="BX80" i="27" s="1"/>
  <c r="BV90" i="27"/>
  <c r="BV91" i="27"/>
  <c r="BV92" i="27" s="1"/>
  <c r="BI33" i="30" l="1"/>
  <c r="BI34" i="30" s="1"/>
  <c r="BI35" i="30" s="1"/>
  <c r="BI36" i="30" s="1"/>
  <c r="BW69" i="27" s="1"/>
  <c r="BJ32" i="30"/>
  <c r="BV18" i="27"/>
  <c r="BW17" i="27"/>
  <c r="BV71" i="27"/>
  <c r="BV19" i="27"/>
  <c r="BI12" i="30"/>
  <c r="BI13" i="30"/>
  <c r="BI14" i="30" s="1"/>
  <c r="BI15" i="30" s="1"/>
  <c r="BW39" i="27" s="1"/>
  <c r="BW40" i="27" s="1"/>
  <c r="BW41" i="27" s="1"/>
  <c r="BW42" i="27" s="1"/>
  <c r="BW43" i="27" s="1"/>
  <c r="BW44" i="27" s="1"/>
  <c r="BJ11" i="30"/>
  <c r="BJ12" i="30" s="1"/>
  <c r="BJ13" i="30" s="1"/>
  <c r="BJ14" i="30" s="1"/>
  <c r="BJ15" i="30" s="1"/>
  <c r="BX39" i="27" s="1"/>
  <c r="BX40" i="27" s="1"/>
  <c r="BX41" i="27" s="1"/>
  <c r="BX42" i="27" s="1"/>
  <c r="BX43" i="27" s="1"/>
  <c r="BX44" i="27" s="1"/>
  <c r="BX32" i="27"/>
  <c r="BX33" i="27" s="1"/>
  <c r="BX34" i="27" s="1"/>
  <c r="BW87" i="27"/>
  <c r="BW88" i="27" s="1"/>
  <c r="BW89" i="27" s="1"/>
  <c r="BW91" i="27" s="1"/>
  <c r="BW92" i="27" s="1"/>
  <c r="BX89" i="27" s="1"/>
  <c r="BX91" i="27" s="1"/>
  <c r="BX92" i="27" s="1"/>
  <c r="BI19" i="30"/>
  <c r="BI20" i="30" s="1"/>
  <c r="BI21" i="30" s="1"/>
  <c r="BI22" i="30" s="1"/>
  <c r="BW49" i="27" s="1"/>
  <c r="BW50" i="27" s="1"/>
  <c r="BW51" i="27" s="1"/>
  <c r="BW52" i="27" s="1"/>
  <c r="BW53" i="27" s="1"/>
  <c r="BW54" i="27" s="1"/>
  <c r="BJ18" i="30"/>
  <c r="BJ19" i="30" s="1"/>
  <c r="BJ20" i="30" s="1"/>
  <c r="BJ21" i="30" s="1"/>
  <c r="BJ22" i="30" s="1"/>
  <c r="BX49" i="27" s="1"/>
  <c r="BX50" i="27" s="1"/>
  <c r="BX51" i="27" s="1"/>
  <c r="BJ4" i="30"/>
  <c r="BJ5" i="30" s="1"/>
  <c r="BJ6" i="30" s="1"/>
  <c r="BJ7" i="30" s="1"/>
  <c r="BJ8" i="30" s="1"/>
  <c r="BX29" i="27" s="1"/>
  <c r="BX30" i="27" s="1"/>
  <c r="BX31" i="27" s="1"/>
  <c r="BW90" i="27" l="1"/>
  <c r="BX90" i="27" s="1"/>
  <c r="BV72" i="27"/>
  <c r="BV21" i="27" s="1"/>
  <c r="BV22" i="27" s="1"/>
  <c r="BV20" i="27"/>
  <c r="BV73" i="27"/>
  <c r="BX52" i="27"/>
  <c r="BX53" i="27" s="1"/>
  <c r="BX54" i="27" s="1"/>
  <c r="BJ33" i="30"/>
  <c r="BJ34" i="30" s="1"/>
  <c r="BJ35" i="30" s="1"/>
  <c r="BJ36" i="30" s="1"/>
  <c r="BX69" i="27" s="1"/>
  <c r="BW93" i="27"/>
  <c r="BX93" i="27" s="1"/>
  <c r="BW70" i="27"/>
  <c r="BW18" i="27"/>
  <c r="BX70" i="27" l="1"/>
  <c r="BX18" i="27"/>
  <c r="BW71" i="27"/>
  <c r="BW19" i="27"/>
  <c r="BV74" i="27"/>
  <c r="BV24" i="27" s="1"/>
  <c r="BV23" i="27"/>
  <c r="BW20" i="27" l="1"/>
  <c r="BW72" i="27"/>
  <c r="BW21" i="27" s="1"/>
  <c r="BW22" i="27" s="1"/>
  <c r="BX71" i="27"/>
  <c r="BX19" i="27"/>
  <c r="BX20" i="27" l="1"/>
  <c r="BW73" i="27"/>
  <c r="BW74" i="27" l="1"/>
  <c r="BW23" i="27"/>
  <c r="BW24" i="27" l="1"/>
  <c r="BX72" i="27"/>
  <c r="BX21" i="27" l="1"/>
  <c r="BX22" i="27" s="1"/>
  <c r="BX73" i="27"/>
  <c r="BX23" i="27" l="1"/>
  <c r="BX74" i="27"/>
  <c r="BX24"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C29" authorId="0" shapeId="0" xr:uid="{A3392A23-BC7A-48AA-8EA7-D0634EA4366D}">
      <text>
        <r>
          <rPr>
            <b/>
            <sz val="9"/>
            <color indexed="81"/>
            <rFont val="Tahoma"/>
            <charset val="1"/>
          </rPr>
          <t>Filley, Kimberly S:</t>
        </r>
        <r>
          <rPr>
            <sz val="9"/>
            <color indexed="81"/>
            <rFont val="Tahoma"/>
            <charset val="1"/>
          </rPr>
          <t xml:space="preserve">
nothing in rates yet so amortization for cy is $0</t>
        </r>
      </text>
    </comment>
    <comment ref="D29" authorId="0" shapeId="0" xr:uid="{B360987F-18FC-41B3-A2DB-6F44705F5C15}">
      <text>
        <r>
          <rPr>
            <b/>
            <sz val="9"/>
            <color indexed="81"/>
            <rFont val="Tahoma"/>
            <charset val="1"/>
          </rPr>
          <t>Filley, Kimberly S:</t>
        </r>
        <r>
          <rPr>
            <sz val="9"/>
            <color indexed="81"/>
            <rFont val="Tahoma"/>
            <charset val="1"/>
          </rPr>
          <t xml:space="preserve">
nothing in rates yet so amortization for cy is $0</t>
        </r>
      </text>
    </comment>
    <comment ref="E29" authorId="0" shapeId="0" xr:uid="{3CD8E59C-4E41-463B-B1A1-04D40D44D66B}">
      <text>
        <r>
          <rPr>
            <b/>
            <sz val="9"/>
            <color indexed="81"/>
            <rFont val="Tahoma"/>
            <charset val="1"/>
          </rPr>
          <t>Filley, Kimberly S:</t>
        </r>
        <r>
          <rPr>
            <sz val="9"/>
            <color indexed="81"/>
            <rFont val="Tahoma"/>
            <charset val="1"/>
          </rPr>
          <t xml:space="preserve">
nothing in rates yet so amortization for cy is $0</t>
        </r>
      </text>
    </comment>
    <comment ref="C39" authorId="0" shapeId="0" xr:uid="{D69EB947-8994-4DFB-BEA1-15D285257215}">
      <text>
        <r>
          <rPr>
            <b/>
            <sz val="9"/>
            <color indexed="81"/>
            <rFont val="Tahoma"/>
            <charset val="1"/>
          </rPr>
          <t>Filley, Kimberly S:</t>
        </r>
        <r>
          <rPr>
            <sz val="9"/>
            <color indexed="81"/>
            <rFont val="Tahoma"/>
            <charset val="1"/>
          </rPr>
          <t xml:space="preserve">
nothing in rates yet so amortization for cy is $0</t>
        </r>
      </text>
    </comment>
    <comment ref="D39" authorId="0" shapeId="0" xr:uid="{21F8BD66-5992-4CD3-9DC1-09399F278D28}">
      <text>
        <r>
          <rPr>
            <b/>
            <sz val="9"/>
            <color indexed="81"/>
            <rFont val="Tahoma"/>
            <charset val="1"/>
          </rPr>
          <t>Filley, Kimberly S:</t>
        </r>
        <r>
          <rPr>
            <sz val="9"/>
            <color indexed="81"/>
            <rFont val="Tahoma"/>
            <charset val="1"/>
          </rPr>
          <t xml:space="preserve">
nothing in rates yet so amortization for cy is $0</t>
        </r>
      </text>
    </comment>
    <comment ref="E39" authorId="0" shapeId="0" xr:uid="{2E0B7980-4484-41B8-A6D4-FC6E30F099EE}">
      <text>
        <r>
          <rPr>
            <b/>
            <sz val="9"/>
            <color indexed="81"/>
            <rFont val="Tahoma"/>
            <charset val="1"/>
          </rPr>
          <t>Filley, Kimberly S:</t>
        </r>
        <r>
          <rPr>
            <sz val="9"/>
            <color indexed="81"/>
            <rFont val="Tahoma"/>
            <charset val="1"/>
          </rPr>
          <t xml:space="preserve">
nothing in rates yet so amortization for cy is $0</t>
        </r>
      </text>
    </comment>
    <comment ref="C49" authorId="0" shapeId="0" xr:uid="{89A8F60F-2E30-4D17-A0A2-F3A8F606FCEC}">
      <text>
        <r>
          <rPr>
            <b/>
            <sz val="9"/>
            <color indexed="81"/>
            <rFont val="Tahoma"/>
            <charset val="1"/>
          </rPr>
          <t>Filley, Kimberly S:</t>
        </r>
        <r>
          <rPr>
            <sz val="9"/>
            <color indexed="81"/>
            <rFont val="Tahoma"/>
            <charset val="1"/>
          </rPr>
          <t xml:space="preserve">
nothing in rates yet so amortization for cy is $0</t>
        </r>
      </text>
    </comment>
    <comment ref="D49" authorId="0" shapeId="0" xr:uid="{8C860761-B48B-4DA2-B198-C4626D5A5B2C}">
      <text>
        <r>
          <rPr>
            <b/>
            <sz val="9"/>
            <color indexed="81"/>
            <rFont val="Tahoma"/>
            <charset val="1"/>
          </rPr>
          <t>Filley, Kimberly S:</t>
        </r>
        <r>
          <rPr>
            <sz val="9"/>
            <color indexed="81"/>
            <rFont val="Tahoma"/>
            <charset val="1"/>
          </rPr>
          <t xml:space="preserve">
nothing in rates yet so amortization for cy is $0</t>
        </r>
      </text>
    </comment>
    <comment ref="E49" authorId="0" shapeId="0" xr:uid="{DBDFB762-77BA-4719-A941-623B207F7878}">
      <text>
        <r>
          <rPr>
            <b/>
            <sz val="9"/>
            <color indexed="81"/>
            <rFont val="Tahoma"/>
            <charset val="1"/>
          </rPr>
          <t>Filley, Kimberly S:</t>
        </r>
        <r>
          <rPr>
            <sz val="9"/>
            <color indexed="81"/>
            <rFont val="Tahoma"/>
            <charset val="1"/>
          </rPr>
          <t xml:space="preserve">
nothing in rates yet so amortization for cy is $0</t>
        </r>
      </text>
    </comment>
    <comment ref="C59" authorId="0" shapeId="0" xr:uid="{50A7708A-3488-4FB7-A5E1-E1F9DBC68CD1}">
      <text>
        <r>
          <rPr>
            <b/>
            <sz val="9"/>
            <color indexed="81"/>
            <rFont val="Tahoma"/>
            <charset val="1"/>
          </rPr>
          <t>Filley, Kimberly S:</t>
        </r>
        <r>
          <rPr>
            <sz val="9"/>
            <color indexed="81"/>
            <rFont val="Tahoma"/>
            <charset val="1"/>
          </rPr>
          <t xml:space="preserve">
nothing in rates yet so amortization for cy is $0</t>
        </r>
      </text>
    </comment>
    <comment ref="D59" authorId="0" shapeId="0" xr:uid="{F3EB7BBF-8A99-4E01-AC61-725D70FD6C0A}">
      <text>
        <r>
          <rPr>
            <b/>
            <sz val="9"/>
            <color indexed="81"/>
            <rFont val="Tahoma"/>
            <charset val="1"/>
          </rPr>
          <t>Filley, Kimberly S:</t>
        </r>
        <r>
          <rPr>
            <sz val="9"/>
            <color indexed="81"/>
            <rFont val="Tahoma"/>
            <charset val="1"/>
          </rPr>
          <t xml:space="preserve">
nothing in rates yet so amortization for cy is $0</t>
        </r>
      </text>
    </comment>
    <comment ref="E59" authorId="0" shapeId="0" xr:uid="{CDC8502D-65E6-4193-9713-1296E6EA06FA}">
      <text>
        <r>
          <rPr>
            <b/>
            <sz val="9"/>
            <color indexed="81"/>
            <rFont val="Tahoma"/>
            <charset val="1"/>
          </rPr>
          <t>Filley, Kimberly S:</t>
        </r>
        <r>
          <rPr>
            <sz val="9"/>
            <color indexed="81"/>
            <rFont val="Tahoma"/>
            <charset val="1"/>
          </rPr>
          <t xml:space="preserve">
nothing in rates yet so amortization for cy is $0</t>
        </r>
      </text>
    </comment>
    <comment ref="C69" authorId="0" shapeId="0" xr:uid="{223B8FEB-856A-4F0B-9EF0-264DA9AE4FD5}">
      <text>
        <r>
          <rPr>
            <b/>
            <sz val="9"/>
            <color indexed="81"/>
            <rFont val="Tahoma"/>
            <charset val="1"/>
          </rPr>
          <t>Filley, Kimberly S:</t>
        </r>
        <r>
          <rPr>
            <sz val="9"/>
            <color indexed="81"/>
            <rFont val="Tahoma"/>
            <charset val="1"/>
          </rPr>
          <t xml:space="preserve">
nothing in rates yet so amortization for cy is $0</t>
        </r>
      </text>
    </comment>
    <comment ref="D69" authorId="0" shapeId="0" xr:uid="{F36118AA-1EB2-4E60-A2A5-1C7671216EFE}">
      <text>
        <r>
          <rPr>
            <b/>
            <sz val="9"/>
            <color indexed="81"/>
            <rFont val="Tahoma"/>
            <charset val="1"/>
          </rPr>
          <t>Filley, Kimberly S:</t>
        </r>
        <r>
          <rPr>
            <sz val="9"/>
            <color indexed="81"/>
            <rFont val="Tahoma"/>
            <charset val="1"/>
          </rPr>
          <t xml:space="preserve">
nothing in rates yet so amortization for cy is $0</t>
        </r>
      </text>
    </comment>
    <comment ref="E69" authorId="0" shapeId="0" xr:uid="{E2C000F4-5452-4390-8FE7-F6CD0960DA93}">
      <text>
        <r>
          <rPr>
            <b/>
            <sz val="9"/>
            <color indexed="81"/>
            <rFont val="Tahoma"/>
            <charset val="1"/>
          </rPr>
          <t>Filley, Kimberly S:</t>
        </r>
        <r>
          <rPr>
            <sz val="9"/>
            <color indexed="81"/>
            <rFont val="Tahoma"/>
            <charset val="1"/>
          </rPr>
          <t xml:space="preserve">
nothing in rates yet so amortization for cy is $0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s>
  <commentList>
    <comment ref="D4" authorId="0" shapeId="0" xr:uid="{00000000-0006-0000-0A00-000001000000}">
      <text>
        <r>
          <rPr>
            <b/>
            <sz val="9"/>
            <color indexed="81"/>
            <rFont val="Tahoma"/>
            <family val="2"/>
          </rPr>
          <t>Logan, Raysene:</t>
        </r>
        <r>
          <rPr>
            <sz val="9"/>
            <color indexed="81"/>
            <rFont val="Tahoma"/>
            <family val="2"/>
          </rPr>
          <t xml:space="preserve">
new rates effective Feb 2017</t>
        </r>
      </text>
    </comment>
    <comment ref="P4" authorId="0" shapeId="0" xr:uid="{00000000-0006-0000-0A00-000002000000}">
      <text>
        <r>
          <rPr>
            <b/>
            <sz val="9"/>
            <color indexed="81"/>
            <rFont val="Tahoma"/>
            <family val="2"/>
          </rPr>
          <t>Logan, Raysene:</t>
        </r>
        <r>
          <rPr>
            <sz val="9"/>
            <color indexed="81"/>
            <rFont val="Tahoma"/>
            <family val="2"/>
          </rPr>
          <t xml:space="preserve">
new rates effective February 2018
Most classes have a credit (refund) for prior period due to over recovery balance in prior year</t>
        </r>
      </text>
    </comment>
    <comment ref="AB4" authorId="0" shapeId="0" xr:uid="{00000000-0006-0000-0A00-000003000000}">
      <text>
        <r>
          <rPr>
            <b/>
            <sz val="9"/>
            <color indexed="81"/>
            <rFont val="Tahoma"/>
            <family val="2"/>
          </rPr>
          <t>Logan, Raysene:</t>
        </r>
        <r>
          <rPr>
            <sz val="9"/>
            <color indexed="81"/>
            <rFont val="Tahoma"/>
            <family val="2"/>
          </rPr>
          <t xml:space="preserve">
new rates effective February 2019
</t>
        </r>
      </text>
    </comment>
    <comment ref="AN4" authorId="1" shapeId="0" xr:uid="{00000000-0006-0000-0A00-000004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4" authorId="1" shapeId="0" xr:uid="{00000000-0006-0000-0A00-000005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4" authorId="1" shapeId="0" xr:uid="{00000000-0006-0000-0A00-000006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X4" authorId="1" shapeId="0" xr:uid="{00000000-0006-0000-0A00-000007000000}">
      <text>
        <r>
          <rPr>
            <b/>
            <sz val="9"/>
            <color indexed="81"/>
            <rFont val="Tahoma"/>
            <family val="2"/>
          </rPr>
          <t>Filley, Kimberly S:</t>
        </r>
        <r>
          <rPr>
            <sz val="9"/>
            <color indexed="81"/>
            <rFont val="Tahoma"/>
            <family val="2"/>
          </rPr>
          <t xml:space="preserve">
new M2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11" authorId="1" shapeId="0" xr:uid="{00000000-0006-0000-0A00-000008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11" authorId="1" shapeId="0" xr:uid="{00000000-0006-0000-0A00-000009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11" authorId="1" shapeId="0" xr:uid="{00000000-0006-0000-0A00-00000A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18" authorId="1" shapeId="0" xr:uid="{00000000-0006-0000-0A00-00000B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18" authorId="1" shapeId="0" xr:uid="{00000000-0006-0000-0A00-00000C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18" authorId="1" shapeId="0" xr:uid="{00000000-0006-0000-0A00-00000D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25" authorId="1" shapeId="0" xr:uid="{00000000-0006-0000-0A00-00000E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25" authorId="1" shapeId="0" xr:uid="{00000000-0006-0000-0A00-00000F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25" authorId="1" shapeId="0" xr:uid="{00000000-0006-0000-0A00-000010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N32" authorId="1" shapeId="0" xr:uid="{00000000-0006-0000-0A00-000011000000}">
      <text>
        <r>
          <rPr>
            <b/>
            <sz val="9"/>
            <color indexed="81"/>
            <rFont val="Tahoma"/>
            <family val="2"/>
          </rPr>
          <t>Filley, Kimberly S:</t>
        </r>
        <r>
          <rPr>
            <sz val="9"/>
            <color indexed="81"/>
            <rFont val="Tahoma"/>
            <family val="2"/>
          </rPr>
          <t xml:space="preserve">
new M2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Z32" authorId="1" shapeId="0" xr:uid="{00000000-0006-0000-0A00-000012000000}">
      <text>
        <r>
          <rPr>
            <b/>
            <sz val="9"/>
            <color indexed="81"/>
            <rFont val="Tahoma"/>
            <family val="2"/>
          </rPr>
          <t>Filley, Kimberly S:</t>
        </r>
        <r>
          <rPr>
            <sz val="9"/>
            <color indexed="81"/>
            <rFont val="Tahoma"/>
            <family val="2"/>
          </rPr>
          <t xml:space="preserve">
new M2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BL32" authorId="1" shapeId="0" xr:uid="{00000000-0006-0000-0A00-000013000000}">
      <text>
        <r>
          <rPr>
            <b/>
            <sz val="9"/>
            <color indexed="81"/>
            <rFont val="Tahoma"/>
            <family val="2"/>
          </rPr>
          <t>Filley, Kimberly S:</t>
        </r>
        <r>
          <rPr>
            <sz val="9"/>
            <color indexed="81"/>
            <rFont val="Tahoma"/>
            <family val="2"/>
          </rPr>
          <t xml:space="preserve">
new M2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0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0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000-000003000000}">
      <text>
        <r>
          <rPr>
            <b/>
            <sz val="9"/>
            <color indexed="81"/>
            <rFont val="Tahoma"/>
            <family val="2"/>
          </rPr>
          <t>Logan, Raysene:</t>
        </r>
        <r>
          <rPr>
            <sz val="9"/>
            <color indexed="81"/>
            <rFont val="Tahoma"/>
            <family val="2"/>
          </rPr>
          <t xml:space="preserve">
M2 Janaury 2022 ending balances rolled into M3 effective Feb 2022</t>
        </r>
      </text>
    </comment>
    <comment ref="AZ5" authorId="0" shapeId="0" xr:uid="{00000000-0006-0000-0000-000004000000}">
      <text>
        <r>
          <rPr>
            <b/>
            <sz val="9"/>
            <color indexed="81"/>
            <rFont val="Tahoma"/>
            <family val="2"/>
          </rPr>
          <t>Filley, Kimberly S:</t>
        </r>
        <r>
          <rPr>
            <sz val="9"/>
            <color indexed="81"/>
            <rFont val="Tahoma"/>
            <family val="2"/>
          </rPr>
          <t xml:space="preserve">
interest correction related to change in interest rate in Dec 2020 for M3 which resulted in change in interest amount Dec 2020 - Dec 2022 totaling -$533.70 
and for M2 which resulted in a change in interest amount Dec 2020 - Jan 2022 totaling 
-$24.64 which needs to now be picked up as part of M3 as M2 PC ended in Jan 2022 </t>
        </r>
      </text>
    </comment>
    <comment ref="BB5" authorId="0" shapeId="0" xr:uid="{00000000-0006-0000-0000-000005000000}">
      <text>
        <r>
          <rPr>
            <b/>
            <sz val="9"/>
            <color indexed="81"/>
            <rFont val="Tahoma"/>
            <family val="2"/>
          </rPr>
          <t>Filley, Kimberly S:</t>
        </r>
        <r>
          <rPr>
            <sz val="9"/>
            <color indexed="81"/>
            <rFont val="Tahoma"/>
            <family val="2"/>
          </rPr>
          <t xml:space="preserve">
interest correction booked in GL March 2023 related to 3 prudence review finds spanning from Nov 20 to Sep 22 whereby costs had either been improperly included or excluded during those periods resulting in incorrect interest amounts being booked Nov 20- Feb 23</t>
        </r>
      </text>
    </comment>
    <comment ref="BI5" authorId="0" shapeId="0" xr:uid="{00000000-0006-0000-0000-000006000000}">
      <text>
        <r>
          <rPr>
            <b/>
            <sz val="9"/>
            <color indexed="81"/>
            <rFont val="Tahoma"/>
            <family val="2"/>
          </rPr>
          <t>Filley, Kimberly S:</t>
        </r>
        <r>
          <rPr>
            <sz val="9"/>
            <color indexed="81"/>
            <rFont val="Tahoma"/>
            <family val="2"/>
          </rPr>
          <t xml:space="preserve">
PC and assoc. interest adj related to PAYS costs that s/h flowed through MEEIA had the correct PISA rate been applied in Jul 23 - Sep 23, crrtn booked in GL in Oct 23</t>
        </r>
      </text>
    </comment>
    <comment ref="AE6" authorId="0" shapeId="0" xr:uid="{00000000-0006-0000-0000-000007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000-000008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000-000009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000-00000A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000-00000B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000-00000C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000-00000D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000-00000E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000-00000F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000-000010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000-000011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000-000012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000-000013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000-000014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000-000015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000-000016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000-000017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000-000018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000-000019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000-00001A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000-00001B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AZ6" authorId="0" shapeId="0" xr:uid="{00000000-0006-0000-0000-00001C000000}">
      <text>
        <r>
          <rPr>
            <b/>
            <sz val="9"/>
            <color indexed="81"/>
            <rFont val="Tahoma"/>
            <family val="2"/>
          </rPr>
          <t>Filley, Kimberly S:</t>
        </r>
        <r>
          <rPr>
            <sz val="9"/>
            <color indexed="81"/>
            <rFont val="Tahoma"/>
            <family val="2"/>
          </rPr>
          <t xml:space="preserve">
includes $2,443.32 in costs related to PAYS </t>
        </r>
      </text>
    </comment>
    <comment ref="BA6" authorId="0" shapeId="0" xr:uid="{00000000-0006-0000-0000-00001D000000}">
      <text>
        <r>
          <rPr>
            <b/>
            <sz val="9"/>
            <color indexed="81"/>
            <rFont val="Tahoma"/>
            <family val="2"/>
          </rPr>
          <t>Filley, Kimberly S:</t>
        </r>
        <r>
          <rPr>
            <sz val="9"/>
            <color indexed="81"/>
            <rFont val="Tahoma"/>
            <family val="2"/>
          </rPr>
          <t xml:space="preserve">
includes $2,593.30 in costs related to PAYS </t>
        </r>
      </text>
    </comment>
    <comment ref="BB6" authorId="0" shapeId="0" xr:uid="{00000000-0006-0000-0000-00001E000000}">
      <text>
        <r>
          <rPr>
            <b/>
            <sz val="9"/>
            <color indexed="81"/>
            <rFont val="Tahoma"/>
            <family val="2"/>
          </rPr>
          <t>Filley, Kimberly S:</t>
        </r>
        <r>
          <rPr>
            <sz val="9"/>
            <color indexed="81"/>
            <rFont val="Tahoma"/>
            <family val="2"/>
          </rPr>
          <t xml:space="preserve">
includes $2,624.66 in costs related to PAYS </t>
        </r>
      </text>
    </comment>
    <comment ref="BC6" authorId="0" shapeId="0" xr:uid="{00000000-0006-0000-0000-00001F000000}">
      <text>
        <r>
          <rPr>
            <b/>
            <sz val="9"/>
            <color indexed="81"/>
            <rFont val="Tahoma"/>
            <family val="2"/>
          </rPr>
          <t>Filley, Kimberly S:</t>
        </r>
        <r>
          <rPr>
            <sz val="9"/>
            <color indexed="81"/>
            <rFont val="Tahoma"/>
            <family val="2"/>
          </rPr>
          <t xml:space="preserve">
includes $2,692.03 in costs related to PAYS </t>
        </r>
      </text>
    </comment>
    <comment ref="BD6" authorId="0" shapeId="0" xr:uid="{00000000-0006-0000-0000-000020000000}">
      <text>
        <r>
          <rPr>
            <b/>
            <sz val="9"/>
            <color indexed="81"/>
            <rFont val="Tahoma"/>
            <family val="2"/>
          </rPr>
          <t>Filley, Kimberly S:</t>
        </r>
        <r>
          <rPr>
            <sz val="9"/>
            <color indexed="81"/>
            <rFont val="Tahoma"/>
            <family val="2"/>
          </rPr>
          <t xml:space="preserve">
includes $2,737.36 in costs related to PAYS </t>
        </r>
      </text>
    </comment>
    <comment ref="BE6" authorId="0" shapeId="0" xr:uid="{00000000-0006-0000-0000-000021000000}">
      <text>
        <r>
          <rPr>
            <b/>
            <sz val="9"/>
            <color indexed="81"/>
            <rFont val="Tahoma"/>
            <family val="2"/>
          </rPr>
          <t>Filley, Kimberly S:</t>
        </r>
        <r>
          <rPr>
            <sz val="9"/>
            <color indexed="81"/>
            <rFont val="Tahoma"/>
            <family val="2"/>
          </rPr>
          <t xml:space="preserve">
includes $2,781.49 in costs related to PAYS </t>
        </r>
      </text>
    </comment>
    <comment ref="BF6" authorId="0" shapeId="0" xr:uid="{00000000-0006-0000-0000-000022000000}">
      <text>
        <r>
          <rPr>
            <b/>
            <sz val="9"/>
            <color indexed="81"/>
            <rFont val="Tahoma"/>
            <family val="2"/>
          </rPr>
          <t>Filley, Kimberly S:</t>
        </r>
        <r>
          <rPr>
            <sz val="9"/>
            <color indexed="81"/>
            <rFont val="Tahoma"/>
            <family val="2"/>
          </rPr>
          <t xml:space="preserve">
includes $571.88 in costs related to PAYS </t>
        </r>
      </text>
    </comment>
    <comment ref="BG6" authorId="0" shapeId="0" xr:uid="{00000000-0006-0000-0000-000023000000}">
      <text>
        <r>
          <rPr>
            <b/>
            <sz val="9"/>
            <color indexed="81"/>
            <rFont val="Tahoma"/>
            <family val="2"/>
          </rPr>
          <t>Filley, Kimberly S:</t>
        </r>
        <r>
          <rPr>
            <sz val="9"/>
            <color indexed="81"/>
            <rFont val="Tahoma"/>
            <family val="2"/>
          </rPr>
          <t xml:space="preserve">
includes $743.10 in costs related to PAYS </t>
        </r>
      </text>
    </comment>
    <comment ref="BH6" authorId="0" shapeId="0" xr:uid="{00000000-0006-0000-0000-000024000000}">
      <text>
        <r>
          <rPr>
            <b/>
            <sz val="9"/>
            <color indexed="81"/>
            <rFont val="Tahoma"/>
            <family val="2"/>
          </rPr>
          <t>Filley, Kimberly S:</t>
        </r>
        <r>
          <rPr>
            <sz val="9"/>
            <color indexed="81"/>
            <rFont val="Tahoma"/>
            <family val="2"/>
          </rPr>
          <t xml:space="preserve">
includes $848.98 in costs related to PAYS </t>
        </r>
      </text>
    </comment>
    <comment ref="BI6" authorId="0" shapeId="0" xr:uid="{00000000-0006-0000-0000-000025000000}">
      <text>
        <r>
          <rPr>
            <b/>
            <sz val="9"/>
            <color indexed="81"/>
            <rFont val="Tahoma"/>
            <family val="2"/>
          </rPr>
          <t>Filley, Kimberly S:</t>
        </r>
        <r>
          <rPr>
            <sz val="9"/>
            <color indexed="81"/>
            <rFont val="Tahoma"/>
            <family val="2"/>
          </rPr>
          <t xml:space="preserve">
includes $1,182.71 in costs related to PAYS </t>
        </r>
      </text>
    </comment>
    <comment ref="BJ6" authorId="0" shapeId="0" xr:uid="{A11530EB-3385-46F0-94AC-DAD34BB11C8B}">
      <text>
        <r>
          <rPr>
            <b/>
            <sz val="9"/>
            <color indexed="81"/>
            <rFont val="Tahoma"/>
            <family val="2"/>
          </rPr>
          <t>Filley, Kimberly S:</t>
        </r>
        <r>
          <rPr>
            <sz val="9"/>
            <color indexed="81"/>
            <rFont val="Tahoma"/>
            <family val="2"/>
          </rPr>
          <t xml:space="preserve">
includes $1,237.65 in costs related to PAYS </t>
        </r>
      </text>
    </comment>
    <comment ref="BK6" authorId="0" shapeId="0" xr:uid="{CEFDAD3B-8BE8-4FCE-BB15-FD315E0B8AF2}">
      <text>
        <r>
          <rPr>
            <b/>
            <sz val="9"/>
            <color indexed="81"/>
            <rFont val="Tahoma"/>
            <family val="2"/>
          </rPr>
          <t>Filley, Kimberly S:</t>
        </r>
        <r>
          <rPr>
            <sz val="9"/>
            <color indexed="81"/>
            <rFont val="Tahoma"/>
            <family val="2"/>
          </rPr>
          <t xml:space="preserve">
includes $1,300.31 in costs related to PAYS </t>
        </r>
      </text>
    </comment>
    <comment ref="BL6" authorId="0" shapeId="0" xr:uid="{29A80032-2CA7-46F1-93B8-2ADD0437FFE5}">
      <text>
        <r>
          <rPr>
            <b/>
            <sz val="9"/>
            <color indexed="81"/>
            <rFont val="Tahoma"/>
            <family val="2"/>
          </rPr>
          <t>Filley, Kimberly S:</t>
        </r>
        <r>
          <rPr>
            <sz val="9"/>
            <color indexed="81"/>
            <rFont val="Tahoma"/>
            <family val="2"/>
          </rPr>
          <t xml:space="preserve">
includes $1,338.70 in costs related to PAYS </t>
        </r>
      </text>
    </comment>
    <comment ref="BM6" authorId="0" shapeId="0" xr:uid="{568BBE98-321B-46E8-AB3C-5E6AF5506DD7}">
      <text>
        <r>
          <rPr>
            <b/>
            <sz val="9"/>
            <color indexed="81"/>
            <rFont val="Tahoma"/>
            <family val="2"/>
          </rPr>
          <t>Filley, Kimberly S:</t>
        </r>
        <r>
          <rPr>
            <sz val="9"/>
            <color indexed="81"/>
            <rFont val="Tahoma"/>
            <family val="2"/>
          </rPr>
          <t xml:space="preserve">
includes $1,326.56 in costs related to PAYS </t>
        </r>
      </text>
    </comment>
    <comment ref="BN6" authorId="0" shapeId="0" xr:uid="{F9F0FEAA-9AB7-4DD4-B338-9B4C2A135E10}">
      <text>
        <r>
          <rPr>
            <b/>
            <sz val="9"/>
            <color indexed="81"/>
            <rFont val="Tahoma"/>
            <family val="2"/>
          </rPr>
          <t>Filley, Kimberly S:</t>
        </r>
        <r>
          <rPr>
            <sz val="9"/>
            <color indexed="81"/>
            <rFont val="Tahoma"/>
            <family val="2"/>
          </rPr>
          <t xml:space="preserve">
includes $1,314.08 in costs related to PAYS </t>
        </r>
      </text>
    </comment>
    <comment ref="BO6" authorId="0" shapeId="0" xr:uid="{5B255739-741C-423B-A4DF-34D031960970}">
      <text>
        <r>
          <rPr>
            <b/>
            <sz val="9"/>
            <color indexed="81"/>
            <rFont val="Tahoma"/>
            <family val="2"/>
          </rPr>
          <t>Filley, Kimberly S:</t>
        </r>
        <r>
          <rPr>
            <sz val="9"/>
            <color indexed="81"/>
            <rFont val="Tahoma"/>
            <family val="2"/>
          </rPr>
          <t xml:space="preserve">
includes $1,301.25 in costs related to PAYS &amp; an write-off to MEEIA of the deferred spend PAYS balance of $142.30</t>
        </r>
      </text>
    </comment>
    <comment ref="BP6" authorId="0" shapeId="0" xr:uid="{03EE7C51-12BD-49F2-AAC9-878E8C8715E9}">
      <text>
        <r>
          <rPr>
            <b/>
            <sz val="9"/>
            <color indexed="81"/>
            <rFont val="Tahoma"/>
            <family val="2"/>
          </rPr>
          <t>Filley, Kimberly S:</t>
        </r>
        <r>
          <rPr>
            <sz val="9"/>
            <color indexed="81"/>
            <rFont val="Tahoma"/>
            <family val="2"/>
          </rPr>
          <t xml:space="preserve">
includes $1,288.80 in costs related to PAYS</t>
        </r>
      </text>
    </comment>
    <comment ref="BQ6" authorId="0" shapeId="0" xr:uid="{526D6D0F-D231-4B59-A4DC-4E564C729D05}">
      <text>
        <r>
          <rPr>
            <b/>
            <sz val="9"/>
            <color indexed="81"/>
            <rFont val="Tahoma"/>
            <family val="2"/>
          </rPr>
          <t>Filley, Kimberly S:</t>
        </r>
        <r>
          <rPr>
            <sz val="9"/>
            <color indexed="81"/>
            <rFont val="Tahoma"/>
            <family val="2"/>
          </rPr>
          <t xml:space="preserve">
includes $1,453.68 in costs related to PAYS</t>
        </r>
      </text>
    </comment>
    <comment ref="BR6" authorId="0" shapeId="0" xr:uid="{A75A2BBC-C5D7-4E52-B56E-7341AB03FD71}">
      <text>
        <r>
          <rPr>
            <b/>
            <sz val="9"/>
            <color indexed="81"/>
            <rFont val="Tahoma"/>
            <family val="2"/>
          </rPr>
          <t>Filley, Kimberly S:</t>
        </r>
        <r>
          <rPr>
            <sz val="9"/>
            <color indexed="81"/>
            <rFont val="Tahoma"/>
            <family val="2"/>
          </rPr>
          <t xml:space="preserve">
includes $1,439.93 in costs related to PAYS</t>
        </r>
      </text>
    </comment>
    <comment ref="BS6" authorId="0" shapeId="0" xr:uid="{89B43407-F37B-4D48-83B5-4001F04E2421}">
      <text>
        <r>
          <rPr>
            <b/>
            <sz val="9"/>
            <color indexed="81"/>
            <rFont val="Tahoma"/>
            <family val="2"/>
          </rPr>
          <t>Filley, Kimberly S:</t>
        </r>
        <r>
          <rPr>
            <sz val="9"/>
            <color indexed="81"/>
            <rFont val="Tahoma"/>
            <family val="2"/>
          </rPr>
          <t xml:space="preserve">
includes $1,724.90 in costs related to PAYS</t>
        </r>
      </text>
    </comment>
    <comment ref="BT6" authorId="0" shapeId="0" xr:uid="{B6775A76-1188-4B09-8CAF-1C009AE52E36}">
      <text>
        <r>
          <rPr>
            <b/>
            <sz val="9"/>
            <color indexed="81"/>
            <rFont val="Tahoma"/>
            <family val="2"/>
          </rPr>
          <t>Filley, Kimberly S:</t>
        </r>
        <r>
          <rPr>
            <sz val="9"/>
            <color indexed="81"/>
            <rFont val="Tahoma"/>
            <family val="2"/>
          </rPr>
          <t xml:space="preserve">
includes $1,815.47 in costs related to PAYS</t>
        </r>
      </text>
    </comment>
    <comment ref="BU6" authorId="0" shapeId="0" xr:uid="{65FDDED3-689F-48AD-A5C4-E2BA81E5A664}">
      <text>
        <r>
          <rPr>
            <b/>
            <sz val="9"/>
            <color indexed="81"/>
            <rFont val="Tahoma"/>
            <family val="2"/>
          </rPr>
          <t>Filley, Kimberly S:</t>
        </r>
        <r>
          <rPr>
            <sz val="9"/>
            <color indexed="81"/>
            <rFont val="Tahoma"/>
            <family val="2"/>
          </rPr>
          <t xml:space="preserve">
includes $1,967.38 in costs related to PAYS</t>
        </r>
      </text>
    </comment>
    <comment ref="AN7" authorId="0" shapeId="0" xr:uid="{00000000-0006-0000-0000-000026000000}">
      <text>
        <r>
          <rPr>
            <b/>
            <sz val="9"/>
            <color indexed="81"/>
            <rFont val="Tahoma"/>
            <family val="2"/>
          </rPr>
          <t>Filley, Kimberly S:</t>
        </r>
        <r>
          <rPr>
            <sz val="9"/>
            <color indexed="81"/>
            <rFont val="Tahoma"/>
            <family val="2"/>
          </rPr>
          <t xml:space="preserve">
includes rev true-up related to Nov 21 of $11.21
</t>
        </r>
      </text>
    </comment>
    <comment ref="AS7" authorId="0" shapeId="0" xr:uid="{00000000-0006-0000-0000-000027000000}">
      <text>
        <r>
          <rPr>
            <b/>
            <sz val="9"/>
            <color indexed="81"/>
            <rFont val="Tahoma"/>
            <family val="2"/>
          </rPr>
          <t>Filley, Kimberly S:</t>
        </r>
        <r>
          <rPr>
            <sz val="9"/>
            <color indexed="81"/>
            <rFont val="Tahoma"/>
            <family val="2"/>
          </rPr>
          <t xml:space="preserve">
includes rev true-up related to Nov 21 of 
-$0.19
</t>
        </r>
      </text>
    </comment>
    <comment ref="X10" authorId="0" shapeId="0" xr:uid="{00000000-0006-0000-0000-00002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A10" authorId="0" shapeId="0" xr:uid="{00000000-0006-0000-0000-00002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B10" authorId="0" shapeId="0" xr:uid="{00000000-0006-0000-0000-00002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N15" authorId="0" shapeId="0" xr:uid="{00000000-0006-0000-0000-00002B000000}">
      <text>
        <r>
          <rPr>
            <b/>
            <sz val="9"/>
            <color indexed="81"/>
            <rFont val="Tahoma"/>
            <family val="2"/>
          </rPr>
          <t>Filley, Kimberly S:</t>
        </r>
        <r>
          <rPr>
            <sz val="9"/>
            <color indexed="81"/>
            <rFont val="Tahoma"/>
            <family val="2"/>
          </rPr>
          <t xml:space="preserve">
Note, this total value is not  linked into the TD-Total formulas below because already included via the TD 1M-4M and 11M updates we made below</t>
        </r>
      </text>
    </comment>
    <comment ref="Z15" authorId="0" shapeId="0" xr:uid="{00000000-0006-0000-0000-00002C000000}">
      <text>
        <r>
          <rPr>
            <b/>
            <sz val="9"/>
            <color indexed="81"/>
            <rFont val="Tahoma"/>
            <family val="2"/>
          </rPr>
          <t>Filley, Kimberly S:</t>
        </r>
        <r>
          <rPr>
            <sz val="9"/>
            <color indexed="81"/>
            <rFont val="Tahoma"/>
            <family val="2"/>
          </rPr>
          <t xml:space="preserve">
interest correction needed in Nov 2020 as interest was incorrectly calculated Feb - Oct 20 as this amount is already in the TD totals for 1M - 11M below do not need to link to this particular row to this TD-TOTAL total section in gray</t>
        </r>
      </text>
    </comment>
    <comment ref="AZ15" authorId="0" shapeId="0" xr:uid="{00000000-0006-0000-0000-00002D000000}">
      <text>
        <r>
          <rPr>
            <b/>
            <sz val="9"/>
            <color indexed="81"/>
            <rFont val="Tahoma"/>
            <family val="2"/>
          </rPr>
          <t>Filley, Kimberly S:</t>
        </r>
        <r>
          <rPr>
            <sz val="9"/>
            <color indexed="81"/>
            <rFont val="Tahoma"/>
            <family val="2"/>
          </rPr>
          <t xml:space="preserve">
interest correction related to change in interest rate in Dec 2020 which resulted in change in interest amount Dec 2020 - Dec 2022 as this amount is already in the TD totals for 1M - 11M below do not need to link to this particular row to this TD-TOTAL total section in gray</t>
        </r>
      </text>
    </comment>
    <comment ref="BM15" authorId="0" shapeId="0" xr:uid="{D5EF9A85-CBC7-47B6-BE81-E817D1F241AB}">
      <text>
        <r>
          <rPr>
            <b/>
            <sz val="9"/>
            <color indexed="81"/>
            <rFont val="Tahoma"/>
            <family val="2"/>
          </rPr>
          <t>Filley, Kimberly S:</t>
        </r>
        <r>
          <rPr>
            <sz val="9"/>
            <color indexed="81"/>
            <rFont val="Tahoma"/>
            <family val="2"/>
          </rPr>
          <t xml:space="preserve">
M2TD balance being rolled into M3TD - rolled in at the individual rate class level</t>
        </r>
      </text>
    </comment>
    <comment ref="BM26" authorId="0" shapeId="0" xr:uid="{C19997C9-A3F4-4199-A7EF-D0CDDF786959}">
      <text>
        <r>
          <rPr>
            <b/>
            <sz val="9"/>
            <color indexed="81"/>
            <rFont val="Tahoma"/>
            <family val="2"/>
          </rPr>
          <t>Filley, Kimberly S:</t>
        </r>
        <r>
          <rPr>
            <sz val="9"/>
            <color indexed="81"/>
            <rFont val="Tahoma"/>
            <family val="2"/>
          </rPr>
          <t xml:space="preserve">
pulling M2TD balances into M3TD calc split by rate class related to 11/23 filing</t>
        </r>
      </text>
    </comment>
    <comment ref="F29" authorId="1" shapeId="0" xr:uid="{00000000-0006-0000-0000-000034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39" authorId="1" shapeId="0" xr:uid="{00000000-0006-0000-0000-000062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49" authorId="1" shapeId="0" xr:uid="{00000000-0006-0000-0000-000063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59" authorId="1" shapeId="0" xr:uid="{00000000-0006-0000-0000-000064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69" authorId="1" shapeId="0" xr:uid="{00000000-0006-0000-0000-000065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C76" authorId="1" shapeId="0" xr:uid="{00000000-0006-0000-0000-000066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AK76" authorId="1" shapeId="0" xr:uid="{00000000-0006-0000-0000-000067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AL76" authorId="0" shapeId="0" xr:uid="{00000000-0006-0000-0000-000068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AO76" authorId="1" shapeId="0" xr:uid="{00000000-0006-0000-0000-000069000000}">
      <text>
        <r>
          <rPr>
            <b/>
            <sz val="9"/>
            <color indexed="81"/>
            <rFont val="Tahoma"/>
            <family val="2"/>
          </rPr>
          <t>Logan, Raysene:</t>
        </r>
        <r>
          <rPr>
            <sz val="9"/>
            <color indexed="81"/>
            <rFont val="Tahoma"/>
            <family val="2"/>
          </rPr>
          <t xml:space="preserve">
M2 Janaury 2022 ending balances rolled into M3 effective Feb 2022</t>
        </r>
      </text>
    </comment>
    <comment ref="AZ76" authorId="0" shapeId="0" xr:uid="{00000000-0006-0000-0000-00006A000000}">
      <text>
        <r>
          <rPr>
            <b/>
            <sz val="9"/>
            <color indexed="81"/>
            <rFont val="Tahoma"/>
            <family val="2"/>
          </rPr>
          <t>Filley, Kimberly S:</t>
        </r>
        <r>
          <rPr>
            <sz val="9"/>
            <color indexed="81"/>
            <rFont val="Tahoma"/>
            <family val="2"/>
          </rPr>
          <t xml:space="preserve">
interest correction related to change in interest rate in Dec 2020 for M2 which resulted in change in interest amount Dec 2020 - Jan 2022 for M2 which needs to now be picked up as part of M3 as M2 OA ended in Jan 2022 </t>
        </r>
      </text>
    </comment>
    <comment ref="AL78" authorId="0" shapeId="0" xr:uid="{00000000-0006-0000-0000-00006C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AD79" authorId="0" shapeId="0" xr:uid="{00000000-0006-0000-0000-00006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L79" authorId="0" shapeId="0" xr:uid="{00000000-0006-0000-0000-00006E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Q84" authorId="0" shapeId="0" xr:uid="{00000000-0006-0000-0000-000070000000}">
      <text>
        <r>
          <rPr>
            <b/>
            <sz val="9"/>
            <color indexed="81"/>
            <rFont val="Tahoma"/>
            <family val="2"/>
          </rPr>
          <t>Filley, Kimberly S:</t>
        </r>
        <r>
          <rPr>
            <sz val="9"/>
            <color indexed="81"/>
            <rFont val="Tahoma"/>
            <family val="2"/>
          </rPr>
          <t xml:space="preserve">
each time new EO rates go into effect have to update this cell - no M3 EO rate in effect currently so no value to put herein at this time - see comment box in same section of the MEEIA 2 calcs tab herein for how to handle when M3 EO rates do go into effect</t>
        </r>
      </text>
    </comment>
    <comment ref="W84" authorId="1" shapeId="0" xr:uid="{00000000-0006-0000-0000-000071000000}">
      <text>
        <r>
          <rPr>
            <b/>
            <sz val="9"/>
            <color indexed="81"/>
            <rFont val="Tahoma"/>
            <family val="2"/>
          </rPr>
          <t>Logan, Raysene:</t>
        </r>
        <r>
          <rPr>
            <sz val="9"/>
            <color indexed="81"/>
            <rFont val="Tahoma"/>
            <family val="2"/>
          </rPr>
          <t xml:space="preserve">
2019 EO for M3 of $6.6M booked in August 20 and includes a TD True-up -$344K</t>
        </r>
      </text>
    </comment>
    <comment ref="AJ84" authorId="1" shapeId="0" xr:uid="{00000000-0006-0000-0000-000072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AO84" authorId="1" shapeId="0" xr:uid="{00000000-0006-0000-0000-000073000000}">
      <text>
        <r>
          <rPr>
            <b/>
            <sz val="9"/>
            <color indexed="81"/>
            <rFont val="Tahoma"/>
            <family val="2"/>
          </rPr>
          <t>Logan, Raysene:</t>
        </r>
        <r>
          <rPr>
            <sz val="9"/>
            <color indexed="81"/>
            <rFont val="Tahoma"/>
            <family val="2"/>
          </rPr>
          <t xml:space="preserve">
M2 Janaury 2022 ending balances rolled into M3 effective Feb 2022</t>
        </r>
      </text>
    </comment>
    <comment ref="AU84" authorId="1" shapeId="0" xr:uid="{00000000-0006-0000-0000-000074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AW84" authorId="1" shapeId="0" xr:uid="{00000000-0006-0000-0000-000075000000}">
      <text>
        <r>
          <rPr>
            <b/>
            <sz val="9"/>
            <color indexed="81"/>
            <rFont val="Tahoma"/>
            <family val="2"/>
          </rPr>
          <t>Filley, Kim:</t>
        </r>
        <r>
          <rPr>
            <sz val="9"/>
            <color indexed="81"/>
            <rFont val="Tahoma"/>
            <family val="2"/>
          </rPr>
          <t xml:space="preserve">
-$197.32: True-up of TD True-up for inclusion in EO booked to GL in October 2022
</t>
        </r>
      </text>
    </comment>
    <comment ref="AY84" authorId="1" shapeId="0" xr:uid="{00000000-0006-0000-0000-000076000000}">
      <text>
        <r>
          <rPr>
            <b/>
            <sz val="9"/>
            <color indexed="81"/>
            <rFont val="Tahoma"/>
            <family val="2"/>
          </rPr>
          <t xml:space="preserve">Filley, Kim:
</t>
        </r>
        <r>
          <rPr>
            <sz val="9"/>
            <color indexed="81"/>
            <rFont val="Tahoma"/>
            <family val="2"/>
          </rPr>
          <t>+$10,734,309.90: M3 PY2022 EO booked to GL in December 2022</t>
        </r>
      </text>
    </comment>
    <comment ref="AZ84" authorId="0" shapeId="0" xr:uid="{00000000-0006-0000-0000-000077000000}">
      <text>
        <r>
          <rPr>
            <b/>
            <sz val="9"/>
            <color indexed="81"/>
            <rFont val="Tahoma"/>
            <family val="2"/>
          </rPr>
          <t>Filley, Kimberly S:</t>
        </r>
        <r>
          <rPr>
            <sz val="9"/>
            <color indexed="81"/>
            <rFont val="Tahoma"/>
            <family val="2"/>
          </rPr>
          <t xml:space="preserve">
interest correction related to change in interest rate in Dec 2020 for M2 which resulted in change in interest amount Dec 2020 - Jan 2022 for M2 which needs to now be picked up as part of M3 as M2 EO ended in Jan 2022 </t>
        </r>
      </text>
    </comment>
    <comment ref="BB84" authorId="1" shapeId="0" xr:uid="{00000000-0006-0000-0000-000078000000}">
      <text>
        <r>
          <rPr>
            <b/>
            <sz val="9"/>
            <color indexed="81"/>
            <rFont val="Tahoma"/>
            <family val="2"/>
          </rPr>
          <t xml:space="preserve">Filley, Kim:
</t>
        </r>
        <r>
          <rPr>
            <sz val="9"/>
            <color indexed="81"/>
            <rFont val="Tahoma"/>
            <family val="2"/>
          </rPr>
          <t xml:space="preserve">M3 PY2022 EO booked to GL in March 2023
</t>
        </r>
      </text>
    </comment>
    <comment ref="BE84" authorId="1" shapeId="0" xr:uid="{00000000-0006-0000-0000-000079000000}">
      <text>
        <r>
          <rPr>
            <b/>
            <sz val="9"/>
            <color indexed="81"/>
            <rFont val="Tahoma"/>
            <family val="2"/>
          </rPr>
          <t xml:space="preserve">Filley, Kim:
</t>
        </r>
        <r>
          <rPr>
            <sz val="9"/>
            <color indexed="81"/>
            <rFont val="Tahoma"/>
            <family val="2"/>
          </rPr>
          <t xml:space="preserve">M3 PY2022 EO booked to GL in June 2023
</t>
        </r>
      </text>
    </comment>
    <comment ref="BF84" authorId="1" shapeId="0" xr:uid="{00000000-0006-0000-0000-00007A000000}">
      <text>
        <r>
          <rPr>
            <b/>
            <sz val="9"/>
            <color indexed="81"/>
            <rFont val="Tahoma"/>
            <family val="2"/>
          </rPr>
          <t xml:space="preserve">Filley, Kim:
</t>
        </r>
        <r>
          <rPr>
            <sz val="9"/>
            <color indexed="81"/>
            <rFont val="Tahoma"/>
            <family val="2"/>
          </rPr>
          <t xml:space="preserve">M3 PY2022 EO TD trueup booked to GL in July 2023
</t>
        </r>
      </text>
    </comment>
    <comment ref="BH84" authorId="1" shapeId="0" xr:uid="{00000000-0006-0000-0000-00007B000000}">
      <text>
        <r>
          <rPr>
            <b/>
            <sz val="9"/>
            <color indexed="81"/>
            <rFont val="Tahoma"/>
            <family val="2"/>
          </rPr>
          <t xml:space="preserve">Filley, Kim:
</t>
        </r>
        <r>
          <rPr>
            <sz val="9"/>
            <color indexed="81"/>
            <rFont val="Tahoma"/>
            <family val="2"/>
          </rPr>
          <t>M3 PY2022 EO TD trueup booked to GL in September 2023
M3 PY2022 EO booked to GL in September 2023</t>
        </r>
      </text>
    </comment>
    <comment ref="BK84" authorId="0" shapeId="0" xr:uid="{DC4F7F77-A205-4914-9E63-2CF6169CDA78}">
      <text>
        <r>
          <rPr>
            <b/>
            <sz val="9"/>
            <color indexed="81"/>
            <rFont val="Tahoma"/>
            <family val="2"/>
          </rPr>
          <t>Filley, Kimberly S:</t>
        </r>
        <r>
          <rPr>
            <sz val="9"/>
            <color indexed="81"/>
            <rFont val="Tahoma"/>
            <family val="2"/>
          </rPr>
          <t xml:space="preserve">
true up of PY22 EO recog = +$10,301.60 and recog of PY23 EO = +11,930,863.46 both booked to GL Dec 2023</t>
        </r>
      </text>
    </comment>
    <comment ref="BN84" authorId="0" shapeId="0" xr:uid="{DB6B6B40-46E2-4A5D-B652-F3E9F40FCEBB}">
      <text>
        <r>
          <rPr>
            <b/>
            <sz val="9"/>
            <color indexed="81"/>
            <rFont val="Tahoma"/>
            <family val="2"/>
          </rPr>
          <t>Filley, Kimberly S:</t>
        </r>
        <r>
          <rPr>
            <sz val="9"/>
            <color indexed="81"/>
            <rFont val="Tahoma"/>
            <family val="2"/>
          </rPr>
          <t xml:space="preserve">
true up of PY22 EO recog = -$6,228.48 and recog of PY23 EO = -$115,055.33 both booked to GL Mar 2024</t>
        </r>
      </text>
    </comment>
    <comment ref="BQ84" authorId="0" shapeId="0" xr:uid="{42C3F43B-F004-4E3B-BC34-75D02FDF269A}">
      <text>
        <r>
          <rPr>
            <b/>
            <sz val="9"/>
            <color indexed="81"/>
            <rFont val="Tahoma"/>
            <family val="2"/>
          </rPr>
          <t>Filley, Kimberly S:</t>
        </r>
        <r>
          <rPr>
            <sz val="9"/>
            <color indexed="81"/>
            <rFont val="Tahoma"/>
            <family val="2"/>
          </rPr>
          <t xml:space="preserve">
All booked Jun 24 close
1. M3 TD Tru-up for plan year 2023 -$463,892.83
2. M3 EO recog for plan year 2023 +$59,150.91
3. M3 EO recog for plan year 2022 +$0 amount did not change from LTD amount at 3/31/3024</t>
        </r>
      </text>
    </comment>
    <comment ref="BT84" authorId="0" shapeId="0" xr:uid="{98FD1CCB-5D3C-414F-901D-85DD54479C0D}">
      <text>
        <r>
          <rPr>
            <b/>
            <sz val="9"/>
            <color indexed="81"/>
            <rFont val="Tahoma"/>
            <family val="2"/>
          </rPr>
          <t>Filley, Kimberly S:</t>
        </r>
        <r>
          <rPr>
            <sz val="9"/>
            <color indexed="81"/>
            <rFont val="Tahoma"/>
            <family val="2"/>
          </rPr>
          <t xml:space="preserve">
booked Sep 24 close
1. M3 EO recog for plan year 2023 -$112,664.72
2. M3 EO recog for plan year 2022 +$0 amount did not change from LTD amount at 3/31/3024</t>
        </r>
      </text>
    </comment>
    <comment ref="AS86" authorId="0" shapeId="0" xr:uid="{00000000-0006-0000-0000-00007D000000}">
      <text>
        <r>
          <rPr>
            <b/>
            <sz val="9"/>
            <color indexed="81"/>
            <rFont val="Tahoma"/>
            <family val="2"/>
          </rPr>
          <t>Filley, Kimberly S:</t>
        </r>
        <r>
          <rPr>
            <sz val="9"/>
            <color indexed="81"/>
            <rFont val="Tahoma"/>
            <family val="2"/>
          </rPr>
          <t xml:space="preserve">
includes rev true-up related to Nov 21 of 
$3.25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M5" authorId="0" shapeId="0" xr:uid="{00000000-0006-0000-0500-000001000000}">
      <text>
        <r>
          <rPr>
            <b/>
            <sz val="9"/>
            <color indexed="81"/>
            <rFont val="Tahoma"/>
            <family val="2"/>
          </rPr>
          <t>Filley, Kimberly S:</t>
        </r>
        <r>
          <rPr>
            <sz val="9"/>
            <color indexed="81"/>
            <rFont val="Tahoma"/>
            <family val="2"/>
          </rPr>
          <t xml:space="preserve">
write-off of Sept 30, 2021 PAYS balance to Rate Base accounts 
</t>
        </r>
      </text>
    </comment>
    <comment ref="AD5" authorId="0" shapeId="0" xr:uid="{7D0668C4-384C-4216-B98E-566AC98027E3}">
      <text>
        <r>
          <rPr>
            <b/>
            <sz val="9"/>
            <color indexed="81"/>
            <rFont val="Tahoma"/>
            <charset val="1"/>
          </rPr>
          <t>Filley, Kimberly S:</t>
        </r>
        <r>
          <rPr>
            <sz val="9"/>
            <color indexed="81"/>
            <rFont val="Tahoma"/>
            <charset val="1"/>
          </rPr>
          <t xml:space="preserve">
write-off of December 31, 2022 PAYS balance to Rate Base accounts</t>
        </r>
      </text>
    </comment>
    <comment ref="N6" authorId="0" shapeId="0" xr:uid="{9299D655-6CC4-40ED-B1A6-0E443A3545F0}">
      <text>
        <r>
          <rPr>
            <b/>
            <sz val="9"/>
            <color indexed="81"/>
            <rFont val="Tahoma"/>
            <charset val="1"/>
          </rPr>
          <t>Filley, Kimberly S:</t>
        </r>
        <r>
          <rPr>
            <sz val="9"/>
            <color indexed="81"/>
            <rFont val="Tahoma"/>
            <charset val="1"/>
          </rPr>
          <t xml:space="preserve">
Outstanding customer PAYS balance as of Dec 2021 was written off in March 2022 as such associated deferred spend less amortization was also written off to MEEIA 3 PC in March 2022 </t>
        </r>
      </text>
    </comment>
    <comment ref="W6" authorId="0" shapeId="0" xr:uid="{414245A0-AFC9-4D0E-8A69-88EA8DEC574F}">
      <text>
        <r>
          <rPr>
            <b/>
            <sz val="9"/>
            <color indexed="81"/>
            <rFont val="Tahoma"/>
            <charset val="1"/>
          </rPr>
          <t>Filley, Kimberly S:</t>
        </r>
        <r>
          <rPr>
            <sz val="9"/>
            <color indexed="81"/>
            <rFont val="Tahoma"/>
            <charset val="1"/>
          </rPr>
          <t xml:space="preserve">
customer account billed and unpaid balance written off in Dec 2022 </t>
        </r>
      </text>
    </comment>
    <comment ref="AM6" authorId="0" shapeId="0" xr:uid="{B2BFA5C9-ED23-4772-8E9E-96FA33B6813A}">
      <text>
        <r>
          <rPr>
            <b/>
            <sz val="9"/>
            <color indexed="81"/>
            <rFont val="Tahoma"/>
            <family val="2"/>
          </rPr>
          <t>Filley, Kimberly S:</t>
        </r>
        <r>
          <rPr>
            <sz val="9"/>
            <color indexed="81"/>
            <rFont val="Tahoma"/>
            <family val="2"/>
          </rPr>
          <t xml:space="preserve">
customer account billed but not paid so had to be written off in Apr 24 (see PAYS upaid billing w-o 2-24 tab herein for details)
</t>
        </r>
      </text>
    </comment>
    <comment ref="W7" authorId="0" shapeId="0" xr:uid="{DC3C7C5C-0BFE-4AE6-A2D6-C4F359E78FAD}">
      <text>
        <r>
          <rPr>
            <b/>
            <sz val="9"/>
            <color indexed="81"/>
            <rFont val="Tahoma"/>
            <charset val="1"/>
          </rPr>
          <t>Filley, Kimberly S:</t>
        </r>
        <r>
          <rPr>
            <sz val="9"/>
            <color indexed="81"/>
            <rFont val="Tahoma"/>
            <charset val="1"/>
          </rPr>
          <t xml:space="preserve">
unwinding of amortization recorded Jun 21-Jan 22 due to customer account billed and unpaid balance written off in Dec 2022 </t>
        </r>
      </text>
    </comment>
    <comment ref="AA7" authorId="0" shapeId="0" xr:uid="{A79F854A-9181-419C-B9A5-1B2577F167F6}">
      <text>
        <r>
          <rPr>
            <b/>
            <sz val="9"/>
            <color indexed="81"/>
            <rFont val="Tahoma"/>
            <charset val="1"/>
          </rPr>
          <t>Filley, Kimberly S:</t>
        </r>
        <r>
          <rPr>
            <sz val="9"/>
            <color indexed="81"/>
            <rFont val="Tahoma"/>
            <charset val="1"/>
          </rPr>
          <t xml:space="preserve">
unwinding of amortization recorded due to customer account not being setup to bill until 4-23 </t>
        </r>
      </text>
    </comment>
    <comment ref="AC7" authorId="0" shapeId="0" xr:uid="{B1822EFB-F28C-416D-9126-227D93389532}">
      <text>
        <r>
          <rPr>
            <b/>
            <sz val="9"/>
            <color indexed="81"/>
            <rFont val="Tahoma"/>
            <charset val="1"/>
          </rPr>
          <t>Filley, Kimberly S:</t>
        </r>
        <r>
          <rPr>
            <sz val="9"/>
            <color indexed="81"/>
            <rFont val="Tahoma"/>
            <charset val="1"/>
          </rPr>
          <t xml:space="preserve">
unwinding of amortization recorded Aug 2022 - May 2023 as service was disconnected due to non-payment - account reestablished and charges commenced June 2023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C5" authorId="0" shapeId="0" xr:uid="{00000000-0006-0000-01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DK5" authorId="0" shapeId="0" xr:uid="{00000000-0006-0000-01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DN5" authorId="1" shapeId="0" xr:uid="{00000000-0006-0000-0100-000003000000}">
      <text>
        <r>
          <rPr>
            <b/>
            <sz val="9"/>
            <color indexed="81"/>
            <rFont val="Tahoma"/>
            <family val="2"/>
          </rPr>
          <t>Logan, Raysene:</t>
        </r>
        <r>
          <rPr>
            <sz val="9"/>
            <color indexed="81"/>
            <rFont val="Tahoma"/>
            <family val="2"/>
          </rPr>
          <t xml:space="preserve">
M2 Janaury 2022 ending balances rolled into M3 effective Feb 2022</t>
        </r>
      </text>
    </comment>
    <comment ref="DD6" authorId="0" shapeId="0" xr:uid="{00000000-0006-0000-0100-000004000000}">
      <text>
        <r>
          <rPr>
            <b/>
            <sz val="9"/>
            <color indexed="81"/>
            <rFont val="Tahoma"/>
            <family val="2"/>
          </rPr>
          <t>Filley, Kimberly S:</t>
        </r>
        <r>
          <rPr>
            <sz val="9"/>
            <color indexed="81"/>
            <rFont val="Tahoma"/>
            <family val="2"/>
          </rPr>
          <t xml:space="preserve">
includes $70.13 in costs related to PAYS program</t>
        </r>
      </text>
    </comment>
    <comment ref="DE6" authorId="0" shapeId="0" xr:uid="{00000000-0006-0000-0100-000005000000}">
      <text>
        <r>
          <rPr>
            <b/>
            <sz val="9"/>
            <color indexed="81"/>
            <rFont val="Tahoma"/>
            <family val="2"/>
          </rPr>
          <t>Filley, Kimberly S:</t>
        </r>
        <r>
          <rPr>
            <sz val="9"/>
            <color indexed="81"/>
            <rFont val="Tahoma"/>
            <family val="2"/>
          </rPr>
          <t xml:space="preserve">
includes $169.53 in costs related to PAYS program</t>
        </r>
      </text>
    </comment>
    <comment ref="DF6" authorId="0" shapeId="0" xr:uid="{00000000-0006-0000-0100-000006000000}">
      <text>
        <r>
          <rPr>
            <b/>
            <sz val="9"/>
            <color indexed="81"/>
            <rFont val="Tahoma"/>
            <family val="2"/>
          </rPr>
          <t>Filley, Kimberly S:</t>
        </r>
        <r>
          <rPr>
            <sz val="9"/>
            <color indexed="81"/>
            <rFont val="Tahoma"/>
            <family val="2"/>
          </rPr>
          <t xml:space="preserve">
includes $175.17 in costs related to PAYS program</t>
        </r>
      </text>
    </comment>
    <comment ref="DG6" authorId="0" shapeId="0" xr:uid="{00000000-0006-0000-0100-000007000000}">
      <text>
        <r>
          <rPr>
            <b/>
            <sz val="9"/>
            <color indexed="81"/>
            <rFont val="Tahoma"/>
            <family val="2"/>
          </rPr>
          <t>Filley, Kimberly S:</t>
        </r>
        <r>
          <rPr>
            <sz val="9"/>
            <color indexed="81"/>
            <rFont val="Tahoma"/>
            <family val="2"/>
          </rPr>
          <t xml:space="preserve">
includes $220.92 in costs related to PAYS program</t>
        </r>
      </text>
    </comment>
    <comment ref="DH6" authorId="0" shapeId="0" xr:uid="{00000000-0006-0000-0100-000008000000}">
      <text>
        <r>
          <rPr>
            <b/>
            <sz val="9"/>
            <color indexed="81"/>
            <rFont val="Tahoma"/>
            <family val="2"/>
          </rPr>
          <t>Filley, Kimberly S:</t>
        </r>
        <r>
          <rPr>
            <sz val="9"/>
            <color indexed="81"/>
            <rFont val="Tahoma"/>
            <family val="2"/>
          </rPr>
          <t xml:space="preserve">
includes $379 in costs related to PAYS program</t>
        </r>
      </text>
    </comment>
    <comment ref="DI6" authorId="0" shapeId="0" xr:uid="{00000000-0006-0000-0100-000009000000}">
      <text>
        <r>
          <rPr>
            <b/>
            <sz val="9"/>
            <color indexed="81"/>
            <rFont val="Tahoma"/>
            <family val="2"/>
          </rPr>
          <t>Filley, Kimberly S:</t>
        </r>
        <r>
          <rPr>
            <sz val="9"/>
            <color indexed="81"/>
            <rFont val="Tahoma"/>
            <family val="2"/>
          </rPr>
          <t xml:space="preserve">
includes $592.10 in costs related to PAYS program</t>
        </r>
      </text>
    </comment>
    <comment ref="DJ6" authorId="0" shapeId="0" xr:uid="{00000000-0006-0000-0100-00000A000000}">
      <text>
        <r>
          <rPr>
            <b/>
            <sz val="9"/>
            <color indexed="81"/>
            <rFont val="Tahoma"/>
            <family val="2"/>
          </rPr>
          <t>Filley, Kimberly S:</t>
        </r>
        <r>
          <rPr>
            <sz val="9"/>
            <color indexed="81"/>
            <rFont val="Tahoma"/>
            <family val="2"/>
          </rPr>
          <t xml:space="preserve">
includes $850.16 in costs related to PAYS program</t>
        </r>
      </text>
    </comment>
    <comment ref="DK6" authorId="0" shapeId="0" xr:uid="{00000000-0006-0000-0100-00000B000000}">
      <text>
        <r>
          <rPr>
            <b/>
            <sz val="9"/>
            <color indexed="81"/>
            <rFont val="Tahoma"/>
            <family val="2"/>
          </rPr>
          <t>Filley, Kimberly S:</t>
        </r>
        <r>
          <rPr>
            <sz val="9"/>
            <color indexed="81"/>
            <rFont val="Tahoma"/>
            <family val="2"/>
          </rPr>
          <t xml:space="preserve">
includes $1,213.81 in costs related to PAYS program</t>
        </r>
      </text>
    </comment>
    <comment ref="DL6" authorId="0" shapeId="0" xr:uid="{00000000-0006-0000-0100-00000C000000}">
      <text>
        <r>
          <rPr>
            <b/>
            <sz val="9"/>
            <color indexed="81"/>
            <rFont val="Tahoma"/>
            <family val="2"/>
          </rPr>
          <t>Filley, Kimberly S:</t>
        </r>
        <r>
          <rPr>
            <sz val="9"/>
            <color indexed="81"/>
            <rFont val="Tahoma"/>
            <family val="2"/>
          </rPr>
          <t xml:space="preserve">
includes $1,272.44 in costs related to PAYS program</t>
        </r>
      </text>
    </comment>
    <comment ref="DM6" authorId="0" shapeId="0" xr:uid="{00000000-0006-0000-0100-00000D000000}">
      <text>
        <r>
          <rPr>
            <b/>
            <sz val="9"/>
            <color indexed="81"/>
            <rFont val="Tahoma"/>
            <family val="2"/>
          </rPr>
          <t>Filley, Kimberly S:</t>
        </r>
        <r>
          <rPr>
            <sz val="9"/>
            <color indexed="81"/>
            <rFont val="Tahoma"/>
            <family val="2"/>
          </rPr>
          <t xml:space="preserve">
includes $1,419.25 in costs related to PAYS program</t>
        </r>
      </text>
    </comment>
    <comment ref="DN6" authorId="0" shapeId="0" xr:uid="{00000000-0006-0000-0100-00000E000000}">
      <text>
        <r>
          <rPr>
            <b/>
            <sz val="9"/>
            <color indexed="81"/>
            <rFont val="Tahoma"/>
            <family val="2"/>
          </rPr>
          <t>Filley, Kimberly S:</t>
        </r>
        <r>
          <rPr>
            <sz val="9"/>
            <color indexed="81"/>
            <rFont val="Tahoma"/>
            <family val="2"/>
          </rPr>
          <t xml:space="preserve">
includes $703.04 in costs related to PAYS program</t>
        </r>
      </text>
    </comment>
    <comment ref="DO6" authorId="0" shapeId="0" xr:uid="{00000000-0006-0000-0100-00000F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DP6" authorId="0" shapeId="0" xr:uid="{00000000-0006-0000-0100-000010000000}">
      <text>
        <r>
          <rPr>
            <b/>
            <sz val="9"/>
            <color indexed="81"/>
            <rFont val="Tahoma"/>
            <family val="2"/>
          </rPr>
          <t>Filley, Kimberly S:</t>
        </r>
        <r>
          <rPr>
            <sz val="9"/>
            <color indexed="81"/>
            <rFont val="Tahoma"/>
            <family val="2"/>
          </rPr>
          <t xml:space="preserve">
includes $1078.71 in costs related to PAYS program </t>
        </r>
      </text>
    </comment>
    <comment ref="DQ6" authorId="0" shapeId="0" xr:uid="{00000000-0006-0000-0100-000011000000}">
      <text>
        <r>
          <rPr>
            <b/>
            <sz val="9"/>
            <color indexed="81"/>
            <rFont val="Tahoma"/>
            <family val="2"/>
          </rPr>
          <t>Filley, Kimberly S:</t>
        </r>
        <r>
          <rPr>
            <sz val="9"/>
            <color indexed="81"/>
            <rFont val="Tahoma"/>
            <family val="2"/>
          </rPr>
          <t xml:space="preserve">
includes $1284.55 in costs related to PAYS program </t>
        </r>
      </text>
    </comment>
    <comment ref="DR6" authorId="0" shapeId="0" xr:uid="{00000000-0006-0000-0100-000012000000}">
      <text>
        <r>
          <rPr>
            <b/>
            <sz val="9"/>
            <color indexed="81"/>
            <rFont val="Tahoma"/>
            <family val="2"/>
          </rPr>
          <t>Filley, Kimberly S:</t>
        </r>
        <r>
          <rPr>
            <sz val="9"/>
            <color indexed="81"/>
            <rFont val="Tahoma"/>
            <family val="2"/>
          </rPr>
          <t xml:space="preserve">
includes $1386.29 in costs related to PAYS program </t>
        </r>
      </text>
    </comment>
    <comment ref="DS6" authorId="0" shapeId="0" xr:uid="{00000000-0006-0000-0100-000013000000}">
      <text>
        <r>
          <rPr>
            <b/>
            <sz val="9"/>
            <color indexed="81"/>
            <rFont val="Tahoma"/>
            <family val="2"/>
          </rPr>
          <t>Filley, Kimberly S:</t>
        </r>
        <r>
          <rPr>
            <sz val="9"/>
            <color indexed="81"/>
            <rFont val="Tahoma"/>
            <family val="2"/>
          </rPr>
          <t xml:space="preserve">
includes $1513.94 in costs related to PAYS program </t>
        </r>
      </text>
    </comment>
    <comment ref="DT6" authorId="0" shapeId="0" xr:uid="{00000000-0006-0000-0100-000014000000}">
      <text>
        <r>
          <rPr>
            <b/>
            <sz val="9"/>
            <color indexed="81"/>
            <rFont val="Tahoma"/>
            <family val="2"/>
          </rPr>
          <t>Filley, Kimberly S:</t>
        </r>
        <r>
          <rPr>
            <sz val="9"/>
            <color indexed="81"/>
            <rFont val="Tahoma"/>
            <family val="2"/>
          </rPr>
          <t xml:space="preserve">
includes $1616.65 in costs related to PAYS program </t>
        </r>
      </text>
    </comment>
    <comment ref="DU6" authorId="0" shapeId="0" xr:uid="{00000000-0006-0000-0100-000015000000}">
      <text>
        <r>
          <rPr>
            <b/>
            <sz val="9"/>
            <color indexed="81"/>
            <rFont val="Tahoma"/>
            <family val="2"/>
          </rPr>
          <t>Filley, Kimberly S:</t>
        </r>
        <r>
          <rPr>
            <sz val="9"/>
            <color indexed="81"/>
            <rFont val="Tahoma"/>
            <family val="2"/>
          </rPr>
          <t xml:space="preserve">
includes $1821.21 in costs related to PAYS program </t>
        </r>
      </text>
    </comment>
    <comment ref="DV6" authorId="0" shapeId="0" xr:uid="{00000000-0006-0000-0100-000016000000}">
      <text>
        <r>
          <rPr>
            <b/>
            <sz val="9"/>
            <color indexed="81"/>
            <rFont val="Tahoma"/>
            <family val="2"/>
          </rPr>
          <t>Filley, Kimberly S:</t>
        </r>
        <r>
          <rPr>
            <sz val="9"/>
            <color indexed="81"/>
            <rFont val="Tahoma"/>
            <family val="2"/>
          </rPr>
          <t xml:space="preserve">
includes $1889.83 in costs related to PAYS program </t>
        </r>
      </text>
    </comment>
    <comment ref="DW6" authorId="0" shapeId="0" xr:uid="{00000000-0006-0000-0100-000017000000}">
      <text>
        <r>
          <rPr>
            <b/>
            <sz val="9"/>
            <color indexed="81"/>
            <rFont val="Tahoma"/>
            <family val="2"/>
          </rPr>
          <t>Filley, Kimberly S:</t>
        </r>
        <r>
          <rPr>
            <sz val="9"/>
            <color indexed="81"/>
            <rFont val="Tahoma"/>
            <family val="2"/>
          </rPr>
          <t xml:space="preserve">
includes $2070.59 in costs related to PAYS program </t>
        </r>
      </text>
    </comment>
    <comment ref="DX6" authorId="0" shapeId="0" xr:uid="{00000000-0006-0000-0100-000018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ED6" authorId="0" shapeId="0" xr:uid="{00000000-0006-0000-0100-000019000000}">
      <text>
        <r>
          <rPr>
            <b/>
            <sz val="9"/>
            <color indexed="81"/>
            <rFont val="Tahoma"/>
            <family val="2"/>
          </rPr>
          <t>Filley, Kimberly S:</t>
        </r>
        <r>
          <rPr>
            <sz val="9"/>
            <color indexed="81"/>
            <rFont val="Tahoma"/>
            <family val="2"/>
          </rPr>
          <t xml:space="preserve">
properly excludes $600 related to thermostat costs that had originally been improperly included in the Nov 20 costs</t>
        </r>
      </text>
    </comment>
    <comment ref="EE6" authorId="0" shapeId="0" xr:uid="{00000000-0006-0000-0100-00001A000000}">
      <text>
        <r>
          <rPr>
            <b/>
            <sz val="9"/>
            <color indexed="81"/>
            <rFont val="Tahoma"/>
            <family val="2"/>
          </rPr>
          <t>Filley, Kimberly S:</t>
        </r>
        <r>
          <rPr>
            <sz val="9"/>
            <color indexed="81"/>
            <rFont val="Tahoma"/>
            <family val="2"/>
          </rPr>
          <t xml:space="preserve">
properly excludes $700 related to thermostat costs that had originally been improperly included in the Dec 20 costs</t>
        </r>
      </text>
    </comment>
    <comment ref="EF6" authorId="0" shapeId="0" xr:uid="{00000000-0006-0000-0100-00001B000000}">
      <text>
        <r>
          <rPr>
            <b/>
            <sz val="9"/>
            <color indexed="81"/>
            <rFont val="Tahoma"/>
            <family val="2"/>
          </rPr>
          <t>Filley, Kimberly S:</t>
        </r>
        <r>
          <rPr>
            <sz val="9"/>
            <color indexed="81"/>
            <rFont val="Tahoma"/>
            <family val="2"/>
          </rPr>
          <t xml:space="preserve">
properly excludes $200 related to thermostat costs that had originally been improperly included in the Jan 21 costs</t>
        </r>
      </text>
    </comment>
    <comment ref="EK6" authorId="0" shapeId="0" xr:uid="{00000000-0006-0000-0100-00001C000000}">
      <text>
        <r>
          <rPr>
            <b/>
            <sz val="9"/>
            <color indexed="81"/>
            <rFont val="Tahoma"/>
            <family val="2"/>
          </rPr>
          <t>Filley, Kimberly S:</t>
        </r>
        <r>
          <rPr>
            <sz val="9"/>
            <color indexed="81"/>
            <rFont val="Tahoma"/>
            <family val="2"/>
          </rPr>
          <t xml:space="preserve">
properly excludes $50 related to thermostat costs that had originally been improperly included in the Jun 21 costs</t>
        </r>
      </text>
    </comment>
    <comment ref="EP6" authorId="0" shapeId="0" xr:uid="{00000000-0006-0000-0100-00001D000000}">
      <text>
        <r>
          <rPr>
            <b/>
            <sz val="9"/>
            <color indexed="81"/>
            <rFont val="Tahoma"/>
            <family val="2"/>
          </rPr>
          <t>Filley, Kimberly S:</t>
        </r>
        <r>
          <rPr>
            <sz val="9"/>
            <color indexed="81"/>
            <rFont val="Tahoma"/>
            <family val="2"/>
          </rPr>
          <t xml:space="preserve">
properly excludes $534,998.70 related to Co-delivery costs that had originally been improperly included in the Nov 21 costs</t>
        </r>
      </text>
    </comment>
    <comment ref="ER6" authorId="0" shapeId="0" xr:uid="{00000000-0006-0000-0100-00001E000000}">
      <text>
        <r>
          <rPr>
            <b/>
            <sz val="9"/>
            <color indexed="81"/>
            <rFont val="Tahoma"/>
            <family val="2"/>
          </rPr>
          <t>Filley, Kimberly S:</t>
        </r>
        <r>
          <rPr>
            <sz val="9"/>
            <color indexed="81"/>
            <rFont val="Tahoma"/>
            <family val="2"/>
          </rPr>
          <t xml:space="preserve">
properly excludes $50 related to thermostat costs and properly includes $562.24 related to EEKITS Co-delivelry costs that had originally been improperly included/excluded in the Jan 22 costs</t>
        </r>
      </text>
    </comment>
    <comment ref="EZ6" authorId="0" shapeId="0" xr:uid="{00000000-0006-0000-0100-00001F000000}">
      <text>
        <r>
          <rPr>
            <b/>
            <sz val="9"/>
            <color indexed="81"/>
            <rFont val="Tahoma"/>
            <family val="2"/>
          </rPr>
          <t>Filley, Kimberly S:</t>
        </r>
        <r>
          <rPr>
            <sz val="9"/>
            <color indexed="81"/>
            <rFont val="Tahoma"/>
            <family val="2"/>
          </rPr>
          <t xml:space="preserve">
properly excludes $50 related to thermostat costs that had originally been improperly included in the Sep 22 costs</t>
        </r>
      </text>
    </comment>
    <comment ref="FE6" authorId="0" shapeId="0" xr:uid="{00000000-0006-0000-0100-000020000000}">
      <text>
        <r>
          <rPr>
            <b/>
            <sz val="9"/>
            <color indexed="81"/>
            <rFont val="Tahoma"/>
            <family val="2"/>
          </rPr>
          <t>Filley, Kimberly S:</t>
        </r>
        <r>
          <rPr>
            <sz val="9"/>
            <color indexed="81"/>
            <rFont val="Tahoma"/>
            <family val="2"/>
          </rPr>
          <t xml:space="preserve">
backs out cost corrections booked in Feb 2023 related to prud review associated with yellow highlighted periods to the left</t>
        </r>
      </text>
    </comment>
    <comment ref="FK6" authorId="0" shapeId="0" xr:uid="{00000000-0006-0000-0100-000021000000}">
      <text>
        <r>
          <rPr>
            <b/>
            <sz val="9"/>
            <color indexed="81"/>
            <rFont val="Tahoma"/>
            <family val="2"/>
          </rPr>
          <t>Filley, Kimberly S:</t>
        </r>
        <r>
          <rPr>
            <sz val="9"/>
            <color indexed="81"/>
            <rFont val="Tahoma"/>
            <family val="2"/>
          </rPr>
          <t xml:space="preserve">
includes $2,692.03 in costs related to PAYS </t>
        </r>
      </text>
    </comment>
    <comment ref="FL6" authorId="0" shapeId="0" xr:uid="{00000000-0006-0000-0100-000022000000}">
      <text>
        <r>
          <rPr>
            <b/>
            <sz val="9"/>
            <color indexed="81"/>
            <rFont val="Tahoma"/>
            <family val="2"/>
          </rPr>
          <t>Filley, Kimberly S:</t>
        </r>
        <r>
          <rPr>
            <sz val="9"/>
            <color indexed="81"/>
            <rFont val="Tahoma"/>
            <family val="2"/>
          </rPr>
          <t xml:space="preserve">
includes $2,737.36 in costs related to PAYS </t>
        </r>
      </text>
    </comment>
    <comment ref="FM6" authorId="0" shapeId="0" xr:uid="{00000000-0006-0000-0100-000023000000}">
      <text>
        <r>
          <rPr>
            <b/>
            <sz val="9"/>
            <color indexed="81"/>
            <rFont val="Tahoma"/>
            <family val="2"/>
          </rPr>
          <t>Filley, Kimberly S:</t>
        </r>
        <r>
          <rPr>
            <sz val="9"/>
            <color indexed="81"/>
            <rFont val="Tahoma"/>
            <family val="2"/>
          </rPr>
          <t xml:space="preserve">
includes $2,781.49 in costs related to PAYS </t>
        </r>
      </text>
    </comment>
    <comment ref="FN6" authorId="0" shapeId="0" xr:uid="{00000000-0006-0000-0100-000024000000}">
      <text>
        <r>
          <rPr>
            <b/>
            <sz val="9"/>
            <color indexed="81"/>
            <rFont val="Tahoma"/>
            <family val="2"/>
          </rPr>
          <t>Filley, Kimberly S:</t>
        </r>
        <r>
          <rPr>
            <sz val="9"/>
            <color indexed="81"/>
            <rFont val="Tahoma"/>
            <family val="2"/>
          </rPr>
          <t xml:space="preserve">
includes $571.88 in costs related to PAYS </t>
        </r>
      </text>
    </comment>
    <comment ref="FO6" authorId="0" shapeId="0" xr:uid="{00000000-0006-0000-0100-000025000000}">
      <text>
        <r>
          <rPr>
            <b/>
            <sz val="9"/>
            <color indexed="81"/>
            <rFont val="Tahoma"/>
            <family val="2"/>
          </rPr>
          <t>Filley, Kimberly S:</t>
        </r>
        <r>
          <rPr>
            <sz val="9"/>
            <color indexed="81"/>
            <rFont val="Tahoma"/>
            <family val="2"/>
          </rPr>
          <t xml:space="preserve">
includes $743.10 in costs related to PAYS </t>
        </r>
      </text>
    </comment>
    <comment ref="FP6" authorId="0" shapeId="0" xr:uid="{00000000-0006-0000-0100-000026000000}">
      <text>
        <r>
          <rPr>
            <b/>
            <sz val="9"/>
            <color indexed="81"/>
            <rFont val="Tahoma"/>
            <family val="2"/>
          </rPr>
          <t>Filley, Kimberly S:</t>
        </r>
        <r>
          <rPr>
            <sz val="9"/>
            <color indexed="81"/>
            <rFont val="Tahoma"/>
            <family val="2"/>
          </rPr>
          <t xml:space="preserve">
includes $848.98 in costs related to PAYS </t>
        </r>
      </text>
    </comment>
    <comment ref="DM7" authorId="0" shapeId="0" xr:uid="{00000000-0006-0000-0100-000027000000}">
      <text>
        <r>
          <rPr>
            <b/>
            <sz val="9"/>
            <color indexed="81"/>
            <rFont val="Tahoma"/>
            <family val="2"/>
          </rPr>
          <t>Filley, Kimberly S:</t>
        </r>
        <r>
          <rPr>
            <sz val="9"/>
            <color indexed="81"/>
            <rFont val="Tahoma"/>
            <family val="2"/>
          </rPr>
          <t xml:space="preserve">
includes rev true-up related to Nov 21 of $11.21
</t>
        </r>
      </text>
    </comment>
    <comment ref="DR7" authorId="0" shapeId="0" xr:uid="{00000000-0006-0000-0100-000028000000}">
      <text>
        <r>
          <rPr>
            <b/>
            <sz val="9"/>
            <color indexed="81"/>
            <rFont val="Tahoma"/>
            <family val="2"/>
          </rPr>
          <t>Filley, Kimberly S:</t>
        </r>
        <r>
          <rPr>
            <sz val="9"/>
            <color indexed="81"/>
            <rFont val="Tahoma"/>
            <family val="2"/>
          </rPr>
          <t xml:space="preserve">
includes rev true-up related to Nov 21 of 
-$0.19
</t>
        </r>
      </text>
    </comment>
    <comment ref="C9" authorId="1" shapeId="0" xr:uid="{00000000-0006-0000-0100-000029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W10" authorId="0" shapeId="0" xr:uid="{00000000-0006-0000-0100-00002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Z10" authorId="0" shapeId="0" xr:uid="{00000000-0006-0000-0100-00002B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A10" authorId="0" shapeId="0" xr:uid="{00000000-0006-0000-0100-00002C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CZ10" authorId="0" shapeId="0" xr:uid="{00000000-0006-0000-0100-00002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A10" authorId="0" shapeId="0" xr:uid="{00000000-0006-0000-0100-00002E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C19" authorId="1" shapeId="0" xr:uid="{00000000-0006-0000-0100-00002F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DA21" authorId="0" shapeId="0" xr:uid="{00000000-0006-0000-0100-000030000000}">
      <text>
        <r>
          <rPr>
            <b/>
            <sz val="9"/>
            <color indexed="81"/>
            <rFont val="Tahoma"/>
            <family val="2"/>
          </rPr>
          <t>Filley, Kimberly S:</t>
        </r>
        <r>
          <rPr>
            <sz val="9"/>
            <color indexed="81"/>
            <rFont val="Tahoma"/>
            <family val="2"/>
          </rPr>
          <t xml:space="preserve">
when interest changes sign direction have to change the account in je template jul - sep 20 cumulative interest dropping so need to record interest rev for each of these months instead of interest expense like we have been</t>
        </r>
      </text>
    </comment>
    <comment ref="C29" authorId="1" shapeId="0" xr:uid="{00000000-0006-0000-0100-000031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Z29" authorId="1" shapeId="0" xr:uid="{00000000-0006-0000-0100-000032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A29" authorId="1" shapeId="0" xr:uid="{00000000-0006-0000-0100-000033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B29" authorId="1" shapeId="0" xr:uid="{00000000-0006-0000-0100-000034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C29" authorId="1" shapeId="0" xr:uid="{00000000-0006-0000-0100-000035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D29" authorId="1" shapeId="0" xr:uid="{00000000-0006-0000-0100-000036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E29" authorId="1" shapeId="0" xr:uid="{00000000-0006-0000-0100-000037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F29" authorId="1" shapeId="0" xr:uid="{00000000-0006-0000-0100-000038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G29" authorId="1" shapeId="0" xr:uid="{00000000-0006-0000-0100-000039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H29" authorId="1" shapeId="0" xr:uid="{00000000-0006-0000-0100-00003A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I29" authorId="1" shapeId="0" xr:uid="{00000000-0006-0000-0100-00003B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J29" authorId="1" shapeId="0" xr:uid="{00000000-0006-0000-0100-00003C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K29" authorId="1" shapeId="0" xr:uid="{00000000-0006-0000-0100-00003D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L29" authorId="1" shapeId="0" xr:uid="{00000000-0006-0000-0100-00003E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M29" authorId="1" shapeId="0" xr:uid="{00000000-0006-0000-0100-00003F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N29" authorId="1" shapeId="0" xr:uid="{00000000-0006-0000-0100-000040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O29" authorId="1" shapeId="0" xr:uid="{00000000-0006-0000-0100-000041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P29" authorId="1" shapeId="0" xr:uid="{00000000-0006-0000-0100-000042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Q29" authorId="1" shapeId="0" xr:uid="{00000000-0006-0000-0100-000043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R29" authorId="1" shapeId="0" xr:uid="{00000000-0006-0000-0100-000044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S29" authorId="1" shapeId="0" xr:uid="{00000000-0006-0000-0100-000045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T29" authorId="1" shapeId="0" xr:uid="{00000000-0006-0000-0100-000046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U29" authorId="1" shapeId="0" xr:uid="{00000000-0006-0000-0100-000047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V29" authorId="1" shapeId="0" xr:uid="{00000000-0006-0000-0100-000048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W29" authorId="1" shapeId="0" xr:uid="{00000000-0006-0000-0100-000049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X29" authorId="1" shapeId="0" xr:uid="{00000000-0006-0000-0100-00004A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BJ32" authorId="1" shapeId="0" xr:uid="{00000000-0006-0000-0100-00004B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BU32" authorId="1" shapeId="0" xr:uid="{00000000-0006-0000-0100-00004C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C39" authorId="1" shapeId="0" xr:uid="{00000000-0006-0000-0100-00004D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49" authorId="1" shapeId="0" xr:uid="{00000000-0006-0000-0100-00004E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B59" authorId="0" shapeId="0" xr:uid="{00000000-0006-0000-0100-00004F000000}">
      <text>
        <r>
          <rPr>
            <b/>
            <sz val="9"/>
            <color indexed="81"/>
            <rFont val="Tahoma"/>
            <family val="2"/>
          </rPr>
          <t>Filley, Kimberly S:</t>
        </r>
        <r>
          <rPr>
            <sz val="9"/>
            <color indexed="81"/>
            <rFont val="Tahoma"/>
            <family val="2"/>
          </rPr>
          <t xml:space="preserve">
comes from M3 Allocation s - TD tab</t>
        </r>
      </text>
    </comment>
    <comment ref="B60" authorId="1" shapeId="0" xr:uid="{00000000-0006-0000-0100-000050000000}">
      <text>
        <r>
          <rPr>
            <b/>
            <sz val="9"/>
            <color indexed="81"/>
            <rFont val="Tahoma"/>
            <family val="2"/>
          </rPr>
          <t>Logan, Raysene:</t>
        </r>
        <r>
          <rPr>
            <sz val="9"/>
            <color indexed="81"/>
            <rFont val="Tahoma"/>
            <family val="2"/>
          </rPr>
          <t xml:space="preserve">
round to $0.01</t>
        </r>
      </text>
    </comment>
    <comment ref="B70" authorId="0" shapeId="0" xr:uid="{00000000-0006-0000-0100-000051000000}">
      <text>
        <r>
          <rPr>
            <b/>
            <sz val="9"/>
            <color indexed="81"/>
            <rFont val="Tahoma"/>
            <family val="2"/>
          </rPr>
          <t>Filley, Kimberly S:</t>
        </r>
        <r>
          <rPr>
            <sz val="9"/>
            <color indexed="81"/>
            <rFont val="Tahoma"/>
            <family val="2"/>
          </rPr>
          <t xml:space="preserve">
from TD calc tab</t>
        </r>
      </text>
    </comment>
    <comment ref="B71" authorId="0" shapeId="0" xr:uid="{00000000-0006-0000-0100-000052000000}">
      <text>
        <r>
          <rPr>
            <b/>
            <sz val="9"/>
            <color indexed="81"/>
            <rFont val="Tahoma"/>
            <family val="2"/>
          </rPr>
          <t>Filley, Kimberly S:</t>
        </r>
        <r>
          <rPr>
            <sz val="9"/>
            <color indexed="81"/>
            <rFont val="Tahoma"/>
            <family val="2"/>
          </rPr>
          <t xml:space="preserve">
from TD calc tab</t>
        </r>
      </text>
    </comment>
    <comment ref="B72" authorId="0" shapeId="0" xr:uid="{00000000-0006-0000-0100-000053000000}">
      <text>
        <r>
          <rPr>
            <b/>
            <sz val="9"/>
            <color indexed="81"/>
            <rFont val="Tahoma"/>
            <family val="2"/>
          </rPr>
          <t>Filley, Kimberly S:</t>
        </r>
        <r>
          <rPr>
            <sz val="9"/>
            <color indexed="81"/>
            <rFont val="Tahoma"/>
            <family val="2"/>
          </rPr>
          <t xml:space="preserve">
from TD true-up file what s/h/be in TD from Jeff F. MEEIA group</t>
        </r>
      </text>
    </comment>
    <comment ref="B73" authorId="0" shapeId="0" xr:uid="{00000000-0006-0000-0100-000054000000}">
      <text>
        <r>
          <rPr>
            <b/>
            <sz val="9"/>
            <color indexed="81"/>
            <rFont val="Tahoma"/>
            <family val="2"/>
          </rPr>
          <t>Filley, Kimberly S:</t>
        </r>
        <r>
          <rPr>
            <sz val="9"/>
            <color indexed="81"/>
            <rFont val="Tahoma"/>
            <family val="2"/>
          </rPr>
          <t xml:space="preserve">
from TD true-up file what s/h/be in TD from Jeff F. MEEIA group</t>
        </r>
      </text>
    </comment>
    <comment ref="B74" authorId="0" shapeId="0" xr:uid="{00000000-0006-0000-0100-000055000000}">
      <text>
        <r>
          <rPr>
            <b/>
            <sz val="9"/>
            <color indexed="81"/>
            <rFont val="Tahoma"/>
            <family val="2"/>
          </rPr>
          <t>Filley, Kimberly S:</t>
        </r>
        <r>
          <rPr>
            <sz val="9"/>
            <color indexed="81"/>
            <rFont val="Tahoma"/>
            <family val="2"/>
          </rPr>
          <t xml:space="preserve">
from TD true-up file what s/h/be in TD from Jeff F. MEEIA group</t>
        </r>
      </text>
    </comment>
    <comment ref="B75" authorId="0" shapeId="0" xr:uid="{00000000-0006-0000-0100-000056000000}">
      <text>
        <r>
          <rPr>
            <b/>
            <sz val="9"/>
            <color indexed="81"/>
            <rFont val="Tahoma"/>
            <family val="2"/>
          </rPr>
          <t>Filley, Kimberly S:</t>
        </r>
        <r>
          <rPr>
            <sz val="9"/>
            <color indexed="81"/>
            <rFont val="Tahoma"/>
            <family val="2"/>
          </rPr>
          <t xml:space="preserve">
from TD true-up file what s/h/be in TD from Jeff F. MEEIA group</t>
        </r>
      </text>
    </comment>
    <comment ref="DB76" authorId="1" shapeId="0" xr:uid="{00000000-0006-0000-0100-000057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DJ76" authorId="1" shapeId="0" xr:uid="{00000000-0006-0000-0100-000058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DK76" authorId="0" shapeId="0" xr:uid="{00000000-0006-0000-0100-000059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DN76" authorId="1" shapeId="0" xr:uid="{00000000-0006-0000-0100-00005A000000}">
      <text>
        <r>
          <rPr>
            <b/>
            <sz val="9"/>
            <color indexed="81"/>
            <rFont val="Tahoma"/>
            <family val="2"/>
          </rPr>
          <t>Logan, Raysene:</t>
        </r>
        <r>
          <rPr>
            <sz val="9"/>
            <color indexed="81"/>
            <rFont val="Tahoma"/>
            <family val="2"/>
          </rPr>
          <t xml:space="preserve">
M2 Janaury 2022 ending balances rolled into M3 effective Feb 2022</t>
        </r>
      </text>
    </comment>
    <comment ref="CY78" authorId="0" shapeId="0" xr:uid="{00000000-0006-0000-0100-00005B000000}">
      <text>
        <r>
          <rPr>
            <b/>
            <sz val="9"/>
            <color indexed="81"/>
            <rFont val="Tahoma"/>
            <family val="2"/>
          </rPr>
          <t>Filley, Kimberly S:</t>
        </r>
        <r>
          <rPr>
            <sz val="9"/>
            <color indexed="81"/>
            <rFont val="Tahoma"/>
            <family val="2"/>
          </rPr>
          <t xml:space="preserve">
cm over/under no cm actvty then value herein</t>
        </r>
      </text>
    </comment>
    <comment ref="DK78" authorId="0" shapeId="0" xr:uid="{00000000-0006-0000-0100-00005C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DC79" authorId="0" shapeId="0" xr:uid="{00000000-0006-0000-0100-00005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K79" authorId="0" shapeId="0" xr:uid="{00000000-0006-0000-0100-00005E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CY84" authorId="0" shapeId="0" xr:uid="{00000000-0006-0000-0100-00005F000000}">
      <text>
        <r>
          <rPr>
            <b/>
            <sz val="9"/>
            <color indexed="81"/>
            <rFont val="Tahoma"/>
            <family val="2"/>
          </rPr>
          <t>Filley, Kimberly S:</t>
        </r>
        <r>
          <rPr>
            <sz val="9"/>
            <color indexed="81"/>
            <rFont val="Tahoma"/>
            <family val="2"/>
          </rPr>
          <t xml:space="preserve">
PI/EO recognized </t>
        </r>
      </text>
    </comment>
    <comment ref="DI84" authorId="1" shapeId="0" xr:uid="{00000000-0006-0000-0100-000060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DN84" authorId="1" shapeId="0" xr:uid="{00000000-0006-0000-0100-000061000000}">
      <text>
        <r>
          <rPr>
            <b/>
            <sz val="9"/>
            <color indexed="81"/>
            <rFont val="Tahoma"/>
            <family val="2"/>
          </rPr>
          <t>Logan, Raysene:</t>
        </r>
        <r>
          <rPr>
            <sz val="9"/>
            <color indexed="81"/>
            <rFont val="Tahoma"/>
            <family val="2"/>
          </rPr>
          <t xml:space="preserve">
M2 Janaury 2022 ending balances rolled into M3 effective Feb 2022</t>
        </r>
      </text>
    </comment>
    <comment ref="DT84" authorId="1" shapeId="0" xr:uid="{00000000-0006-0000-0100-000062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DV84" authorId="1" shapeId="0" xr:uid="{00000000-0006-0000-0100-000063000000}">
      <text>
        <r>
          <rPr>
            <b/>
            <sz val="9"/>
            <color indexed="81"/>
            <rFont val="Tahoma"/>
            <family val="2"/>
          </rPr>
          <t>Filley, Kim:</t>
        </r>
        <r>
          <rPr>
            <sz val="9"/>
            <color indexed="81"/>
            <rFont val="Tahoma"/>
            <family val="2"/>
          </rPr>
          <t xml:space="preserve">
-$197.32: True-up of TD True-up for inclusion in EO booked to GL in October 2022
</t>
        </r>
      </text>
    </comment>
    <comment ref="DX84" authorId="1" shapeId="0" xr:uid="{00000000-0006-0000-0100-000064000000}">
      <text>
        <r>
          <rPr>
            <b/>
            <sz val="9"/>
            <color indexed="81"/>
            <rFont val="Tahoma"/>
            <family val="2"/>
          </rPr>
          <t xml:space="preserve">Filley, Kim:
</t>
        </r>
        <r>
          <rPr>
            <sz val="9"/>
            <color indexed="81"/>
            <rFont val="Tahoma"/>
            <family val="2"/>
          </rPr>
          <t>+$10,734,309.90: M3 PY2022 EO booked to GL in December 2022</t>
        </r>
      </text>
    </comment>
    <comment ref="CY86" authorId="0" shapeId="0" xr:uid="{00000000-0006-0000-0100-000065000000}">
      <text>
        <r>
          <rPr>
            <b/>
            <sz val="9"/>
            <color indexed="81"/>
            <rFont val="Tahoma"/>
            <family val="2"/>
          </rPr>
          <t>Filley, Kimberly S:</t>
        </r>
        <r>
          <rPr>
            <sz val="9"/>
            <color indexed="81"/>
            <rFont val="Tahoma"/>
            <family val="2"/>
          </rPr>
          <t xml:space="preserve">
PI/EO amortized because billed</t>
        </r>
      </text>
    </comment>
    <comment ref="DR86" authorId="0" shapeId="0" xr:uid="{00000000-0006-0000-0100-000066000000}">
      <text>
        <r>
          <rPr>
            <b/>
            <sz val="9"/>
            <color indexed="81"/>
            <rFont val="Tahoma"/>
            <family val="2"/>
          </rPr>
          <t>Filley, Kimberly S:</t>
        </r>
        <r>
          <rPr>
            <sz val="9"/>
            <color indexed="81"/>
            <rFont val="Tahoma"/>
            <family val="2"/>
          </rPr>
          <t xml:space="preserve">
includes rev true-up related to Nov 21 of 
$3.25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AL51" authorId="0" shapeId="0" xr:uid="{00000000-0006-0000-0200-000003000000}">
      <text>
        <r>
          <rPr>
            <b/>
            <sz val="9"/>
            <color indexed="81"/>
            <rFont val="Tahoma"/>
            <family val="2"/>
          </rPr>
          <t>Filley, Kimberly S:</t>
        </r>
        <r>
          <rPr>
            <sz val="9"/>
            <color indexed="81"/>
            <rFont val="Tahoma"/>
            <family val="2"/>
          </rPr>
          <t xml:space="preserve">
includes a revenue true up for Nov 2021 $5.36</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C4" authorId="0" shapeId="0" xr:uid="{00000000-0006-0000-0300-000001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4" authorId="0" shapeId="0" xr:uid="{00000000-0006-0000-0300-000002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4" authorId="0" shapeId="0" xr:uid="{00000000-0006-0000-0300-000003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4" authorId="0" shapeId="0" xr:uid="{00000000-0006-0000-0300-000004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Y4" authorId="0" shapeId="0" xr:uid="{E7207871-E5EA-4A55-8994-E68AAE7FDDDC}">
      <text>
        <r>
          <rPr>
            <b/>
            <sz val="9"/>
            <color indexed="81"/>
            <rFont val="Tahoma"/>
            <family val="2"/>
          </rPr>
          <t>Filley, Kimberly S:</t>
        </r>
        <r>
          <rPr>
            <sz val="9"/>
            <color indexed="81"/>
            <rFont val="Tahoma"/>
            <family val="2"/>
          </rPr>
          <t xml:space="preserve">
new M3 rates that went into effect Feb 2024 -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
NOTE:  also need to pull in M2 rates this round as M2TD's balance is being moved into M3 this Feb 24 close....you only pull rates for both TD PYs into the same amort tab when you are rolling one of the TD PY balances into the other PY TD calc</t>
        </r>
      </text>
    </comment>
    <comment ref="C11" authorId="0" shapeId="0" xr:uid="{00000000-0006-0000-0300-000005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11" authorId="0" shapeId="0" xr:uid="{00000000-0006-0000-0300-000006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11" authorId="0" shapeId="0" xr:uid="{00000000-0006-0000-0300-000007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11" authorId="0" shapeId="0" xr:uid="{00000000-0006-0000-0300-000008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Y11" authorId="0" shapeId="0" xr:uid="{E5D395C3-A898-4026-ACEB-35FC0E770C87}">
      <text>
        <r>
          <rPr>
            <b/>
            <sz val="9"/>
            <color indexed="81"/>
            <rFont val="Tahoma"/>
            <family val="2"/>
          </rPr>
          <t>Filley, Kimberly S:</t>
        </r>
        <r>
          <rPr>
            <sz val="9"/>
            <color indexed="81"/>
            <rFont val="Tahoma"/>
            <family val="2"/>
          </rPr>
          <t xml:space="preserve">
new M3 rates that went into effect Feb 2024 -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
NOTE:  also need to pull in M2 rates this round as M2TD's balance is being moved into M3 this Feb 24 close....you only pull rates for both TD PYs into the same amort tab when you are rolling one of the TD PY balances into the other PY TD calc</t>
        </r>
      </text>
    </comment>
    <comment ref="C18" authorId="0" shapeId="0" xr:uid="{00000000-0006-0000-0300-000009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18" authorId="0" shapeId="0" xr:uid="{00000000-0006-0000-0300-00000A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18" authorId="0" shapeId="0" xr:uid="{00000000-0006-0000-0300-00000B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18" authorId="0" shapeId="0" xr:uid="{00000000-0006-0000-0300-00000C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Y18" authorId="0" shapeId="0" xr:uid="{11BC7ABD-6518-4AAF-9A85-764CC0B0F5FC}">
      <text>
        <r>
          <rPr>
            <b/>
            <sz val="9"/>
            <color indexed="81"/>
            <rFont val="Tahoma"/>
            <family val="2"/>
          </rPr>
          <t>Filley, Kimberly S:</t>
        </r>
        <r>
          <rPr>
            <sz val="9"/>
            <color indexed="81"/>
            <rFont val="Tahoma"/>
            <family val="2"/>
          </rPr>
          <t xml:space="preserve">
new M3 rates that went into effect Feb 2024 -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
NOTE:  also need to pull in M2 rates this round as M2TD's balance is being moved into M3 this Feb 24 close....you only pull rates for both TD PYs into the same amort tab when you are rolling one of the TD PY balances into the other PY TD calc</t>
        </r>
      </text>
    </comment>
    <comment ref="C25" authorId="0" shapeId="0" xr:uid="{00000000-0006-0000-0300-00000D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25" authorId="0" shapeId="0" xr:uid="{00000000-0006-0000-0300-00000E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25" authorId="0" shapeId="0" xr:uid="{00000000-0006-0000-0300-00000F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25" authorId="0" shapeId="0" xr:uid="{00000000-0006-0000-0300-000010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Y25" authorId="0" shapeId="0" xr:uid="{9C01CF0F-99F2-4B6D-813F-F0277F2D74C5}">
      <text>
        <r>
          <rPr>
            <b/>
            <sz val="9"/>
            <color indexed="81"/>
            <rFont val="Tahoma"/>
            <family val="2"/>
          </rPr>
          <t>Filley, Kimberly S:</t>
        </r>
        <r>
          <rPr>
            <sz val="9"/>
            <color indexed="81"/>
            <rFont val="Tahoma"/>
            <family val="2"/>
          </rPr>
          <t xml:space="preserve">
new M3 rates that went into effect Feb 2024 -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
NOTE:  also need to pull in M2 rates this round as M2TD's balance is being moved into M3 this Feb 24 close....you only pull rates for both TD PYs into the same amort tab when you are rolling one of the TD PY balances into the other PY TD calc</t>
        </r>
      </text>
    </comment>
    <comment ref="C32" authorId="0" shapeId="0" xr:uid="{00000000-0006-0000-0300-000011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32" authorId="0" shapeId="0" xr:uid="{00000000-0006-0000-0300-000012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32" authorId="0" shapeId="0" xr:uid="{00000000-0006-0000-0300-000013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32" authorId="0" shapeId="0" xr:uid="{00000000-0006-0000-0300-000014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Y32" authorId="0" shapeId="0" xr:uid="{3E044AC9-16BB-43DC-A470-BE8796C1DCCD}">
      <text>
        <r>
          <rPr>
            <b/>
            <sz val="9"/>
            <color indexed="81"/>
            <rFont val="Tahoma"/>
            <family val="2"/>
          </rPr>
          <t>Filley, Kimberly S:</t>
        </r>
        <r>
          <rPr>
            <sz val="9"/>
            <color indexed="81"/>
            <rFont val="Tahoma"/>
            <family val="2"/>
          </rPr>
          <t xml:space="preserve">
new M3 rates that went into effect Feb 2024 -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
NOTE:  also need to pull in M2 rates this round as M2TD's balance is being moved into M3 this Feb 24 close....you only pull rates for both TD PYs into the same amort tab when you are rolling one of the TD PY balances into the other PY TD calc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Raysene Logan</author>
  </authors>
  <commentList>
    <comment ref="P5" authorId="0" shapeId="0" xr:uid="{00000000-0006-0000-0600-000001000000}">
      <text>
        <r>
          <rPr>
            <b/>
            <sz val="9"/>
            <color indexed="81"/>
            <rFont val="Tahoma"/>
            <family val="2"/>
          </rPr>
          <t>Logan, Raysene:</t>
        </r>
        <r>
          <rPr>
            <sz val="9"/>
            <color indexed="81"/>
            <rFont val="Tahoma"/>
            <family val="2"/>
          </rPr>
          <t xml:space="preserve">
M1 ending balances rolled into M2 effective Feb 2017</t>
        </r>
      </text>
    </comment>
    <comment ref="Y5" authorId="0" shapeId="0" xr:uid="{00000000-0006-0000-0600-000002000000}">
      <text>
        <r>
          <rPr>
            <b/>
            <sz val="9"/>
            <color indexed="81"/>
            <rFont val="Tahoma"/>
            <family val="2"/>
          </rPr>
          <t>Logan, Raysene:</t>
        </r>
        <r>
          <rPr>
            <sz val="9"/>
            <color indexed="81"/>
            <rFont val="Tahoma"/>
            <family val="2"/>
          </rPr>
          <t xml:space="preserve">
to adjust interest related to Cardinals sign expense removal and radio allocation changes booked in November</t>
        </r>
      </text>
    </comment>
    <comment ref="BM5" authorId="1" shapeId="0" xr:uid="{00000000-0006-0000-0600-000003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AS15" authorId="0" shapeId="0" xr:uid="{00000000-0006-0000-0600-000013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CI15" authorId="1" shapeId="0" xr:uid="{00000000-0006-0000-0600-000014000000}">
      <text>
        <r>
          <rPr>
            <b/>
            <sz val="9"/>
            <color indexed="81"/>
            <rFont val="Tahoma"/>
            <family val="2"/>
          </rPr>
          <t>Filley, Kimberly S:</t>
        </r>
        <r>
          <rPr>
            <sz val="9"/>
            <color indexed="81"/>
            <rFont val="Tahoma"/>
            <family val="2"/>
          </rPr>
          <t xml:space="preserve">
interest correction related to change in interest rate in Dec 2020 which resulted in change in interest amount Dec 2020 - Dec 2022 as this amount is already in the TD totals for 1M - 11M below do not need to link to this particular row to this TD-TOTAL total section in gray</t>
        </r>
      </text>
    </comment>
    <comment ref="P26" authorId="0" shapeId="0" xr:uid="{00000000-0006-0000-0600-000038000000}">
      <text>
        <r>
          <rPr>
            <b/>
            <sz val="9"/>
            <color indexed="81"/>
            <rFont val="Tahoma"/>
            <family val="2"/>
          </rPr>
          <t>Logan, Raysene:</t>
        </r>
        <r>
          <rPr>
            <sz val="9"/>
            <color indexed="81"/>
            <rFont val="Tahoma"/>
            <family val="2"/>
          </rPr>
          <t xml:space="preserve">
splits by rate class from M1 final recon to be filed 11-2017</t>
        </r>
      </text>
    </comment>
    <comment ref="AS26" authorId="0" shapeId="0" xr:uid="{00000000-0006-0000-0600-000039000000}">
      <text>
        <r>
          <rPr>
            <b/>
            <sz val="9"/>
            <color indexed="81"/>
            <rFont val="Tahoma"/>
            <family val="2"/>
          </rPr>
          <t>Logan, Raysene:</t>
        </r>
        <r>
          <rPr>
            <sz val="9"/>
            <color indexed="81"/>
            <rFont val="Tahoma"/>
            <family val="2"/>
          </rPr>
          <t xml:space="preserve">
to adjust interest related to TD HER adjs booked in July.
Manually adj formulas in red below to include interest adj in total - did NOT push down to customer classes</t>
        </r>
      </text>
    </comment>
    <comment ref="Y76" authorId="0" shapeId="0" xr:uid="{00000000-0006-0000-0600-00003A000000}">
      <text>
        <r>
          <rPr>
            <b/>
            <sz val="9"/>
            <color indexed="81"/>
            <rFont val="Tahoma"/>
            <family val="2"/>
          </rPr>
          <t>Logan, Raysene:</t>
        </r>
        <r>
          <rPr>
            <sz val="9"/>
            <color indexed="81"/>
            <rFont val="Tahoma"/>
            <family val="2"/>
          </rPr>
          <t xml:space="preserve">
OA in MEEIA Nov 2017 filing and booked to GL in Nov 2017, will be in rates starting Feb 2018</t>
        </r>
      </text>
    </comment>
    <comment ref="AK76" authorId="0" shapeId="0" xr:uid="{00000000-0006-0000-0600-00003B000000}">
      <text>
        <r>
          <rPr>
            <b/>
            <sz val="9"/>
            <color indexed="81"/>
            <rFont val="Tahoma"/>
            <family val="2"/>
          </rPr>
          <t>Logan, Raysene:</t>
        </r>
        <r>
          <rPr>
            <sz val="9"/>
            <color indexed="81"/>
            <rFont val="Tahoma"/>
            <family val="2"/>
          </rPr>
          <t xml:space="preserve">
OA in MEEIA Nov 2018 filing and booked to GL in Nov 2018, will be in rates starting Feb 2019</t>
        </r>
      </text>
    </comment>
    <comment ref="BG79" authorId="1" shapeId="0" xr:uid="{00000000-0006-0000-0600-00003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M84" authorId="0" shapeId="0" xr:uid="{00000000-0006-0000-0600-000049000000}">
      <text>
        <r>
          <rPr>
            <b/>
            <sz val="9"/>
            <color indexed="81"/>
            <rFont val="Tahoma"/>
            <family val="2"/>
          </rPr>
          <t>Logan, Raysene:</t>
        </r>
        <r>
          <rPr>
            <sz val="9"/>
            <color indexed="81"/>
            <rFont val="Tahoma"/>
            <family val="2"/>
          </rPr>
          <t xml:space="preserve">
Additional $9M awarded in avoided cost complaint ruling, booked in Jan 19 GL</t>
        </r>
      </text>
    </comment>
    <comment ref="AW84" authorId="1" shapeId="0" xr:uid="{00000000-0006-0000-0600-00004A000000}">
      <text>
        <r>
          <rPr>
            <b/>
            <sz val="9"/>
            <color indexed="81"/>
            <rFont val="Tahoma"/>
            <family val="2"/>
          </rPr>
          <t>Filley, Kimberly S:</t>
        </r>
        <r>
          <rPr>
            <sz val="9"/>
            <color indexed="81"/>
            <rFont val="Tahoma"/>
            <family val="2"/>
          </rPr>
          <t xml:space="preserve">
moved into M2 amounts below so anything M1 related for this will be input into the pink cells below going forward</t>
        </r>
      </text>
    </comment>
    <comment ref="AM85" authorId="0" shapeId="0" xr:uid="{00000000-0006-0000-0600-00004B000000}">
      <text>
        <r>
          <rPr>
            <b/>
            <sz val="9"/>
            <color indexed="81"/>
            <rFont val="Tahoma"/>
            <family val="2"/>
          </rPr>
          <t>Logan, Raysene:</t>
        </r>
        <r>
          <rPr>
            <sz val="9"/>
            <color indexed="81"/>
            <rFont val="Tahoma"/>
            <family val="2"/>
          </rPr>
          <t xml:space="preserve">
M1 P1 amount fully amortized as of 12/31</t>
        </r>
      </text>
    </comment>
    <comment ref="AL95" authorId="0" shapeId="0" xr:uid="{00000000-0006-0000-0600-00004E000000}">
      <text>
        <r>
          <rPr>
            <b/>
            <sz val="9"/>
            <color indexed="81"/>
            <rFont val="Tahoma"/>
            <family val="2"/>
          </rPr>
          <t>Logan, Raysene:</t>
        </r>
        <r>
          <rPr>
            <sz val="9"/>
            <color indexed="81"/>
            <rFont val="Tahoma"/>
            <family val="2"/>
          </rPr>
          <t xml:space="preserve">
First 1/2 of 2017 booked in Dec 18 GL</t>
        </r>
      </text>
    </comment>
    <comment ref="AM95" authorId="0" shapeId="0" xr:uid="{00000000-0006-0000-0600-00004F000000}">
      <text>
        <r>
          <rPr>
            <b/>
            <sz val="9"/>
            <color indexed="81"/>
            <rFont val="Tahoma"/>
            <family val="2"/>
          </rPr>
          <t>Logan, Raysene:</t>
        </r>
        <r>
          <rPr>
            <sz val="9"/>
            <color indexed="81"/>
            <rFont val="Tahoma"/>
            <family val="2"/>
          </rPr>
          <t xml:space="preserve">
Second 1/2 of 2017 and 2016 booked in Jan 19 GL</t>
        </r>
      </text>
    </comment>
    <comment ref="AU95" authorId="0" shapeId="0" xr:uid="{00000000-0006-0000-0600-000050000000}">
      <text>
        <r>
          <rPr>
            <b/>
            <sz val="9"/>
            <color indexed="81"/>
            <rFont val="Tahoma"/>
            <family val="2"/>
          </rPr>
          <t>Logan, Raysene:</t>
        </r>
        <r>
          <rPr>
            <sz val="9"/>
            <color indexed="81"/>
            <rFont val="Tahoma"/>
            <family val="2"/>
          </rPr>
          <t xml:space="preserve">
Final EO calc booked in Sep 19 GL</t>
        </r>
      </text>
    </comment>
    <comment ref="AW95" authorId="2" shapeId="0" xr:uid="{00000000-0006-0000-0600-000051000000}">
      <text>
        <r>
          <rPr>
            <b/>
            <sz val="9"/>
            <color indexed="81"/>
            <rFont val="Tahoma"/>
            <family val="2"/>
          </rPr>
          <t>Raysene Logan:</t>
        </r>
        <r>
          <rPr>
            <sz val="9"/>
            <color indexed="81"/>
            <rFont val="Tahoma"/>
            <family val="2"/>
          </rPr>
          <t xml:space="preserve">
Rolling M1 PI balance into M2 effective Nov 2019 with annual MEEIA rate filing</t>
        </r>
      </text>
    </comment>
    <comment ref="BF95" authorId="0" shapeId="0" xr:uid="{00000000-0006-0000-0600-000052000000}">
      <text>
        <r>
          <rPr>
            <b/>
            <sz val="9"/>
            <color indexed="81"/>
            <rFont val="Tahoma"/>
            <family val="2"/>
          </rPr>
          <t>Logan, Raysene:</t>
        </r>
        <r>
          <rPr>
            <sz val="9"/>
            <color indexed="81"/>
            <rFont val="Tahoma"/>
            <family val="2"/>
          </rPr>
          <t xml:space="preserve">
TD True-up approved for inclusion in EO booked to GL in August 20</t>
        </r>
      </text>
    </comment>
    <comment ref="BR95" authorId="0" shapeId="0" xr:uid="{00000000-0006-0000-0600-000053000000}">
      <text>
        <r>
          <rPr>
            <b/>
            <sz val="9"/>
            <color indexed="81"/>
            <rFont val="Tahoma"/>
            <family val="2"/>
          </rPr>
          <t>Filley, Kim:</t>
        </r>
        <r>
          <rPr>
            <sz val="9"/>
            <color indexed="81"/>
            <rFont val="Tahoma"/>
            <family val="2"/>
          </rPr>
          <t xml:space="preserve">
TD True-up for inclusion in EO booked to GL in August 21</t>
        </r>
      </text>
    </comment>
    <comment ref="AZ96" authorId="1" shapeId="0" xr:uid="{00000000-0006-0000-0600-000054000000}">
      <text>
        <r>
          <rPr>
            <b/>
            <sz val="9"/>
            <color indexed="81"/>
            <rFont val="Tahoma"/>
            <family val="2"/>
          </rPr>
          <t>Filley, Kimberly S:</t>
        </r>
        <r>
          <rPr>
            <sz val="9"/>
            <color indexed="81"/>
            <rFont val="Tahoma"/>
            <family val="2"/>
          </rPr>
          <t xml:space="preserve">
each time new EO rates go into effect have to update this cell - new rates for EO went into effect for M2 in Feb 20 - go into case works MEEIA 3 rate filing workpapers - opened wp WRD2 - MEEIA Rider Calcs November 2019 - Rate - updated 1.2.20 excel file and pulled value in cell B 4 of the EO tab and divided by 23 - this formula is copied over to the subsequent months up to 23 mo.s and then will be updated when new rates go into effect for this.</t>
        </r>
      </text>
    </comment>
    <comment ref="BL96" authorId="1" shapeId="0" xr:uid="{00000000-0006-0000-0600-000055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BW96" authorId="1" shapeId="0" xr:uid="{00000000-0006-0000-0600-000056000000}">
      <text>
        <r>
          <rPr>
            <b/>
            <sz val="9"/>
            <color indexed="81"/>
            <rFont val="Tahoma"/>
            <family val="2"/>
          </rPr>
          <t>Filley, Kimberly S:</t>
        </r>
        <r>
          <rPr>
            <sz val="9"/>
            <color indexed="81"/>
            <rFont val="Tahoma"/>
            <family val="2"/>
          </rPr>
          <t xml:space="preserve">
the EO amort we calc for this month will only be on the TD tru-up of $695K as the amount associated with the $43M that was in this calc last month stopped in Dec 21 then fell off becuz we were to amortize that protion over a 23mo period so 12 months in 2020 and only 11 months in 2021 even though rate set is for a full 12 mo period with that $43M included </t>
        </r>
      </text>
    </comment>
    <comment ref="BG100" authorId="1" shapeId="0" xr:uid="{00000000-0006-0000-0600-00005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C104" authorId="0" shapeId="0" xr:uid="{00000000-0006-0000-0600-000059000000}">
      <text>
        <r>
          <rPr>
            <b/>
            <sz val="9"/>
            <color indexed="81"/>
            <rFont val="Tahoma"/>
            <family val="2"/>
          </rPr>
          <t>Logan, Raysene:</t>
        </r>
        <r>
          <rPr>
            <sz val="9"/>
            <color indexed="81"/>
            <rFont val="Tahoma"/>
            <family val="2"/>
          </rPr>
          <t xml:space="preserve">
1/2 of 2016 EMV results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F6" authorId="0" shapeId="0" xr:uid="{00000000-0006-0000-0700-000001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G7" authorId="1" shapeId="0" xr:uid="{00000000-0006-0000-0700-000002000000}">
      <text>
        <r>
          <rPr>
            <b/>
            <sz val="9"/>
            <color indexed="81"/>
            <rFont val="Tahoma"/>
            <family val="2"/>
          </rPr>
          <t>Logan, Raysene:</t>
        </r>
        <r>
          <rPr>
            <sz val="9"/>
            <color indexed="81"/>
            <rFont val="Tahoma"/>
            <family val="2"/>
          </rPr>
          <t xml:space="preserve">
Remove Cardinals sign</t>
        </r>
      </text>
    </comment>
    <comment ref="H7" authorId="1" shapeId="0" xr:uid="{00000000-0006-0000-0700-000003000000}">
      <text>
        <r>
          <rPr>
            <b/>
            <sz val="9"/>
            <color indexed="81"/>
            <rFont val="Tahoma"/>
            <family val="2"/>
          </rPr>
          <t>Logan, Raysene:</t>
        </r>
        <r>
          <rPr>
            <sz val="9"/>
            <color indexed="81"/>
            <rFont val="Tahoma"/>
            <family val="2"/>
          </rPr>
          <t xml:space="preserve">
Correct Cardinals radio allocation</t>
        </r>
      </text>
    </comment>
    <comment ref="L7" authorId="1" shapeId="0" xr:uid="{00000000-0006-0000-0700-000004000000}">
      <text>
        <r>
          <rPr>
            <b/>
            <sz val="9"/>
            <color indexed="81"/>
            <rFont val="Tahoma"/>
            <family val="2"/>
          </rPr>
          <t>Logan, Raysene:</t>
        </r>
        <r>
          <rPr>
            <sz val="9"/>
            <color indexed="81"/>
            <rFont val="Tahoma"/>
            <family val="2"/>
          </rPr>
          <t xml:space="preserve">
Remove Cardinals sign and correct Cardinals radio allocation</t>
        </r>
      </text>
    </comment>
    <comment ref="Q7" authorId="1" shapeId="0" xr:uid="{00000000-0006-0000-0700-000005000000}">
      <text>
        <r>
          <rPr>
            <b/>
            <sz val="9"/>
            <color indexed="81"/>
            <rFont val="Tahoma"/>
            <family val="2"/>
          </rPr>
          <t>Logan, Raysene:</t>
        </r>
        <r>
          <rPr>
            <sz val="9"/>
            <color indexed="81"/>
            <rFont val="Tahoma"/>
            <family val="2"/>
          </rPr>
          <t xml:space="preserve">
Reverse impacts of actual booking for Cardinals corrections in November</t>
        </r>
      </text>
    </comment>
    <comment ref="DB8" authorId="0" shapeId="0" xr:uid="{00000000-0006-0000-0700-000006000000}">
      <text>
        <r>
          <rPr>
            <b/>
            <sz val="9"/>
            <color indexed="81"/>
            <rFont val="Tahoma"/>
            <family val="2"/>
          </rPr>
          <t>Filley, Kimberly S:</t>
        </r>
        <r>
          <rPr>
            <sz val="9"/>
            <color indexed="81"/>
            <rFont val="Tahoma"/>
            <family val="2"/>
          </rPr>
          <t xml:space="preserve">
remember to flip sign</t>
        </r>
      </text>
    </comment>
    <comment ref="BQ10" authorId="0" shapeId="0" xr:uid="{00000000-0006-0000-0700-00000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U10" authorId="0" shapeId="0" xr:uid="{00000000-0006-0000-0700-00000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V10" authorId="0" shapeId="0" xr:uid="{00000000-0006-0000-0700-00000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W10" authorId="0" shapeId="0" xr:uid="{00000000-0006-0000-0700-00000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D11" authorId="0" shapeId="0" xr:uid="{00000000-0006-0000-0700-00000B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E11" authorId="0" shapeId="0" xr:uid="{00000000-0006-0000-0700-00000C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F11" authorId="0" shapeId="0" xr:uid="{00000000-0006-0000-0700-00000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G11" authorId="0" shapeId="0" xr:uid="{00000000-0006-0000-0700-00000E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H11" authorId="0" shapeId="0" xr:uid="{00000000-0006-0000-0700-00000F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I11" authorId="0" shapeId="0" xr:uid="{00000000-0006-0000-0700-000010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J11" authorId="0" shapeId="0" xr:uid="{00000000-0006-0000-0700-000011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K11" authorId="0" shapeId="0" xr:uid="{00000000-0006-0000-0700-000012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L11" authorId="0" shapeId="0" xr:uid="{00000000-0006-0000-0700-000013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M11" authorId="0" shapeId="0" xr:uid="{00000000-0006-0000-0700-000014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N11" authorId="0" shapeId="0" xr:uid="{00000000-0006-0000-0700-000015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O11" authorId="0" shapeId="0" xr:uid="{00000000-0006-0000-0700-000016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P11" authorId="0" shapeId="0" xr:uid="{00000000-0006-0000-0700-00001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D22" authorId="0" shapeId="0" xr:uid="{00000000-0006-0000-0700-00001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E22" authorId="0" shapeId="0" xr:uid="{00000000-0006-0000-0700-00001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F22" authorId="0" shapeId="0" xr:uid="{00000000-0006-0000-0700-00001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G22" authorId="0" shapeId="0" xr:uid="{00000000-0006-0000-0700-00001B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H22" authorId="0" shapeId="0" xr:uid="{00000000-0006-0000-0700-00001C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I22" authorId="0" shapeId="0" xr:uid="{00000000-0006-0000-0700-00001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J22" authorId="0" shapeId="0" xr:uid="{00000000-0006-0000-0700-00001E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K22" authorId="0" shapeId="0" xr:uid="{00000000-0006-0000-0700-00001F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L22" authorId="0" shapeId="0" xr:uid="{00000000-0006-0000-0700-000020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M22" authorId="0" shapeId="0" xr:uid="{00000000-0006-0000-0700-000021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N22" authorId="0" shapeId="0" xr:uid="{00000000-0006-0000-0700-000022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O22" authorId="0" shapeId="0" xr:uid="{00000000-0006-0000-0700-000023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P22" authorId="0" shapeId="0" xr:uid="{00000000-0006-0000-0700-000024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Q22" authorId="0" shapeId="0" xr:uid="{00000000-0006-0000-0700-000025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R22" authorId="0" shapeId="0" xr:uid="{00000000-0006-0000-0700-000026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S22" authorId="0" shapeId="0" xr:uid="{00000000-0006-0000-0700-00002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T22" authorId="0" shapeId="0" xr:uid="{00000000-0006-0000-0700-00002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U22" authorId="0" shapeId="0" xr:uid="{00000000-0006-0000-0700-00002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V22" authorId="0" shapeId="0" xr:uid="{00000000-0006-0000-0700-00002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W22" authorId="0" shapeId="0" xr:uid="{00000000-0006-0000-0700-00002B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X22" authorId="0" shapeId="0" xr:uid="{00000000-0006-0000-0700-00002C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Y22" authorId="0" shapeId="0" xr:uid="{00000000-0006-0000-0700-00002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Z22" authorId="0" shapeId="0" xr:uid="{00000000-0006-0000-0700-00002E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EA22" authorId="0" shapeId="0" xr:uid="{00000000-0006-0000-0700-00002F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41" authorId="1" shapeId="0" xr:uid="{00000000-0006-0000-0700-000030000000}">
      <text>
        <r>
          <rPr>
            <b/>
            <sz val="9"/>
            <color indexed="81"/>
            <rFont val="Tahoma"/>
            <family val="2"/>
          </rPr>
          <t>Logan, Raysene:</t>
        </r>
        <r>
          <rPr>
            <sz val="9"/>
            <color indexed="81"/>
            <rFont val="Tahoma"/>
            <family val="2"/>
          </rPr>
          <t xml:space="preserve">
round to $0.01</t>
        </r>
      </text>
    </comment>
    <comment ref="DB78" authorId="0" shapeId="0" xr:uid="{00000000-0006-0000-0700-000031000000}">
      <text>
        <r>
          <rPr>
            <b/>
            <sz val="9"/>
            <color indexed="81"/>
            <rFont val="Tahoma"/>
            <family val="2"/>
          </rPr>
          <t>Filley, Kimberly S:</t>
        </r>
        <r>
          <rPr>
            <sz val="9"/>
            <color indexed="81"/>
            <rFont val="Tahoma"/>
            <family val="2"/>
          </rPr>
          <t xml:space="preserve">
remember to flip sign
</t>
        </r>
      </text>
    </comment>
    <comment ref="DG80" authorId="0" shapeId="0" xr:uid="{00000000-0006-0000-0700-000032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H80" authorId="0" shapeId="0" xr:uid="{00000000-0006-0000-0700-000033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I80" authorId="0" shapeId="0" xr:uid="{00000000-0006-0000-0700-000034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J80" authorId="0" shapeId="0" xr:uid="{00000000-0006-0000-0700-000035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K80" authorId="0" shapeId="0" xr:uid="{00000000-0006-0000-0700-000036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L80" authorId="0" shapeId="0" xr:uid="{00000000-0006-0000-0700-00003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M80" authorId="0" shapeId="0" xr:uid="{00000000-0006-0000-0700-00003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N80" authorId="0" shapeId="0" xr:uid="{00000000-0006-0000-0700-00003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O80" authorId="0" shapeId="0" xr:uid="{00000000-0006-0000-0700-00003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P80" authorId="0" shapeId="0" xr:uid="{00000000-0006-0000-0700-00003B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B85" authorId="0" shapeId="0" xr:uid="{00000000-0006-0000-0700-00003C000000}">
      <text>
        <r>
          <rPr>
            <b/>
            <sz val="9"/>
            <color indexed="81"/>
            <rFont val="Tahoma"/>
            <family val="2"/>
          </rPr>
          <t>Filley, Kimberly S:</t>
        </r>
        <r>
          <rPr>
            <sz val="9"/>
            <color indexed="81"/>
            <rFont val="Tahoma"/>
            <family val="2"/>
          </rPr>
          <t xml:space="preserve">
PI/EO recognized </t>
        </r>
      </text>
    </comment>
    <comment ref="DB87" authorId="0" shapeId="0" xr:uid="{00000000-0006-0000-0700-00003D000000}">
      <text>
        <r>
          <rPr>
            <b/>
            <sz val="9"/>
            <color indexed="81"/>
            <rFont val="Tahoma"/>
            <family val="2"/>
          </rPr>
          <t>Filley, Kimberly S:</t>
        </r>
        <r>
          <rPr>
            <sz val="9"/>
            <color indexed="81"/>
            <rFont val="Tahoma"/>
            <family val="2"/>
          </rPr>
          <t xml:space="preserve">
PI/EO amortized because billed</t>
        </r>
      </text>
    </comment>
    <comment ref="DB96" authorId="0" shapeId="0" xr:uid="{00000000-0006-0000-0700-00003E000000}">
      <text>
        <r>
          <rPr>
            <b/>
            <sz val="9"/>
            <color indexed="81"/>
            <rFont val="Tahoma"/>
            <family val="2"/>
          </rPr>
          <t>Filley, Kimberly S:</t>
        </r>
        <r>
          <rPr>
            <sz val="9"/>
            <color indexed="81"/>
            <rFont val="Tahoma"/>
            <family val="2"/>
          </rPr>
          <t xml:space="preserve">
PI/EO recognized </t>
        </r>
      </text>
    </comment>
    <comment ref="DK96" authorId="1" shapeId="0" xr:uid="{00000000-0006-0000-0700-00003F000000}">
      <text>
        <r>
          <rPr>
            <b/>
            <sz val="9"/>
            <color indexed="81"/>
            <rFont val="Tahoma"/>
            <family val="2"/>
          </rPr>
          <t>Filley, Kim:</t>
        </r>
        <r>
          <rPr>
            <sz val="9"/>
            <color indexed="81"/>
            <rFont val="Tahoma"/>
            <family val="2"/>
          </rPr>
          <t xml:space="preserve">
TD True-up for inclusion in EO booked to GL in August 21</t>
        </r>
      </text>
    </comment>
    <comment ref="DE97" authorId="0" shapeId="0" xr:uid="{00000000-0006-0000-0700-000040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DP97" authorId="0" shapeId="0" xr:uid="{00000000-0006-0000-0700-000041000000}">
      <text>
        <r>
          <rPr>
            <b/>
            <sz val="9"/>
            <color indexed="81"/>
            <rFont val="Tahoma"/>
            <family val="2"/>
          </rPr>
          <t>Filley, Kimberly S:</t>
        </r>
        <r>
          <rPr>
            <sz val="9"/>
            <color indexed="81"/>
            <rFont val="Tahoma"/>
            <family val="2"/>
          </rPr>
          <t xml:space="preserve">
the EO amort we calc for this month will only be on the TD tru-up of $695K as the amount associated with the $43M that was in this calc last month stopped in Dec 21 then fell off becuz we were to amortize that protion over a 23mo period so 12 months in 2020 and only 11 months in 2021 even though rate set is for a full 12 mo period with that $43M included </t>
        </r>
      </text>
    </comment>
    <comment ref="DB98" authorId="0" shapeId="0" xr:uid="{00000000-0006-0000-0700-000042000000}">
      <text>
        <r>
          <rPr>
            <b/>
            <sz val="9"/>
            <color indexed="81"/>
            <rFont val="Tahoma"/>
            <family val="2"/>
          </rPr>
          <t>Filley, Kimberly S:</t>
        </r>
        <r>
          <rPr>
            <sz val="9"/>
            <color indexed="81"/>
            <rFont val="Tahoma"/>
            <family val="2"/>
          </rPr>
          <t xml:space="preserve">
PI/EO amortized because billed
and remember to flip sign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CA50" authorId="0" shapeId="0" xr:uid="{00000000-0006-0000-0900-000003000000}">
      <text>
        <r>
          <rPr>
            <b/>
            <sz val="9"/>
            <color indexed="81"/>
            <rFont val="Tahoma"/>
            <family val="2"/>
          </rPr>
          <t>Filley, Kimberly S:</t>
        </r>
        <r>
          <rPr>
            <sz val="9"/>
            <color indexed="81"/>
            <rFont val="Tahoma"/>
            <family val="2"/>
          </rPr>
          <t xml:space="preserve">
includes a Nov 21 true-up of -$0.99</t>
        </r>
      </text>
    </comment>
  </commentList>
</comments>
</file>

<file path=xl/sharedStrings.xml><?xml version="1.0" encoding="utf-8"?>
<sst xmlns="http://schemas.openxmlformats.org/spreadsheetml/2006/main" count="1539" uniqueCount="158">
  <si>
    <t>Program Cost</t>
  </si>
  <si>
    <t>MEEIA Cycle 2</t>
  </si>
  <si>
    <t>Cumulative Balance - TD Regulatory Asset/(Liability)</t>
  </si>
  <si>
    <t>Cumulative Balance - PC Regulatory Asset/(Liability)</t>
  </si>
  <si>
    <t xml:space="preserve">   Interest Rate (ST Borrowing rate)</t>
  </si>
  <si>
    <t xml:space="preserve">   Interest $</t>
  </si>
  <si>
    <t>Cumulative Interest</t>
  </si>
  <si>
    <t>Over/Under Calculations</t>
  </si>
  <si>
    <t>Interest $ - ST rate</t>
  </si>
  <si>
    <t>Program Cost Expense</t>
  </si>
  <si>
    <t>Program Cost Revenue</t>
  </si>
  <si>
    <t>PC (Over)/Under Recovery</t>
  </si>
  <si>
    <t>Total PC (Over)/Under Recovery</t>
  </si>
  <si>
    <t>TD (Over)/Under Recovery</t>
  </si>
  <si>
    <t>Total TD (Over)/Under Recovery</t>
  </si>
  <si>
    <t>Cumulative Balance - TD Regulatory Asset/(Liability) 1M</t>
  </si>
  <si>
    <t>Cumulative Balance - TD Regulatory Asset/(Liability) 2M</t>
  </si>
  <si>
    <t>Cumulative Balance - TD Regulatory Asset/(Liability) 3M</t>
  </si>
  <si>
    <t>Cumulative Balance - TD Regulatory Asset/(Liability) 4M</t>
  </si>
  <si>
    <t>Cumulative Balance - TD Regulatory Asset/(Liability) 11M</t>
  </si>
  <si>
    <t>TD - 1M RES</t>
  </si>
  <si>
    <t>TD - 2M SGS</t>
  </si>
  <si>
    <t>TD - 3M LGS</t>
  </si>
  <si>
    <t>TD - 4M SPS</t>
  </si>
  <si>
    <t>TD - 11M LPS</t>
  </si>
  <si>
    <t>TD - TOTAL</t>
  </si>
  <si>
    <t>Throughput Disincentive Revenue</t>
  </si>
  <si>
    <t>Cumulative interest</t>
  </si>
  <si>
    <t>Throughput Disincentive - Current Month</t>
  </si>
  <si>
    <t>Low Income</t>
  </si>
  <si>
    <t>Allocate TD Low Income</t>
  </si>
  <si>
    <t>Total</t>
  </si>
  <si>
    <t>kwh from CDW (adjusted for opt out)</t>
  </si>
  <si>
    <t>1M - RES</t>
  </si>
  <si>
    <t>2M - SGS</t>
  </si>
  <si>
    <t>3M - LGS</t>
  </si>
  <si>
    <t>4M - SPS</t>
  </si>
  <si>
    <t>11M - LPS</t>
  </si>
  <si>
    <t>TD $ from TD calculation file - Cumulative</t>
  </si>
  <si>
    <t>TD $ - Monthly</t>
  </si>
  <si>
    <t>TD Allocated - Monthly</t>
  </si>
  <si>
    <t>RES</t>
  </si>
  <si>
    <t>A</t>
  </si>
  <si>
    <t>Row Labels</t>
  </si>
  <si>
    <t>Grand Total</t>
  </si>
  <si>
    <t>MEEIA Performance Incentive Revenue (Current $)</t>
  </si>
  <si>
    <t>PI (Over)/Under Recovery</t>
  </si>
  <si>
    <t>Cumulative Balance - PI Regulatory Asset/(Liability)</t>
  </si>
  <si>
    <t>Total PI (Over)/Under Recovery - Cumulative</t>
  </si>
  <si>
    <t xml:space="preserve">   Interest (Expense)/Revenue $</t>
  </si>
  <si>
    <t>MEEIA PI Amortization per Rider EEIC tariff</t>
  </si>
  <si>
    <t>Amortization of previous year balance</t>
  </si>
  <si>
    <t>Net TD Revenue</t>
  </si>
  <si>
    <t>TD Billed Rev</t>
  </si>
  <si>
    <t>TDR Rate (o/u)</t>
  </si>
  <si>
    <t>PTD rate (projected)</t>
  </si>
  <si>
    <t>TDR % of rate</t>
  </si>
  <si>
    <t>TDR Billed Revenue $ Amort</t>
  </si>
  <si>
    <t>Total PI (Over)/Under Recovery</t>
  </si>
  <si>
    <t>Allocate TD Low Income Exemption Bill Credits</t>
  </si>
  <si>
    <t>TD Billed Revenue $ - GL query</t>
  </si>
  <si>
    <t>Low Income Exemption (RES) - CDW</t>
  </si>
  <si>
    <t>TD Billed Revenue Allocated</t>
  </si>
  <si>
    <t>Total TD Rate</t>
  </si>
  <si>
    <t>Over/Under Calculation Adjs</t>
  </si>
  <si>
    <t>Ordered Adjustments</t>
  </si>
  <si>
    <t>Ordered Adjustment Revenue</t>
  </si>
  <si>
    <t>OA (Over)/Under Recovery</t>
  </si>
  <si>
    <t>Cardinals sign removal and radio allocation changes - included in MEEIA rate filing and booked to GL in Nov 2017</t>
  </si>
  <si>
    <t>Total OA (Over)/Under Recovery</t>
  </si>
  <si>
    <t>Cumulative Balance - OA Regulatory Asset/(Liability)</t>
  </si>
  <si>
    <t>TDR Rate ((over)/under)</t>
  </si>
  <si>
    <t>MEEIA EO Amortization per Rider EEIC tariff</t>
  </si>
  <si>
    <t>MEEIA Earnings Opportunity Revenue (Current $)</t>
  </si>
  <si>
    <t>EO (Over)/Under Recovery</t>
  </si>
  <si>
    <t>Total EO (Over)/Under Recovery</t>
  </si>
  <si>
    <t>Total EO (Over)/Under Recovery - Cumulative</t>
  </si>
  <si>
    <t>Cumulative Balance - EO Regulatory Asset/(Liability)</t>
  </si>
  <si>
    <t>M2 Earnings Opportunity</t>
  </si>
  <si>
    <t>M1 Performance Incentive</t>
  </si>
  <si>
    <t>MEEIA Cycle 3</t>
  </si>
  <si>
    <t>M3 Earnings Opportunity</t>
  </si>
  <si>
    <t>TD Home Energy Report adjs to book in accordance with tariff - booked to GL in Jul 2019</t>
  </si>
  <si>
    <t>Updated TD per month based on HER adjs</t>
  </si>
  <si>
    <t>original calc</t>
  </si>
  <si>
    <t>adj needed - all RES</t>
  </si>
  <si>
    <t xml:space="preserve">adj needed  </t>
  </si>
  <si>
    <t>adj needed</t>
  </si>
  <si>
    <t>TD interest adjs to book as result of the air compressor margin rate being applied to all measures  - booked to GL in Nov 2019</t>
  </si>
  <si>
    <t>adj</t>
  </si>
  <si>
    <t>orginal interest</t>
  </si>
  <si>
    <t>revised costs to exclude RT = 34</t>
  </si>
  <si>
    <t>original costs</t>
  </si>
  <si>
    <t>revised interest calculated to right</t>
  </si>
  <si>
    <t>revised costs cumulative calculated to right as result of prud review</t>
  </si>
  <si>
    <t>Rate of Return</t>
  </si>
  <si>
    <t>Interest to flow through MEEIA</t>
  </si>
  <si>
    <t>PM EB</t>
  </si>
  <si>
    <t xml:space="preserve">CM Deferred Spend </t>
  </si>
  <si>
    <t>Less:  Amortization</t>
  </si>
  <si>
    <t>Cumulative Unamortized Balance</t>
  </si>
  <si>
    <t>Less:  Deferred Taxes</t>
  </si>
  <si>
    <t>Net Rate Base</t>
  </si>
  <si>
    <t>PISA Rate:</t>
  </si>
  <si>
    <t>Customer Financing Rate</t>
  </si>
  <si>
    <t>Sum of Amount</t>
  </si>
  <si>
    <t>Column Labels</t>
  </si>
  <si>
    <t>J0QW4</t>
  </si>
  <si>
    <t>Input #s</t>
  </si>
  <si>
    <t>cost correction allocation</t>
  </si>
  <si>
    <t>% of total</t>
  </si>
  <si>
    <t>interest correction allocation</t>
  </si>
  <si>
    <t xml:space="preserve">In October 2021, Ameren identified some labor charges that were incorrectly included in MEEIA  3 PC related to the PAYS program for the months of November 19 and February 21 totaling $60,467.71.  </t>
  </si>
  <si>
    <t>to calculate interest adjustment associated with PC amounts that need to be removed from M3PC</t>
  </si>
  <si>
    <r>
      <t xml:space="preserve">M3 Ordered Adjustments </t>
    </r>
    <r>
      <rPr>
        <b/>
        <i/>
        <sz val="11"/>
        <color rgb="FFFF0000"/>
        <rFont val="Calibri"/>
        <family val="2"/>
        <scheme val="minor"/>
      </rPr>
      <t>(part of November 2021 CPA3 and CPA4 MEEIA Rider Calc Files)</t>
    </r>
  </si>
  <si>
    <t>M3 OA of $50K should have been booked November 2020 close not booked until Feb 2021.  Thus need to calculate an interest adjustment (starting November 2020 and compounded through October 2021)</t>
  </si>
  <si>
    <t>Original</t>
  </si>
  <si>
    <t>new</t>
  </si>
  <si>
    <t xml:space="preserve">old </t>
  </si>
  <si>
    <t>diff</t>
  </si>
  <si>
    <t>Revised</t>
  </si>
  <si>
    <t>change in kwh adjusted for opt out related to Nov 21-May 22 so adjustment made in Oct 22 to reallocate the TD over/under amounts by rate class, overall impact to TD o/u net $0</t>
  </si>
  <si>
    <t>From November 2021 filing (wp CPA3 MEEIA 3 adjs tab):</t>
  </si>
  <si>
    <t>M3 TD interest correction calculation - booked November 2020 close - see workpaper CPA3.A - M3 over under TD interst error support for calculation details</t>
  </si>
  <si>
    <t>MEEIA 3 Expense - PC  Adjustment</t>
  </si>
  <si>
    <t>From November 2021 filing (wp CPA3 MEEIA 2 adjs tab):</t>
  </si>
  <si>
    <t>Less: Reclass to Rate Base</t>
  </si>
  <si>
    <t xml:space="preserve">Less: Write-off to MEEIA </t>
  </si>
  <si>
    <t>Plus: Amortization Reversed</t>
  </si>
  <si>
    <t/>
  </si>
  <si>
    <t>original</t>
  </si>
  <si>
    <t>pick up in MEEIA 3 calcs</t>
  </si>
  <si>
    <t>revised December 2020 interest rate as result of a prudency review</t>
  </si>
  <si>
    <t>represents the values that should have changed had the corrections been booked in the periods they actually related to</t>
  </si>
  <si>
    <t>thermostat incentive correcting entry recorded Feb 2023 relates to periods Nov 20-Jan 21; Jun 21; Jan 22; Sep 22</t>
  </si>
  <si>
    <t>gas co-delivery correcting entry recorded Feb 2023 relates to Nov 21 period</t>
  </si>
  <si>
    <t>EEKITS co-delivery correcting entry recorded Feb 2023 relates to Jan 22 period</t>
  </si>
  <si>
    <t>note first 3 amounts in TD - from TD calc file cumm section below wont change any more</t>
  </si>
  <si>
    <t>cost</t>
  </si>
  <si>
    <t>interest</t>
  </si>
  <si>
    <t>pisa rate revised Sep 2023</t>
  </si>
  <si>
    <t xml:space="preserve">diff </t>
  </si>
  <si>
    <t>change in amt that s/h flowed thru MEEIA</t>
  </si>
  <si>
    <t>PAYS calculator</t>
  </si>
  <si>
    <r>
      <t xml:space="preserve">From November 2023 filing (shown in </t>
    </r>
    <r>
      <rPr>
        <b/>
        <i/>
        <sz val="11"/>
        <color rgb="FFFF0000"/>
        <rFont val="Calibri"/>
        <family val="2"/>
        <scheme val="minor"/>
      </rPr>
      <t>wp JNG3</t>
    </r>
    <r>
      <rPr>
        <b/>
        <sz val="11"/>
        <color rgb="FFFF0000"/>
        <rFont val="Calibri"/>
        <family val="2"/>
        <scheme val="minor"/>
      </rPr>
      <t xml:space="preserve"> on the </t>
    </r>
    <r>
      <rPr>
        <b/>
        <i/>
        <sz val="11"/>
        <color rgb="FFFF0000"/>
        <rFont val="Calibri"/>
        <family val="2"/>
        <scheme val="minor"/>
      </rPr>
      <t>MEEIA 3 adjs</t>
    </r>
    <r>
      <rPr>
        <b/>
        <sz val="11"/>
        <color rgb="FFFF0000"/>
        <rFont val="Calibri"/>
        <family val="2"/>
        <scheme val="minor"/>
      </rPr>
      <t xml:space="preserve"> tab and calculated in </t>
    </r>
    <r>
      <rPr>
        <b/>
        <i/>
        <sz val="11"/>
        <color rgb="FFFF0000"/>
        <rFont val="Calibri"/>
        <family val="2"/>
        <scheme val="minor"/>
      </rPr>
      <t>wp JNG3.B - MEEIA over under calculations - Dec 2020 intrst rate crrtn support</t>
    </r>
    <r>
      <rPr>
        <b/>
        <sz val="11"/>
        <color rgb="FFFF0000"/>
        <rFont val="Calibri"/>
        <family val="2"/>
        <scheme val="minor"/>
      </rPr>
      <t>)</t>
    </r>
  </si>
  <si>
    <r>
      <t xml:space="preserve">From November 2023 filing (shown in wp </t>
    </r>
    <r>
      <rPr>
        <b/>
        <i/>
        <sz val="11"/>
        <color rgb="FFFF0000"/>
        <rFont val="Calibri"/>
        <family val="2"/>
        <scheme val="minor"/>
      </rPr>
      <t>JNG3</t>
    </r>
    <r>
      <rPr>
        <b/>
        <sz val="11"/>
        <color rgb="FFFF0000"/>
        <rFont val="Calibri"/>
        <family val="2"/>
        <scheme val="minor"/>
      </rPr>
      <t xml:space="preserve"> on the </t>
    </r>
    <r>
      <rPr>
        <b/>
        <i/>
        <sz val="11"/>
        <color rgb="FFFF0000"/>
        <rFont val="Calibri"/>
        <family val="2"/>
        <scheme val="minor"/>
      </rPr>
      <t>MEEIA 3 adjs</t>
    </r>
    <r>
      <rPr>
        <b/>
        <sz val="11"/>
        <color rgb="FFFF0000"/>
        <rFont val="Calibri"/>
        <family val="2"/>
        <scheme val="minor"/>
      </rPr>
      <t xml:space="preserve"> tab and calculated in wp </t>
    </r>
    <r>
      <rPr>
        <b/>
        <i/>
        <sz val="11"/>
        <color rgb="FFFF0000"/>
        <rFont val="Calibri"/>
        <family val="2"/>
        <scheme val="minor"/>
      </rPr>
      <t xml:space="preserve"> JNG3.C - M3 over under PC - prud review intrst crrtn support)</t>
    </r>
  </si>
  <si>
    <t>revised costs related to below periods highlighted in yellow resulting from prudence review - resulting interest calculation revision shown to the right below; interest adjument booked in GL in March 2023</t>
  </si>
  <si>
    <r>
      <rPr>
        <b/>
        <sz val="11"/>
        <color rgb="FFFF0000"/>
        <rFont val="Calibri"/>
        <family val="2"/>
        <scheme val="minor"/>
      </rPr>
      <t xml:space="preserve">From November 2023 filing (shown in wp </t>
    </r>
    <r>
      <rPr>
        <b/>
        <i/>
        <sz val="11"/>
        <color rgb="FFFF0000"/>
        <rFont val="Calibri"/>
        <family val="2"/>
        <scheme val="minor"/>
      </rPr>
      <t>JNG3</t>
    </r>
    <r>
      <rPr>
        <b/>
        <sz val="11"/>
        <color rgb="FFFF0000"/>
        <rFont val="Calibri"/>
        <family val="2"/>
        <scheme val="minor"/>
      </rPr>
      <t xml:space="preserve"> on the </t>
    </r>
    <r>
      <rPr>
        <b/>
        <i/>
        <sz val="11"/>
        <color rgb="FFFF0000"/>
        <rFont val="Calibri"/>
        <family val="2"/>
        <scheme val="minor"/>
      </rPr>
      <t>MEEIA 3 adjs</t>
    </r>
    <r>
      <rPr>
        <b/>
        <sz val="11"/>
        <color rgb="FFFF0000"/>
        <rFont val="Calibri"/>
        <family val="2"/>
        <scheme val="minor"/>
      </rPr>
      <t xml:space="preserve"> tab and calculated in wp</t>
    </r>
    <r>
      <rPr>
        <b/>
        <i/>
        <sz val="11"/>
        <color rgb="FFFF0000"/>
        <rFont val="Calibri"/>
        <family val="2"/>
        <scheme val="minor"/>
      </rPr>
      <t xml:space="preserve"> JNG3.D - M3 over under PAYS cost &amp; intrst crrtn support) for calculation details</t>
    </r>
  </si>
  <si>
    <t>revised costs related to below periods highlighted in yellow resulting from a revised PISA rate which impacts the PAYS costs that need to flow through MEEIA - resulting cost and interest calculation revision shown to the right below; interest adjument booked in GL in October 2023</t>
  </si>
  <si>
    <t>forecast from TD calculator file</t>
  </si>
  <si>
    <t>forecast from PPC.1 tab</t>
  </si>
  <si>
    <t>TDR.1F</t>
  </si>
  <si>
    <t>PTD.1</t>
  </si>
  <si>
    <t>Rate filing TDR tab, lines 22 - 26</t>
  </si>
  <si>
    <t>Rate filing TDR tab, line 36</t>
  </si>
  <si>
    <t>TDR.1</t>
  </si>
  <si>
    <r>
      <t xml:space="preserve">From November 2023 filing (shown in </t>
    </r>
    <r>
      <rPr>
        <b/>
        <i/>
        <sz val="11"/>
        <color rgb="FFFF0000"/>
        <rFont val="Calibri"/>
        <family val="2"/>
        <scheme val="minor"/>
      </rPr>
      <t>wp JNG3</t>
    </r>
    <r>
      <rPr>
        <b/>
        <sz val="11"/>
        <color rgb="FFFF0000"/>
        <rFont val="Calibri"/>
        <family val="2"/>
        <scheme val="minor"/>
      </rPr>
      <t xml:space="preserve"> on the </t>
    </r>
    <r>
      <rPr>
        <b/>
        <i/>
        <sz val="11"/>
        <color rgb="FFFF0000"/>
        <rFont val="Calibri"/>
        <family val="2"/>
        <scheme val="minor"/>
      </rPr>
      <t>MEEIA 2 adjs</t>
    </r>
    <r>
      <rPr>
        <b/>
        <sz val="11"/>
        <color rgb="FFFF0000"/>
        <rFont val="Calibri"/>
        <family val="2"/>
        <scheme val="minor"/>
      </rPr>
      <t xml:space="preserve"> tab and calculated in </t>
    </r>
    <r>
      <rPr>
        <b/>
        <i/>
        <sz val="11"/>
        <color rgb="FFFF0000"/>
        <rFont val="Calibri"/>
        <family val="2"/>
        <scheme val="minor"/>
      </rPr>
      <t>wp JNG3.B - MEEIA over under calculations - Dec 2020 intrst rate crrtn support</t>
    </r>
    <r>
      <rPr>
        <b/>
        <sz val="11"/>
        <color rgb="FFFF0000"/>
        <rFont val="Calibri"/>
        <family val="2"/>
        <scheme val="minor"/>
      </rPr>
      <t>)</t>
    </r>
  </si>
  <si>
    <t>MEEIA Cycle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</si>
</sst>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0.000000%"/>
    <numFmt numFmtId="166" formatCode="_(* #,##0_);_(* \(#,##0\);_(* &quot;-&quot;??_);_(@_)"/>
    <numFmt numFmtId="167" formatCode="&quot;$&quot;#,##0.000000_);[Red]\(&quot;$&quot;#,##0.000000\)"/>
    <numFmt numFmtId="168" formatCode="&quot;$&quot;#,##0.000000_);\(&quot;$&quot;#,##0.000000\)"/>
    <numFmt numFmtId="169" formatCode="&quot;$&quot;#,##0.000000"/>
    <numFmt numFmtId="170" formatCode="mmm\-yyyy"/>
  </numFmts>
  <fonts count="85"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0"/>
      <name val="Calibri"/>
      <family val="2"/>
      <scheme val="minor"/>
    </font>
    <font>
      <b/>
      <sz val="9"/>
      <color indexed="81"/>
      <name val="Tahoma"/>
      <family val="2"/>
    </font>
    <font>
      <sz val="9"/>
      <color indexed="81"/>
      <name val="Tahoma"/>
      <family val="2"/>
    </font>
    <font>
      <sz val="11"/>
      <color theme="3" tint="-0.499984740745262"/>
      <name val="Calibri"/>
      <family val="2"/>
      <scheme val="minor"/>
    </font>
    <font>
      <sz val="11"/>
      <color theme="5" tint="-0.499984740745262"/>
      <name val="Calibri"/>
      <family val="2"/>
      <scheme val="minor"/>
    </font>
    <font>
      <sz val="10"/>
      <name val="Arial"/>
      <family val="2"/>
    </font>
    <font>
      <sz val="11"/>
      <color indexed="8"/>
      <name val="Calibri"/>
      <family val="2"/>
    </font>
    <font>
      <u/>
      <sz val="6"/>
      <color indexed="12"/>
      <name val="Arial"/>
      <family val="2"/>
    </font>
    <font>
      <u/>
      <sz val="8.5"/>
      <color indexed="12"/>
      <name val="Arial"/>
      <family val="2"/>
    </font>
    <font>
      <sz val="10"/>
      <name val="MS Sans Serif"/>
      <family val="2"/>
    </font>
    <font>
      <sz val="10"/>
      <color indexed="0"/>
      <name val="Arial"/>
      <family val="2"/>
    </font>
    <font>
      <b/>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u/>
      <sz val="8"/>
      <color rgb="FF0000FF"/>
      <name val="Calibri"/>
      <family val="2"/>
      <scheme val="minor"/>
    </font>
    <font>
      <u/>
      <sz val="8"/>
      <color rgb="FF800080"/>
      <name val="Calibri"/>
      <family val="2"/>
      <scheme val="minor"/>
    </font>
    <font>
      <u/>
      <sz val="11"/>
      <color theme="10"/>
      <name val="Calibri"/>
      <family val="2"/>
      <scheme val="minor"/>
    </font>
    <font>
      <b/>
      <i/>
      <u/>
      <sz val="11"/>
      <color theme="1"/>
      <name val="Calibri"/>
      <family val="2"/>
      <scheme val="minor"/>
    </font>
    <font>
      <i/>
      <sz val="11"/>
      <color rgb="FFFF0000"/>
      <name val="Calibri"/>
      <family val="2"/>
      <scheme val="minor"/>
    </font>
    <font>
      <sz val="11"/>
      <color theme="1"/>
      <name val="Book Antiqua"/>
      <family val="2"/>
    </font>
    <font>
      <sz val="10"/>
      <color theme="1"/>
      <name val="Arial"/>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Times New Roman"/>
      <family val="1"/>
    </font>
    <font>
      <b/>
      <sz val="12"/>
      <name val="Calibri"/>
      <family val="2"/>
      <scheme val="minor"/>
    </font>
    <font>
      <b/>
      <u/>
      <sz val="11"/>
      <color theme="1"/>
      <name val="Calibri"/>
      <family val="2"/>
      <scheme val="minor"/>
    </font>
    <font>
      <b/>
      <i/>
      <sz val="11"/>
      <color theme="1"/>
      <name val="Calibri"/>
      <family val="2"/>
      <scheme val="minor"/>
    </font>
    <font>
      <b/>
      <sz val="11"/>
      <color rgb="FFFF0000"/>
      <name val="Calibri"/>
      <family val="2"/>
      <scheme val="minor"/>
    </font>
    <font>
      <sz val="10"/>
      <name val="Arial"/>
      <family val="2"/>
    </font>
    <font>
      <sz val="11"/>
      <color rgb="FF0000FF"/>
      <name val="Calibri"/>
      <family val="2"/>
      <scheme val="minor"/>
    </font>
    <font>
      <b/>
      <sz val="12"/>
      <color theme="1"/>
      <name val="Calibri"/>
      <family val="2"/>
      <scheme val="minor"/>
    </font>
    <font>
      <b/>
      <sz val="11"/>
      <color theme="3" tint="-0.499984740745262"/>
      <name val="Calibri"/>
      <family val="2"/>
      <scheme val="minor"/>
    </font>
    <font>
      <sz val="9"/>
      <color rgb="FF000000"/>
      <name val="Tahoma"/>
      <family val="2"/>
    </font>
    <font>
      <b/>
      <i/>
      <sz val="11"/>
      <color rgb="FFFF0000"/>
      <name val="Calibri"/>
      <family val="2"/>
      <scheme val="minor"/>
    </font>
    <font>
      <b/>
      <sz val="11"/>
      <color rgb="FFFF0000"/>
      <name val="Book Antiqua"/>
      <family val="1"/>
    </font>
    <font>
      <b/>
      <sz val="11"/>
      <color theme="5" tint="-0.499984740745262"/>
      <name val="Calibri"/>
      <family val="2"/>
      <scheme val="minor"/>
    </font>
    <font>
      <sz val="9"/>
      <color indexed="81"/>
      <name val="Tahoma"/>
      <charset val="1"/>
    </font>
    <font>
      <b/>
      <sz val="9"/>
      <color indexed="81"/>
      <name val="Tahoma"/>
      <charset val="1"/>
    </font>
  </fonts>
  <fills count="82">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indexed="64"/>
      </patternFill>
    </fill>
    <fill>
      <patternFill patternType="solid">
        <fgColor theme="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499984740745262"/>
        <bgColor indexed="64"/>
      </patternFill>
    </fill>
    <fill>
      <patternFill patternType="solid">
        <fgColor rgb="FFF7C5BB"/>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59999389629810485"/>
        <bgColor indexed="64"/>
      </patternFill>
    </fill>
  </fills>
  <borders count="54">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rgb="FFC9C9CB"/>
      </left>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tint="-0.499984740745262"/>
      </left>
      <right style="thin">
        <color theme="0" tint="-0.499984740745262"/>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7699">
    <xf numFmtId="0" fontId="0" fillId="0" borderId="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2" fillId="0" borderId="0"/>
    <xf numFmtId="0" fontId="12" fillId="0" borderId="0"/>
    <xf numFmtId="0" fontId="12" fillId="0" borderId="0"/>
    <xf numFmtId="0" fontId="12"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0" fontId="17" fillId="0" borderId="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3" borderId="8" applyNumberFormat="0" applyAlignment="0" applyProtection="0"/>
    <xf numFmtId="0" fontId="27" fillId="0" borderId="9" applyNumberFormat="0" applyFill="0" applyAlignment="0" applyProtection="0"/>
    <xf numFmtId="0" fontId="28" fillId="19" borderId="10" applyNumberFormat="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4" fillId="0" borderId="11" applyNumberFormat="0" applyFill="0" applyAlignment="0" applyProtection="0"/>
    <xf numFmtId="0" fontId="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 fillId="43" borderId="0" applyNumberFormat="0" applyBorder="0" applyAlignment="0" applyProtection="0"/>
    <xf numFmtId="43" fontId="12" fillId="0" borderId="0" applyFont="0" applyFill="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2"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1" fillId="0" borderId="0"/>
    <xf numFmtId="0" fontId="30"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0" fontId="35" fillId="0" borderId="0"/>
    <xf numFmtId="9" fontId="35"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38" fillId="0" borderId="5" applyNumberFormat="0" applyFill="0" applyAlignment="0" applyProtection="0"/>
    <xf numFmtId="0" fontId="39" fillId="0" borderId="6" applyNumberFormat="0" applyFill="0" applyAlignment="0" applyProtection="0"/>
    <xf numFmtId="0" fontId="40" fillId="0" borderId="7" applyNumberFormat="0" applyFill="0" applyAlignment="0" applyProtection="0"/>
    <xf numFmtId="0" fontId="40" fillId="0" borderId="0" applyNumberFormat="0" applyFill="0" applyBorder="0" applyAlignment="0" applyProtection="0"/>
    <xf numFmtId="0" fontId="41" fillId="16" borderId="0" applyNumberFormat="0" applyBorder="0" applyAlignment="0" applyProtection="0"/>
    <xf numFmtId="0" fontId="42" fillId="17" borderId="0" applyNumberFormat="0" applyBorder="0" applyAlignment="0" applyProtection="0"/>
    <xf numFmtId="0" fontId="43" fillId="18" borderId="0" applyNumberFormat="0" applyBorder="0" applyAlignment="0" applyProtection="0"/>
    <xf numFmtId="0" fontId="44" fillId="2" borderId="1" applyNumberFormat="0" applyAlignment="0" applyProtection="0"/>
    <xf numFmtId="0" fontId="45" fillId="3" borderId="8" applyNumberFormat="0" applyAlignment="0" applyProtection="0"/>
    <xf numFmtId="0" fontId="46" fillId="3" borderId="1" applyNumberFormat="0" applyAlignment="0" applyProtection="0"/>
    <xf numFmtId="0" fontId="47" fillId="0" borderId="9" applyNumberFormat="0" applyFill="0" applyAlignment="0" applyProtection="0"/>
    <xf numFmtId="0" fontId="48" fillId="19" borderId="10" applyNumberFormat="0" applyAlignment="0" applyProtection="0"/>
    <xf numFmtId="0" fontId="49" fillId="0" borderId="0" applyNumberFormat="0" applyFill="0" applyBorder="0" applyAlignment="0" applyProtection="0"/>
    <xf numFmtId="0" fontId="37" fillId="4" borderId="2" applyNumberFormat="0" applyFont="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52" fillId="4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36" fillId="0" borderId="0"/>
    <xf numFmtId="0" fontId="12" fillId="0" borderId="0"/>
    <xf numFmtId="0" fontId="12" fillId="0" borderId="0"/>
    <xf numFmtId="0" fontId="12" fillId="0" borderId="0"/>
    <xf numFmtId="0" fontId="1" fillId="21" borderId="0" applyNumberFormat="0" applyBorder="0" applyAlignment="0" applyProtection="0"/>
    <xf numFmtId="0" fontId="1" fillId="22" borderId="0" applyNumberFormat="0" applyBorder="0" applyAlignment="0" applyProtection="0"/>
    <xf numFmtId="0" fontId="7" fillId="28" borderId="0" applyNumberFormat="0" applyBorder="0" applyAlignment="0" applyProtection="0"/>
    <xf numFmtId="0" fontId="22" fillId="0" borderId="7" applyNumberFormat="0" applyFill="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43" fontId="12"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2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2" fillId="0" borderId="0"/>
    <xf numFmtId="0" fontId="1" fillId="41" borderId="0" applyNumberFormat="0" applyBorder="0" applyAlignment="0" applyProtection="0"/>
    <xf numFmtId="0" fontId="1" fillId="42" borderId="0" applyNumberFormat="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 fillId="43" borderId="0" applyNumberFormat="0" applyBorder="0" applyAlignment="0" applyProtection="0"/>
    <xf numFmtId="0" fontId="7" fillId="35" borderId="0" applyNumberFormat="0" applyBorder="0" applyAlignment="0" applyProtection="0"/>
    <xf numFmtId="0" fontId="12" fillId="0" borderId="0"/>
    <xf numFmtId="0" fontId="26" fillId="3" borderId="8" applyNumberFormat="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20" borderId="0" applyNumberFormat="0" applyBorder="0" applyAlignment="0" applyProtection="0"/>
    <xf numFmtId="0" fontId="20" fillId="0" borderId="5" applyNumberFormat="0" applyFill="0" applyAlignment="0" applyProtection="0"/>
    <xf numFmtId="0" fontId="27" fillId="0" borderId="9" applyNumberFormat="0" applyFill="0" applyAlignment="0" applyProtection="0"/>
    <xf numFmtId="0" fontId="5" fillId="0" borderId="0" applyNumberFormat="0" applyFill="0" applyBorder="0" applyAlignment="0" applyProtection="0"/>
    <xf numFmtId="0" fontId="21" fillId="0" borderId="6" applyNumberFormat="0" applyFill="0" applyAlignment="0" applyProtection="0"/>
    <xf numFmtId="0" fontId="12" fillId="0" borderId="0"/>
    <xf numFmtId="0" fontId="13" fillId="0" borderId="0"/>
    <xf numFmtId="0" fontId="12" fillId="0" borderId="0"/>
    <xf numFmtId="9" fontId="37" fillId="0" borderId="0" applyFont="0" applyFill="0" applyBorder="0" applyAlignment="0" applyProtection="0"/>
    <xf numFmtId="0" fontId="12" fillId="0" borderId="0"/>
    <xf numFmtId="0" fontId="7" fillId="36" borderId="0" applyNumberFormat="0" applyBorder="0" applyAlignment="0" applyProtection="0"/>
    <xf numFmtId="0" fontId="7" fillId="40" borderId="0" applyNumberFormat="0" applyBorder="0" applyAlignment="0" applyProtection="0"/>
    <xf numFmtId="44" fontId="1" fillId="0" borderId="0" applyFont="0" applyFill="0" applyBorder="0" applyAlignment="0" applyProtection="0"/>
    <xf numFmtId="0" fontId="7" fillId="23" borderId="0" applyNumberFormat="0" applyBorder="0" applyAlignment="0" applyProtection="0"/>
    <xf numFmtId="0" fontId="7" fillId="39" borderId="0" applyNumberFormat="0" applyBorder="0" applyAlignment="0" applyProtection="0"/>
    <xf numFmtId="0" fontId="12" fillId="0" borderId="0"/>
    <xf numFmtId="0" fontId="7" fillId="24" borderId="0" applyNumberFormat="0" applyBorder="0" applyAlignment="0" applyProtection="0"/>
    <xf numFmtId="0" fontId="12" fillId="0" borderId="0"/>
    <xf numFmtId="0" fontId="12" fillId="0" borderId="0"/>
    <xf numFmtId="0" fontId="7" fillId="32" borderId="0" applyNumberFormat="0" applyBorder="0" applyAlignment="0" applyProtection="0"/>
    <xf numFmtId="0" fontId="4" fillId="0" borderId="11" applyNumberFormat="0" applyFill="0" applyAlignment="0" applyProtection="0"/>
    <xf numFmtId="0" fontId="37" fillId="0" borderId="0"/>
    <xf numFmtId="0" fontId="7" fillId="31" borderId="0" applyNumberFormat="0" applyBorder="0" applyAlignment="0" applyProtection="0"/>
    <xf numFmtId="0" fontId="12" fillId="0" borderId="0"/>
    <xf numFmtId="0" fontId="23" fillId="16" borderId="0" applyNumberFormat="0" applyBorder="0" applyAlignment="0" applyProtection="0"/>
    <xf numFmtId="0" fontId="12" fillId="0" borderId="0"/>
    <xf numFmtId="0" fontId="25" fillId="18" borderId="0" applyNumberFormat="0" applyBorder="0" applyAlignment="0" applyProtection="0"/>
    <xf numFmtId="0" fontId="1" fillId="0" borderId="0"/>
    <xf numFmtId="0" fontId="1" fillId="0" borderId="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24" fillId="17" borderId="0" applyNumberFormat="0" applyBorder="0" applyAlignment="0" applyProtection="0"/>
    <xf numFmtId="0" fontId="12" fillId="0" borderId="0"/>
    <xf numFmtId="0" fontId="28" fillId="19" borderId="10" applyNumberFormat="0" applyAlignment="0" applyProtection="0"/>
    <xf numFmtId="0" fontId="12" fillId="0" borderId="0"/>
    <xf numFmtId="0" fontId="12"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3" fillId="3" borderId="1" applyNumberFormat="0" applyAlignment="0" applyProtection="0"/>
    <xf numFmtId="0" fontId="2" fillId="2" borderId="1" applyNumberFormat="0" applyAlignment="0" applyProtection="0"/>
    <xf numFmtId="0" fontId="12" fillId="0" borderId="0"/>
    <xf numFmtId="43" fontId="13" fillId="0" borderId="0" applyFont="0" applyFill="0" applyBorder="0" applyAlignment="0" applyProtection="0"/>
    <xf numFmtId="0" fontId="29" fillId="0" borderId="0" applyNumberForma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24" fillId="17" borderId="0" applyNumberFormat="0" applyBorder="0" applyAlignment="0" applyProtection="0"/>
    <xf numFmtId="0" fontId="3" fillId="3" borderId="1" applyNumberFormat="0" applyAlignment="0" applyProtection="0"/>
    <xf numFmtId="0" fontId="28" fillId="19" borderId="10" applyNumberFormat="0" applyAlignment="0" applyProtection="0"/>
    <xf numFmtId="43" fontId="35" fillId="0" borderId="0" applyFon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23" fillId="16" borderId="0" applyNumberFormat="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 fillId="2" borderId="1" applyNumberFormat="0" applyAlignment="0" applyProtection="0"/>
    <xf numFmtId="0" fontId="27" fillId="0" borderId="9" applyNumberFormat="0" applyFill="0" applyAlignment="0" applyProtection="0"/>
    <xf numFmtId="0" fontId="25" fillId="18" borderId="0" applyNumberFormat="0" applyBorder="0" applyAlignment="0" applyProtection="0"/>
    <xf numFmtId="0" fontId="26" fillId="3" borderId="8" applyNumberFormat="0" applyAlignment="0" applyProtection="0"/>
    <xf numFmtId="9" fontId="35" fillId="0" borderId="0" applyFont="0" applyFill="0" applyBorder="0" applyAlignment="0" applyProtection="0"/>
    <xf numFmtId="0" fontId="4" fillId="0" borderId="11" applyNumberFormat="0" applyFill="0" applyAlignment="0" applyProtection="0"/>
    <xf numFmtId="0" fontId="5" fillId="0" borderId="0" applyNumberForma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37"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37"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7"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7"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37"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37"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37"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37"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37"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6" fontId="16" fillId="0" borderId="0" applyFont="0" applyFill="0" applyBorder="0" applyAlignment="0" applyProtection="0"/>
    <xf numFmtId="6" fontId="1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6" fontId="16" fillId="0" borderId="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6" fillId="0" borderId="0"/>
    <xf numFmtId="0" fontId="16" fillId="0" borderId="0"/>
    <xf numFmtId="0" fontId="16"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 fillId="4" borderId="2"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 fillId="4" borderId="2"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9" fontId="12" fillId="0" borderId="0" applyFont="0" applyFill="0" applyBorder="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7" fillId="0" borderId="0"/>
    <xf numFmtId="43" fontId="13"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44" fontId="1"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70" fillId="0" borderId="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4" borderId="2" applyNumberFormat="0" applyFont="0" applyAlignment="0" applyProtection="0"/>
    <xf numFmtId="0" fontId="1" fillId="4" borderId="2" applyNumberFormat="0" applyFont="0" applyAlignment="0" applyProtection="0"/>
    <xf numFmtId="9"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5" fillId="0" borderId="0"/>
  </cellStyleXfs>
  <cellXfs count="307">
    <xf numFmtId="0" fontId="0" fillId="0" borderId="0" xfId="0"/>
    <xf numFmtId="0" fontId="7" fillId="0" borderId="0" xfId="0" applyFont="1"/>
    <xf numFmtId="0" fontId="6" fillId="0" borderId="0" xfId="0" applyFont="1"/>
    <xf numFmtId="0" fontId="10" fillId="0" borderId="0" xfId="0" applyFont="1"/>
    <xf numFmtId="0" fontId="11" fillId="0" borderId="0" xfId="0" applyFont="1"/>
    <xf numFmtId="0" fontId="6" fillId="8" borderId="0" xfId="0" applyFont="1" applyFill="1" applyProtection="1">
      <protection locked="0"/>
    </xf>
    <xf numFmtId="0" fontId="6" fillId="8" borderId="0" xfId="0" applyFont="1" applyFill="1" applyAlignment="1" applyProtection="1">
      <alignment horizontal="left" indent="1"/>
      <protection locked="0"/>
    </xf>
    <xf numFmtId="164" fontId="6" fillId="0" borderId="3" xfId="2" applyNumberFormat="1" applyFont="1" applyFill="1" applyBorder="1" applyProtection="1"/>
    <xf numFmtId="164" fontId="6" fillId="5" borderId="3" xfId="2" applyNumberFormat="1" applyFont="1" applyFill="1" applyBorder="1" applyProtection="1"/>
    <xf numFmtId="0" fontId="18" fillId="8" borderId="0" xfId="0" applyFont="1" applyFill="1" applyProtection="1">
      <protection locked="0"/>
    </xf>
    <xf numFmtId="17" fontId="4" fillId="12" borderId="4" xfId="0" applyNumberFormat="1" applyFont="1" applyFill="1" applyBorder="1" applyAlignment="1">
      <alignment horizontal="center"/>
    </xf>
    <xf numFmtId="0" fontId="18" fillId="6" borderId="0" xfId="0" applyFont="1" applyFill="1" applyProtection="1">
      <protection locked="0"/>
    </xf>
    <xf numFmtId="164" fontId="6" fillId="6" borderId="3" xfId="2" applyNumberFormat="1" applyFont="1" applyFill="1" applyBorder="1" applyProtection="1"/>
    <xf numFmtId="164" fontId="11" fillId="6" borderId="3" xfId="2" applyNumberFormat="1" applyFont="1" applyFill="1" applyBorder="1" applyProtection="1"/>
    <xf numFmtId="164" fontId="6" fillId="12" borderId="3" xfId="2" applyNumberFormat="1" applyFont="1" applyFill="1" applyBorder="1" applyProtection="1"/>
    <xf numFmtId="0" fontId="6" fillId="9" borderId="0" xfId="0" applyFont="1" applyFill="1"/>
    <xf numFmtId="0" fontId="6" fillId="9" borderId="0" xfId="0" applyFont="1" applyFill="1" applyProtection="1">
      <protection locked="0"/>
    </xf>
    <xf numFmtId="0" fontId="6" fillId="9" borderId="0" xfId="0" applyFont="1" applyFill="1" applyAlignment="1" applyProtection="1">
      <alignment horizontal="left" indent="1"/>
      <protection locked="0"/>
    </xf>
    <xf numFmtId="0" fontId="18" fillId="9" borderId="0" xfId="0" applyFont="1" applyFill="1" applyProtection="1">
      <protection locked="0"/>
    </xf>
    <xf numFmtId="164" fontId="6" fillId="12" borderId="3" xfId="1" applyNumberFormat="1" applyFont="1" applyFill="1" applyBorder="1" applyProtection="1"/>
    <xf numFmtId="164" fontId="6" fillId="14" borderId="3" xfId="2" applyNumberFormat="1" applyFont="1" applyFill="1" applyBorder="1" applyProtection="1"/>
    <xf numFmtId="164" fontId="6" fillId="15" borderId="3" xfId="1" applyNumberFormat="1" applyFont="1" applyFill="1" applyBorder="1" applyProtection="1"/>
    <xf numFmtId="164" fontId="6" fillId="15" borderId="3" xfId="2" applyNumberFormat="1" applyFont="1" applyFill="1" applyBorder="1" applyProtection="1"/>
    <xf numFmtId="165" fontId="6" fillId="15" borderId="3" xfId="6" applyNumberFormat="1" applyFont="1" applyFill="1" applyBorder="1" applyProtection="1">
      <protection locked="0"/>
    </xf>
    <xf numFmtId="0" fontId="6" fillId="44" borderId="0" xfId="0" applyFont="1" applyFill="1" applyProtection="1">
      <protection locked="0"/>
    </xf>
    <xf numFmtId="0" fontId="34" fillId="0" borderId="0" xfId="0" applyFont="1"/>
    <xf numFmtId="0" fontId="18" fillId="44" borderId="0" xfId="0" applyFont="1" applyFill="1" applyProtection="1">
      <protection locked="0"/>
    </xf>
    <xf numFmtId="0" fontId="33" fillId="0" borderId="0" xfId="0" applyFont="1"/>
    <xf numFmtId="0" fontId="6" fillId="44" borderId="0" xfId="0" applyFont="1" applyFill="1" applyAlignment="1" applyProtection="1">
      <alignment horizontal="left" indent="1"/>
      <protection locked="0"/>
    </xf>
    <xf numFmtId="17" fontId="4" fillId="0" borderId="0" xfId="0" applyNumberFormat="1" applyFont="1" applyAlignment="1">
      <alignment horizontal="center"/>
    </xf>
    <xf numFmtId="0" fontId="6" fillId="44" borderId="0" xfId="0" applyFont="1" applyFill="1"/>
    <xf numFmtId="0" fontId="4" fillId="44" borderId="0" xfId="0" applyFont="1" applyFill="1"/>
    <xf numFmtId="17" fontId="4" fillId="44" borderId="0" xfId="0" applyNumberFormat="1" applyFont="1" applyFill="1" applyAlignment="1">
      <alignment horizontal="center"/>
    </xf>
    <xf numFmtId="0" fontId="4" fillId="0" borderId="0" xfId="0" applyFont="1"/>
    <xf numFmtId="166" fontId="4" fillId="0" borderId="12" xfId="4" applyNumberFormat="1" applyFont="1" applyBorder="1"/>
    <xf numFmtId="0" fontId="4" fillId="0" borderId="0" xfId="21150" applyFont="1"/>
    <xf numFmtId="0" fontId="33" fillId="0" borderId="0" xfId="21150" applyFont="1"/>
    <xf numFmtId="0" fontId="0" fillId="44" borderId="0" xfId="0" applyFill="1"/>
    <xf numFmtId="0" fontId="0" fillId="0" borderId="0" xfId="21150" applyFont="1"/>
    <xf numFmtId="164" fontId="0" fillId="0" borderId="0" xfId="0" applyNumberFormat="1"/>
    <xf numFmtId="0" fontId="7" fillId="6" borderId="0" xfId="0" applyFont="1" applyFill="1" applyAlignment="1">
      <alignment horizontal="center" vertical="center" textRotation="90"/>
    </xf>
    <xf numFmtId="44" fontId="0" fillId="15" borderId="0" xfId="644" applyNumberFormat="1" applyFont="1" applyFill="1"/>
    <xf numFmtId="43" fontId="0" fillId="15" borderId="0" xfId="4" applyFont="1" applyFill="1"/>
    <xf numFmtId="166" fontId="0" fillId="15" borderId="0" xfId="4" applyNumberFormat="1" applyFont="1" applyFill="1"/>
    <xf numFmtId="44" fontId="4" fillId="0" borderId="12" xfId="37697" applyFont="1" applyBorder="1"/>
    <xf numFmtId="44" fontId="0" fillId="0" borderId="0" xfId="37697" applyFont="1"/>
    <xf numFmtId="0" fontId="71" fillId="0" borderId="0" xfId="0" applyFont="1"/>
    <xf numFmtId="0" fontId="5" fillId="0" borderId="0" xfId="0" applyFont="1"/>
    <xf numFmtId="0" fontId="73" fillId="0" borderId="0" xfId="0" applyFont="1"/>
    <xf numFmtId="0" fontId="74" fillId="0" borderId="0" xfId="0" applyFont="1" applyAlignment="1">
      <alignment horizontal="center"/>
    </xf>
    <xf numFmtId="43" fontId="0" fillId="0" borderId="0" xfId="4" applyFont="1"/>
    <xf numFmtId="8" fontId="0" fillId="15" borderId="0" xfId="644" applyNumberFormat="1" applyFont="1" applyFill="1"/>
    <xf numFmtId="0" fontId="6" fillId="71" borderId="0" xfId="0" applyFont="1" applyFill="1" applyProtection="1">
      <protection locked="0"/>
    </xf>
    <xf numFmtId="0" fontId="6" fillId="71" borderId="0" xfId="0" applyFont="1" applyFill="1" applyAlignment="1" applyProtection="1">
      <alignment horizontal="left" indent="1"/>
      <protection locked="0"/>
    </xf>
    <xf numFmtId="0" fontId="18" fillId="71" borderId="0" xfId="0" applyFont="1" applyFill="1" applyProtection="1">
      <protection locked="0"/>
    </xf>
    <xf numFmtId="0" fontId="74" fillId="0" borderId="0" xfId="0" applyFont="1"/>
    <xf numFmtId="44" fontId="0" fillId="0" borderId="0" xfId="0" applyNumberFormat="1"/>
    <xf numFmtId="0" fontId="72" fillId="0" borderId="0" xfId="0" applyFont="1" applyAlignment="1">
      <alignment horizontal="left"/>
    </xf>
    <xf numFmtId="0" fontId="0" fillId="0" borderId="0" xfId="0" applyAlignment="1">
      <alignment horizontal="right"/>
    </xf>
    <xf numFmtId="10" fontId="0" fillId="0" borderId="0" xfId="0" applyNumberFormat="1"/>
    <xf numFmtId="164" fontId="6" fillId="0" borderId="3" xfId="1" applyNumberFormat="1" applyFont="1" applyFill="1" applyBorder="1" applyProtection="1"/>
    <xf numFmtId="165" fontId="6" fillId="0" borderId="3" xfId="6" applyNumberFormat="1" applyFont="1" applyFill="1" applyBorder="1" applyProtection="1">
      <protection locked="0"/>
    </xf>
    <xf numFmtId="167" fontId="0" fillId="72" borderId="0" xfId="0" applyNumberFormat="1" applyFill="1"/>
    <xf numFmtId="43" fontId="1" fillId="14" borderId="0" xfId="4" applyFont="1" applyFill="1"/>
    <xf numFmtId="43" fontId="73" fillId="0" borderId="0" xfId="4" applyFont="1"/>
    <xf numFmtId="43" fontId="73" fillId="6" borderId="0" xfId="4" applyFont="1" applyFill="1"/>
    <xf numFmtId="9" fontId="0" fillId="0" borderId="0" xfId="6" applyFont="1"/>
    <xf numFmtId="164" fontId="11" fillId="0" borderId="3" xfId="2" applyNumberFormat="1" applyFont="1" applyFill="1" applyBorder="1" applyProtection="1"/>
    <xf numFmtId="164" fontId="6" fillId="73" borderId="3" xfId="2" applyNumberFormat="1" applyFont="1" applyFill="1" applyBorder="1" applyProtection="1"/>
    <xf numFmtId="8" fontId="0" fillId="15" borderId="0" xfId="4" applyNumberFormat="1" applyFont="1" applyFill="1"/>
    <xf numFmtId="0" fontId="6" fillId="71" borderId="0" xfId="0" applyFont="1" applyFill="1" applyAlignment="1" applyProtection="1">
      <alignment horizontal="left"/>
      <protection locked="0"/>
    </xf>
    <xf numFmtId="167" fontId="76" fillId="0" borderId="0" xfId="0" applyNumberFormat="1" applyFont="1"/>
    <xf numFmtId="0" fontId="0" fillId="0" borderId="23" xfId="0" applyBorder="1"/>
    <xf numFmtId="0" fontId="0" fillId="0" borderId="24" xfId="0" applyBorder="1"/>
    <xf numFmtId="0" fontId="73" fillId="0" borderId="24" xfId="0" applyFont="1" applyBorder="1"/>
    <xf numFmtId="0" fontId="73" fillId="6" borderId="24" xfId="0" applyFont="1" applyFill="1" applyBorder="1"/>
    <xf numFmtId="0" fontId="73" fillId="6" borderId="25" xfId="0" applyFont="1" applyFill="1" applyBorder="1"/>
    <xf numFmtId="0" fontId="4" fillId="6" borderId="27" xfId="0" applyFont="1" applyFill="1" applyBorder="1" applyAlignment="1">
      <alignment horizontal="center" vertical="center" textRotation="90"/>
    </xf>
    <xf numFmtId="0" fontId="4" fillId="6" borderId="28" xfId="0" applyFont="1" applyFill="1" applyBorder="1" applyAlignment="1">
      <alignment horizontal="center" vertical="center" textRotation="90"/>
    </xf>
    <xf numFmtId="0" fontId="77" fillId="0" borderId="0" xfId="0" applyFont="1"/>
    <xf numFmtId="44" fontId="4" fillId="0" borderId="0" xfId="37697" applyFont="1" applyBorder="1"/>
    <xf numFmtId="166" fontId="76" fillId="0" borderId="0" xfId="4" applyNumberFormat="1" applyFont="1" applyFill="1"/>
    <xf numFmtId="0" fontId="0" fillId="0" borderId="22" xfId="0" applyBorder="1"/>
    <xf numFmtId="43" fontId="0" fillId="0" borderId="0" xfId="0" applyNumberFormat="1"/>
    <xf numFmtId="0" fontId="6" fillId="73" borderId="0" xfId="0" applyFont="1" applyFill="1" applyProtection="1">
      <protection locked="0"/>
    </xf>
    <xf numFmtId="0" fontId="6" fillId="73" borderId="0" xfId="0" applyFont="1" applyFill="1" applyAlignment="1" applyProtection="1">
      <alignment horizontal="left" indent="1"/>
      <protection locked="0"/>
    </xf>
    <xf numFmtId="0" fontId="18" fillId="73" borderId="0" xfId="0" applyFont="1" applyFill="1" applyProtection="1">
      <protection locked="0"/>
    </xf>
    <xf numFmtId="167" fontId="0" fillId="15" borderId="0" xfId="0" applyNumberFormat="1" applyFill="1"/>
    <xf numFmtId="44" fontId="6" fillId="0" borderId="0" xfId="37697" applyFont="1"/>
    <xf numFmtId="44" fontId="5" fillId="0" borderId="0" xfId="37697" applyFont="1"/>
    <xf numFmtId="168" fontId="76" fillId="0" borderId="0" xfId="0" applyNumberFormat="1" applyFont="1"/>
    <xf numFmtId="168" fontId="0" fillId="15" borderId="0" xfId="0" applyNumberFormat="1" applyFill="1"/>
    <xf numFmtId="0" fontId="18" fillId="0" borderId="0" xfId="0" applyFont="1" applyProtection="1">
      <protection locked="0"/>
    </xf>
    <xf numFmtId="2" fontId="4" fillId="0" borderId="0" xfId="0" applyNumberFormat="1" applyFont="1" applyAlignment="1">
      <alignment horizontal="center"/>
    </xf>
    <xf numFmtId="164" fontId="6" fillId="44" borderId="3" xfId="2" applyNumberFormat="1" applyFont="1" applyFill="1" applyBorder="1" applyProtection="1"/>
    <xf numFmtId="164" fontId="6" fillId="44" borderId="3" xfId="1" applyNumberFormat="1" applyFont="1" applyFill="1" applyBorder="1" applyProtection="1"/>
    <xf numFmtId="165" fontId="6" fillId="44" borderId="3" xfId="6" applyNumberFormat="1" applyFont="1" applyFill="1" applyBorder="1" applyProtection="1">
      <protection locked="0"/>
    </xf>
    <xf numFmtId="164" fontId="6" fillId="6" borderId="29" xfId="2" applyNumberFormat="1" applyFont="1" applyFill="1" applyBorder="1" applyProtection="1"/>
    <xf numFmtId="164" fontId="6" fillId="44" borderId="30" xfId="2" applyNumberFormat="1" applyFont="1" applyFill="1" applyBorder="1" applyProtection="1"/>
    <xf numFmtId="164" fontId="6" fillId="6" borderId="0" xfId="2" applyNumberFormat="1" applyFont="1" applyFill="1" applyBorder="1" applyProtection="1"/>
    <xf numFmtId="164" fontId="6" fillId="5" borderId="30" xfId="2" applyNumberFormat="1" applyFont="1" applyFill="1" applyBorder="1" applyProtection="1"/>
    <xf numFmtId="164" fontId="6" fillId="44" borderId="31" xfId="2" applyNumberFormat="1" applyFont="1" applyFill="1" applyBorder="1" applyProtection="1"/>
    <xf numFmtId="17" fontId="5" fillId="0" borderId="0" xfId="0" applyNumberFormat="1" applyFont="1" applyAlignment="1">
      <alignment horizontal="left"/>
    </xf>
    <xf numFmtId="0" fontId="78" fillId="68" borderId="0" xfId="0" applyFont="1" applyFill="1"/>
    <xf numFmtId="43" fontId="78" fillId="68" borderId="0" xfId="4" applyFont="1" applyFill="1"/>
    <xf numFmtId="43" fontId="78" fillId="68" borderId="0" xfId="0" applyNumberFormat="1" applyFont="1" applyFill="1"/>
    <xf numFmtId="43" fontId="4" fillId="0" borderId="0" xfId="4" applyFont="1" applyFill="1"/>
    <xf numFmtId="164" fontId="4" fillId="0" borderId="0" xfId="0" applyNumberFormat="1" applyFont="1" applyAlignment="1">
      <alignment horizontal="center"/>
    </xf>
    <xf numFmtId="164" fontId="6" fillId="0" borderId="3" xfId="6" applyNumberFormat="1" applyFont="1" applyFill="1" applyBorder="1" applyProtection="1">
      <protection locked="0"/>
    </xf>
    <xf numFmtId="38" fontId="0" fillId="15" borderId="0" xfId="4" applyNumberFormat="1" applyFont="1" applyFill="1"/>
    <xf numFmtId="43" fontId="0" fillId="15" borderId="0" xfId="644" applyFont="1" applyFill="1"/>
    <xf numFmtId="44" fontId="0" fillId="15" borderId="0" xfId="4" applyNumberFormat="1" applyFont="1" applyFill="1"/>
    <xf numFmtId="164" fontId="78" fillId="68" borderId="0" xfId="0" applyNumberFormat="1" applyFont="1" applyFill="1"/>
    <xf numFmtId="164" fontId="6" fillId="74" borderId="3" xfId="2" applyNumberFormat="1" applyFont="1" applyFill="1" applyBorder="1" applyProtection="1"/>
    <xf numFmtId="0" fontId="6" fillId="0" borderId="3" xfId="2" applyNumberFormat="1" applyFont="1" applyFill="1" applyBorder="1" applyProtection="1"/>
    <xf numFmtId="169" fontId="6" fillId="0" borderId="3" xfId="2" applyNumberFormat="1" applyFont="1" applyFill="1" applyBorder="1" applyProtection="1"/>
    <xf numFmtId="164" fontId="6" fillId="68" borderId="3" xfId="2" applyNumberFormat="1" applyFont="1" applyFill="1" applyBorder="1" applyProtection="1"/>
    <xf numFmtId="164" fontId="11" fillId="68" borderId="3" xfId="2" applyNumberFormat="1" applyFont="1" applyFill="1" applyBorder="1" applyProtection="1"/>
    <xf numFmtId="164" fontId="6" fillId="76" borderId="3" xfId="1" applyNumberFormat="1" applyFont="1" applyFill="1" applyBorder="1" applyProtection="1"/>
    <xf numFmtId="167" fontId="76" fillId="15" borderId="0" xfId="0" applyNumberFormat="1" applyFont="1" applyFill="1"/>
    <xf numFmtId="168" fontId="76" fillId="15" borderId="0" xfId="0" applyNumberFormat="1" applyFont="1" applyFill="1"/>
    <xf numFmtId="170" fontId="0" fillId="0" borderId="0" xfId="0" applyNumberFormat="1"/>
    <xf numFmtId="43" fontId="0" fillId="0" borderId="0" xfId="4" applyFont="1" applyFill="1"/>
    <xf numFmtId="0" fontId="7" fillId="70" borderId="0" xfId="0" applyFont="1" applyFill="1" applyAlignment="1">
      <alignment horizontal="center" vertical="center" textRotation="90"/>
    </xf>
    <xf numFmtId="164" fontId="6" fillId="0" borderId="0" xfId="2" applyNumberFormat="1" applyFont="1" applyFill="1" applyBorder="1" applyProtection="1"/>
    <xf numFmtId="164" fontId="6" fillId="0" borderId="29" xfId="2" applyNumberFormat="1" applyFont="1" applyFill="1" applyBorder="1" applyProtection="1"/>
    <xf numFmtId="164" fontId="6" fillId="76" borderId="3" xfId="2" applyNumberFormat="1" applyFont="1" applyFill="1" applyBorder="1" applyProtection="1"/>
    <xf numFmtId="44" fontId="79" fillId="73" borderId="35" xfId="0" applyNumberFormat="1" applyFont="1" applyFill="1" applyBorder="1" applyProtection="1">
      <protection locked="0"/>
    </xf>
    <xf numFmtId="164" fontId="6" fillId="6" borderId="36" xfId="2" applyNumberFormat="1" applyFont="1" applyFill="1" applyBorder="1" applyProtection="1"/>
    <xf numFmtId="164" fontId="6" fillId="0" borderId="36" xfId="2" applyNumberFormat="1" applyFont="1" applyFill="1" applyBorder="1" applyProtection="1"/>
    <xf numFmtId="164" fontId="6" fillId="12" borderId="36" xfId="1" applyNumberFormat="1" applyFont="1" applyFill="1" applyBorder="1" applyProtection="1"/>
    <xf numFmtId="164" fontId="6" fillId="12" borderId="36" xfId="2" applyNumberFormat="1" applyFont="1" applyFill="1" applyBorder="1" applyProtection="1"/>
    <xf numFmtId="164" fontId="6" fillId="14" borderId="36" xfId="2" applyNumberFormat="1" applyFont="1" applyFill="1" applyBorder="1" applyProtection="1"/>
    <xf numFmtId="164" fontId="6" fillId="0" borderId="0" xfId="1" applyNumberFormat="1" applyFont="1" applyFill="1" applyBorder="1" applyProtection="1"/>
    <xf numFmtId="165" fontId="6" fillId="0" borderId="0" xfId="6" applyNumberFormat="1" applyFont="1" applyFill="1" applyBorder="1" applyProtection="1">
      <protection locked="0"/>
    </xf>
    <xf numFmtId="0" fontId="78" fillId="0" borderId="0" xfId="0" applyFont="1"/>
    <xf numFmtId="43" fontId="78" fillId="0" borderId="0" xfId="4" applyFont="1" applyFill="1" applyBorder="1"/>
    <xf numFmtId="44" fontId="79" fillId="0" borderId="0" xfId="0" applyNumberFormat="1"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17" fontId="4" fillId="12" borderId="26" xfId="0" applyNumberFormat="1" applyFont="1" applyFill="1" applyBorder="1" applyAlignment="1">
      <alignment horizontal="center"/>
    </xf>
    <xf numFmtId="17" fontId="4" fillId="12" borderId="37" xfId="0" applyNumberFormat="1" applyFont="1" applyFill="1" applyBorder="1" applyAlignment="1">
      <alignment horizontal="center"/>
    </xf>
    <xf numFmtId="164" fontId="6" fillId="6" borderId="38" xfId="2" applyNumberFormat="1" applyFont="1" applyFill="1" applyBorder="1" applyProtection="1"/>
    <xf numFmtId="164" fontId="6" fillId="6" borderId="31" xfId="2" applyNumberFormat="1" applyFont="1" applyFill="1" applyBorder="1" applyProtection="1"/>
    <xf numFmtId="164" fontId="6" fillId="6" borderId="39" xfId="2" applyNumberFormat="1" applyFont="1" applyFill="1" applyBorder="1" applyProtection="1"/>
    <xf numFmtId="0" fontId="7" fillId="0" borderId="0" xfId="0" applyFont="1" applyAlignment="1">
      <alignment vertical="center" textRotation="90"/>
    </xf>
    <xf numFmtId="164" fontId="6" fillId="6" borderId="30" xfId="2" applyNumberFormat="1" applyFont="1" applyFill="1" applyBorder="1" applyProtection="1"/>
    <xf numFmtId="0" fontId="7" fillId="0" borderId="0" xfId="0" applyFont="1" applyAlignment="1">
      <alignment horizontal="center" vertical="center" textRotation="90"/>
    </xf>
    <xf numFmtId="164" fontId="6" fillId="0" borderId="0" xfId="6" applyNumberFormat="1" applyFont="1" applyFill="1" applyBorder="1" applyProtection="1">
      <protection locked="0"/>
    </xf>
    <xf numFmtId="0" fontId="0" fillId="67" borderId="0" xfId="0" applyFill="1"/>
    <xf numFmtId="0" fontId="11" fillId="67" borderId="0" xfId="0" applyFont="1" applyFill="1"/>
    <xf numFmtId="0" fontId="6" fillId="67" borderId="0" xfId="0" applyFont="1" applyFill="1"/>
    <xf numFmtId="44" fontId="1" fillId="74" borderId="0" xfId="37697" applyFont="1" applyFill="1" applyBorder="1" applyAlignment="1" applyProtection="1">
      <alignment horizontal="center"/>
    </xf>
    <xf numFmtId="44" fontId="1" fillId="0" borderId="0" xfId="37697" applyFont="1" applyFill="1" applyBorder="1" applyAlignment="1" applyProtection="1">
      <alignment horizontal="center"/>
    </xf>
    <xf numFmtId="44" fontId="6" fillId="0" borderId="0" xfId="37697" applyFont="1" applyFill="1" applyBorder="1" applyProtection="1">
      <protection locked="0"/>
    </xf>
    <xf numFmtId="164" fontId="0" fillId="0" borderId="0" xfId="4" applyNumberFormat="1" applyFont="1"/>
    <xf numFmtId="0" fontId="5" fillId="12" borderId="0" xfId="0" applyFont="1" applyFill="1"/>
    <xf numFmtId="17" fontId="74" fillId="12" borderId="0" xfId="0" applyNumberFormat="1" applyFont="1" applyFill="1" applyAlignment="1">
      <alignment horizontal="center"/>
    </xf>
    <xf numFmtId="164" fontId="5" fillId="12" borderId="0" xfId="1" applyNumberFormat="1" applyFont="1" applyFill="1" applyBorder="1" applyProtection="1"/>
    <xf numFmtId="164" fontId="5" fillId="12" borderId="0" xfId="2" applyNumberFormat="1" applyFont="1" applyFill="1" applyBorder="1" applyProtection="1"/>
    <xf numFmtId="165" fontId="5" fillId="12" borderId="0" xfId="6" applyNumberFormat="1" applyFont="1" applyFill="1" applyBorder="1" applyProtection="1">
      <protection locked="0"/>
    </xf>
    <xf numFmtId="0" fontId="0" fillId="12" borderId="0" xfId="0" applyFill="1"/>
    <xf numFmtId="0" fontId="10" fillId="12" borderId="0" xfId="0" applyFont="1" applyFill="1"/>
    <xf numFmtId="0" fontId="11" fillId="12" borderId="0" xfId="0" applyFont="1" applyFill="1"/>
    <xf numFmtId="0" fontId="7" fillId="12" borderId="0" xfId="0" applyFont="1" applyFill="1"/>
    <xf numFmtId="164" fontId="0" fillId="68" borderId="40" xfId="0" applyNumberFormat="1" applyFill="1" applyBorder="1"/>
    <xf numFmtId="44" fontId="10" fillId="0" borderId="0" xfId="37697" applyFont="1" applyFill="1"/>
    <xf numFmtId="164" fontId="10" fillId="68" borderId="0" xfId="0" applyNumberFormat="1" applyFont="1" applyFill="1"/>
    <xf numFmtId="0" fontId="4" fillId="68" borderId="0" xfId="0" applyFont="1" applyFill="1"/>
    <xf numFmtId="164" fontId="6" fillId="77" borderId="3" xfId="1" applyNumberFormat="1" applyFont="1" applyFill="1" applyBorder="1" applyProtection="1"/>
    <xf numFmtId="44" fontId="0" fillId="0" borderId="40" xfId="0" applyNumberFormat="1" applyBorder="1"/>
    <xf numFmtId="44" fontId="0" fillId="0" borderId="0" xfId="37697" applyFont="1" applyBorder="1"/>
    <xf numFmtId="44" fontId="0" fillId="0" borderId="40" xfId="37697" applyFont="1" applyBorder="1"/>
    <xf numFmtId="10" fontId="0" fillId="0" borderId="40" xfId="0" applyNumberFormat="1" applyBorder="1"/>
    <xf numFmtId="10" fontId="0" fillId="0" borderId="41" xfId="0" applyNumberFormat="1" applyBorder="1"/>
    <xf numFmtId="44" fontId="4" fillId="0" borderId="0" xfId="37697" applyFont="1" applyFill="1" applyBorder="1" applyAlignment="1" applyProtection="1">
      <alignment horizontal="center"/>
    </xf>
    <xf numFmtId="44" fontId="0" fillId="0" borderId="0" xfId="37697" applyFont="1" applyFill="1"/>
    <xf numFmtId="44" fontId="0" fillId="0" borderId="40" xfId="37697" applyFont="1" applyFill="1" applyBorder="1"/>
    <xf numFmtId="44" fontId="0" fillId="0" borderId="0" xfId="37697" applyFont="1" applyFill="1" applyBorder="1"/>
    <xf numFmtId="10" fontId="0" fillId="0" borderId="0" xfId="6" applyNumberFormat="1" applyFont="1" applyFill="1"/>
    <xf numFmtId="164" fontId="6" fillId="78" borderId="3" xfId="1" applyNumberFormat="1" applyFont="1" applyFill="1" applyBorder="1" applyProtection="1"/>
    <xf numFmtId="44" fontId="18" fillId="0" borderId="0" xfId="37697" applyFont="1" applyFill="1" applyBorder="1" applyProtection="1">
      <protection locked="0"/>
    </xf>
    <xf numFmtId="165" fontId="18" fillId="0" borderId="0" xfId="6" applyNumberFormat="1" applyFont="1" applyFill="1" applyBorder="1" applyProtection="1">
      <protection locked="0"/>
    </xf>
    <xf numFmtId="0" fontId="7" fillId="67" borderId="0" xfId="0" applyFont="1" applyFill="1"/>
    <xf numFmtId="0" fontId="0" fillId="76" borderId="0" xfId="0" applyFill="1" applyAlignment="1">
      <alignment horizontal="left"/>
    </xf>
    <xf numFmtId="0" fontId="4" fillId="0" borderId="42" xfId="7" applyFont="1" applyBorder="1"/>
    <xf numFmtId="0" fontId="0" fillId="0" borderId="43" xfId="0" applyBorder="1" applyAlignment="1">
      <alignment horizontal="center"/>
    </xf>
    <xf numFmtId="0" fontId="0" fillId="0" borderId="44" xfId="0" applyBorder="1" applyAlignment="1">
      <alignment horizontal="center"/>
    </xf>
    <xf numFmtId="0" fontId="1" fillId="76" borderId="45" xfId="7" applyFont="1" applyFill="1" applyBorder="1"/>
    <xf numFmtId="44" fontId="0" fillId="0" borderId="22" xfId="0" applyNumberFormat="1" applyBorder="1"/>
    <xf numFmtId="9" fontId="0" fillId="0" borderId="22" xfId="6" applyFont="1" applyBorder="1" applyAlignment="1">
      <alignment horizontal="center"/>
    </xf>
    <xf numFmtId="44" fontId="0" fillId="0" borderId="34" xfId="0" applyNumberFormat="1" applyBorder="1"/>
    <xf numFmtId="0" fontId="1" fillId="0" borderId="0" xfId="7" applyFont="1"/>
    <xf numFmtId="9" fontId="0" fillId="0" borderId="0" xfId="6" applyFont="1" applyBorder="1" applyAlignment="1">
      <alignment horizontal="center"/>
    </xf>
    <xf numFmtId="0" fontId="0" fillId="69" borderId="0" xfId="0" applyFill="1" applyAlignment="1">
      <alignment horizontal="left"/>
    </xf>
    <xf numFmtId="44" fontId="0" fillId="69" borderId="0" xfId="0" applyNumberFormat="1" applyFill="1"/>
    <xf numFmtId="0" fontId="6" fillId="69" borderId="0" xfId="0" applyFont="1" applyFill="1"/>
    <xf numFmtId="0" fontId="0" fillId="0" borderId="0" xfId="0" applyAlignment="1">
      <alignment vertical="top" wrapText="1"/>
    </xf>
    <xf numFmtId="0" fontId="74" fillId="0" borderId="0" xfId="0" applyFont="1" applyAlignment="1">
      <alignment vertical="top"/>
    </xf>
    <xf numFmtId="44" fontId="0" fillId="74" borderId="0" xfId="37697" applyFont="1" applyFill="1"/>
    <xf numFmtId="44" fontId="0" fillId="15" borderId="4" xfId="37697" applyFont="1" applyFill="1" applyBorder="1"/>
    <xf numFmtId="44" fontId="0" fillId="76" borderId="4" xfId="37697" applyFont="1" applyFill="1" applyBorder="1"/>
    <xf numFmtId="44" fontId="0" fillId="0" borderId="4" xfId="37697" applyFont="1" applyBorder="1"/>
    <xf numFmtId="164" fontId="6" fillId="5" borderId="4" xfId="2" applyNumberFormat="1" applyFont="1" applyFill="1" applyBorder="1" applyProtection="1"/>
    <xf numFmtId="165" fontId="6" fillId="15" borderId="48" xfId="6" applyNumberFormat="1" applyFont="1" applyFill="1" applyBorder="1" applyProtection="1">
      <protection locked="0"/>
    </xf>
    <xf numFmtId="165" fontId="6" fillId="15" borderId="31" xfId="6" applyNumberFormat="1" applyFont="1" applyFill="1" applyBorder="1" applyProtection="1">
      <protection locked="0"/>
    </xf>
    <xf numFmtId="164" fontId="6" fillId="5" borderId="29" xfId="2" applyNumberFormat="1" applyFont="1" applyFill="1" applyBorder="1" applyProtection="1"/>
    <xf numFmtId="164" fontId="11" fillId="0" borderId="0" xfId="0" applyNumberFormat="1" applyFont="1"/>
    <xf numFmtId="44" fontId="0" fillId="74" borderId="0" xfId="0" applyNumberFormat="1" applyFill="1" applyAlignment="1">
      <alignment horizontal="center"/>
    </xf>
    <xf numFmtId="44" fontId="11" fillId="0" borderId="0" xfId="37697" applyFont="1" applyFill="1"/>
    <xf numFmtId="164" fontId="0" fillId="68" borderId="0" xfId="37697" applyNumberFormat="1" applyFont="1" applyFill="1"/>
    <xf numFmtId="44" fontId="0" fillId="76" borderId="0" xfId="37697" applyFont="1" applyFill="1" applyBorder="1" applyAlignment="1" applyProtection="1">
      <alignment horizontal="center"/>
    </xf>
    <xf numFmtId="164" fontId="6" fillId="6" borderId="3" xfId="1" applyNumberFormat="1" applyFont="1" applyFill="1" applyBorder="1" applyProtection="1"/>
    <xf numFmtId="165" fontId="6" fillId="6" borderId="3" xfId="6" applyNumberFormat="1" applyFont="1" applyFill="1" applyBorder="1" applyProtection="1">
      <protection locked="0"/>
    </xf>
    <xf numFmtId="10" fontId="6" fillId="0" borderId="0" xfId="6" applyNumberFormat="1" applyFont="1" applyFill="1"/>
    <xf numFmtId="44" fontId="6" fillId="67" borderId="0" xfId="37697" applyFont="1" applyFill="1"/>
    <xf numFmtId="44" fontId="6" fillId="14" borderId="0" xfId="37697" applyFont="1" applyFill="1"/>
    <xf numFmtId="44" fontId="11" fillId="0" borderId="0" xfId="0" applyNumberFormat="1" applyFont="1"/>
    <xf numFmtId="0" fontId="81" fillId="0" borderId="0" xfId="0" applyFont="1"/>
    <xf numFmtId="0" fontId="80" fillId="0" borderId="0" xfId="0" applyFont="1"/>
    <xf numFmtId="0" fontId="18" fillId="0" borderId="0" xfId="0" applyFont="1"/>
    <xf numFmtId="165" fontId="6" fillId="68" borderId="3" xfId="6" applyNumberFormat="1" applyFont="1" applyFill="1" applyBorder="1" applyProtection="1">
      <protection locked="0"/>
    </xf>
    <xf numFmtId="44" fontId="6" fillId="0" borderId="0" xfId="37697" applyFont="1" applyFill="1"/>
    <xf numFmtId="44" fontId="7" fillId="0" borderId="0" xfId="37697" applyFont="1"/>
    <xf numFmtId="164" fontId="11" fillId="0" borderId="0" xfId="37697" applyNumberFormat="1" applyFont="1" applyFill="1"/>
    <xf numFmtId="164" fontId="6" fillId="0" borderId="0" xfId="37697" applyNumberFormat="1" applyFont="1"/>
    <xf numFmtId="0" fontId="10" fillId="67" borderId="0" xfId="0" applyFont="1" applyFill="1"/>
    <xf numFmtId="0" fontId="6" fillId="5" borderId="3" xfId="2" applyNumberFormat="1" applyFont="1" applyFill="1" applyBorder="1" applyProtection="1"/>
    <xf numFmtId="169" fontId="6" fillId="5" borderId="3" xfId="2" applyNumberFormat="1" applyFont="1" applyFill="1" applyBorder="1" applyProtection="1"/>
    <xf numFmtId="44" fontId="0" fillId="0" borderId="0" xfId="0" applyNumberFormat="1" applyAlignment="1">
      <alignment horizontal="center"/>
    </xf>
    <xf numFmtId="0" fontId="0" fillId="68" borderId="32" xfId="0" applyFill="1" applyBorder="1"/>
    <xf numFmtId="0" fontId="5" fillId="0" borderId="49" xfId="0" applyFont="1" applyBorder="1"/>
    <xf numFmtId="0" fontId="0" fillId="0" borderId="50" xfId="0" applyBorder="1"/>
    <xf numFmtId="0" fontId="0" fillId="0" borderId="33" xfId="0" applyBorder="1"/>
    <xf numFmtId="164" fontId="6" fillId="15" borderId="29" xfId="1" applyNumberFormat="1" applyFont="1" applyFill="1" applyBorder="1" applyProtection="1"/>
    <xf numFmtId="164" fontId="6" fillId="15" borderId="31" xfId="2" applyNumberFormat="1" applyFont="1" applyFill="1" applyBorder="1" applyProtection="1"/>
    <xf numFmtId="164" fontId="74" fillId="68" borderId="32" xfId="1" applyNumberFormat="1" applyFont="1" applyFill="1" applyBorder="1" applyProtection="1"/>
    <xf numFmtId="17" fontId="74" fillId="68" borderId="32" xfId="0" applyNumberFormat="1" applyFont="1" applyFill="1" applyBorder="1" applyAlignment="1">
      <alignment horizontal="center"/>
    </xf>
    <xf numFmtId="17" fontId="4" fillId="12" borderId="52" xfId="0" applyNumberFormat="1" applyFont="1" applyFill="1" applyBorder="1" applyAlignment="1">
      <alignment horizontal="center"/>
    </xf>
    <xf numFmtId="17" fontId="4" fillId="12" borderId="53" xfId="0" applyNumberFormat="1" applyFont="1" applyFill="1" applyBorder="1" applyAlignment="1">
      <alignment horizontal="center"/>
    </xf>
    <xf numFmtId="0" fontId="0" fillId="0" borderId="43" xfId="0" applyBorder="1"/>
    <xf numFmtId="17" fontId="74" fillId="68" borderId="33" xfId="0" applyNumberFormat="1" applyFont="1" applyFill="1" applyBorder="1" applyAlignment="1">
      <alignment horizontal="center"/>
    </xf>
    <xf numFmtId="164" fontId="6" fillId="77" borderId="36" xfId="1" applyNumberFormat="1" applyFont="1" applyFill="1" applyBorder="1" applyProtection="1"/>
    <xf numFmtId="164" fontId="6" fillId="78" borderId="29" xfId="1" applyNumberFormat="1" applyFont="1" applyFill="1" applyBorder="1" applyProtection="1"/>
    <xf numFmtId="164" fontId="6" fillId="78" borderId="36" xfId="1" applyNumberFormat="1" applyFont="1" applyFill="1" applyBorder="1" applyProtection="1"/>
    <xf numFmtId="164" fontId="6" fillId="77" borderId="29" xfId="1" applyNumberFormat="1" applyFont="1" applyFill="1" applyBorder="1" applyProtection="1"/>
    <xf numFmtId="164" fontId="6" fillId="77" borderId="51" xfId="1" applyNumberFormat="1" applyFont="1" applyFill="1" applyBorder="1" applyProtection="1"/>
    <xf numFmtId="17" fontId="4" fillId="12" borderId="41" xfId="0" applyNumberFormat="1" applyFont="1" applyFill="1" applyBorder="1" applyAlignment="1">
      <alignment horizontal="center"/>
    </xf>
    <xf numFmtId="17" fontId="4" fillId="68" borderId="53" xfId="0" applyNumberFormat="1" applyFont="1" applyFill="1" applyBorder="1" applyAlignment="1">
      <alignment horizontal="center"/>
    </xf>
    <xf numFmtId="17" fontId="4" fillId="68" borderId="4" xfId="0" applyNumberFormat="1" applyFont="1" applyFill="1" applyBorder="1" applyAlignment="1">
      <alignment horizontal="center"/>
    </xf>
    <xf numFmtId="164" fontId="6" fillId="68" borderId="3" xfId="1" applyNumberFormat="1" applyFont="1" applyFill="1" applyBorder="1" applyProtection="1"/>
    <xf numFmtId="0" fontId="82" fillId="0" borderId="0" xfId="0" applyFont="1"/>
    <xf numFmtId="170" fontId="0" fillId="0" borderId="42" xfId="0" applyNumberFormat="1" applyBorder="1"/>
    <xf numFmtId="170" fontId="0" fillId="0" borderId="43" xfId="0" applyNumberFormat="1" applyBorder="1"/>
    <xf numFmtId="0" fontId="6" fillId="0" borderId="43" xfId="0" applyFont="1" applyBorder="1"/>
    <xf numFmtId="0" fontId="6" fillId="0" borderId="44" xfId="0" applyFont="1" applyBorder="1"/>
    <xf numFmtId="44" fontId="0" fillId="0" borderId="46" xfId="37697" applyFont="1" applyFill="1" applyBorder="1"/>
    <xf numFmtId="0" fontId="11" fillId="0" borderId="47" xfId="0" applyFont="1" applyBorder="1"/>
    <xf numFmtId="44" fontId="0" fillId="0" borderId="46" xfId="0" applyNumberFormat="1" applyBorder="1"/>
    <xf numFmtId="10" fontId="6" fillId="0" borderId="46" xfId="6" applyNumberFormat="1" applyFont="1" applyFill="1" applyBorder="1"/>
    <xf numFmtId="10" fontId="6" fillId="0" borderId="0" xfId="6" applyNumberFormat="1" applyFont="1" applyFill="1" applyBorder="1"/>
    <xf numFmtId="10" fontId="5" fillId="0" borderId="0" xfId="6" applyNumberFormat="1" applyFont="1" applyFill="1" applyBorder="1"/>
    <xf numFmtId="44" fontId="5" fillId="0" borderId="0" xfId="37697" applyFont="1" applyFill="1" applyBorder="1"/>
    <xf numFmtId="0" fontId="6" fillId="0" borderId="47" xfId="0" applyFont="1" applyBorder="1"/>
    <xf numFmtId="0" fontId="0" fillId="0" borderId="46" xfId="0" applyBorder="1"/>
    <xf numFmtId="0" fontId="0" fillId="0" borderId="45" xfId="0" applyBorder="1"/>
    <xf numFmtId="0" fontId="0" fillId="0" borderId="22" xfId="0" applyBorder="1" applyAlignment="1">
      <alignment horizontal="right"/>
    </xf>
    <xf numFmtId="44" fontId="5" fillId="0" borderId="22" xfId="0" applyNumberFormat="1" applyFont="1" applyBorder="1"/>
    <xf numFmtId="0" fontId="5" fillId="0" borderId="22" xfId="0" applyFont="1" applyBorder="1"/>
    <xf numFmtId="0" fontId="11" fillId="0" borderId="22" xfId="0" applyFont="1" applyBorder="1"/>
    <xf numFmtId="0" fontId="11" fillId="0" borderId="34" xfId="0" applyFont="1" applyBorder="1"/>
    <xf numFmtId="10" fontId="0" fillId="0" borderId="46" xfId="0" applyNumberFormat="1" applyBorder="1"/>
    <xf numFmtId="0" fontId="6" fillId="76" borderId="3" xfId="2" applyNumberFormat="1" applyFont="1" applyFill="1" applyBorder="1" applyProtection="1"/>
    <xf numFmtId="169" fontId="6" fillId="76" borderId="3" xfId="2" applyNumberFormat="1" applyFont="1" applyFill="1" applyBorder="1" applyProtection="1"/>
    <xf numFmtId="165" fontId="6" fillId="76" borderId="3" xfId="6" applyNumberFormat="1" applyFont="1" applyFill="1" applyBorder="1" applyProtection="1">
      <protection locked="0"/>
    </xf>
    <xf numFmtId="0" fontId="80" fillId="15" borderId="0" xfId="21150" applyFont="1" applyFill="1"/>
    <xf numFmtId="44" fontId="0" fillId="15" borderId="0" xfId="37697" applyFont="1" applyFill="1"/>
    <xf numFmtId="0" fontId="80" fillId="79" borderId="0" xfId="21150" applyFont="1" applyFill="1"/>
    <xf numFmtId="0" fontId="0" fillId="79" borderId="0" xfId="0" applyFill="1"/>
    <xf numFmtId="166" fontId="0" fillId="79" borderId="0" xfId="4" applyNumberFormat="1" applyFont="1" applyFill="1"/>
    <xf numFmtId="166" fontId="0" fillId="0" borderId="0" xfId="0" applyNumberFormat="1"/>
    <xf numFmtId="44" fontId="0" fillId="68" borderId="0" xfId="37697" applyFont="1" applyFill="1"/>
    <xf numFmtId="44" fontId="0" fillId="80" borderId="0" xfId="37697" applyFont="1" applyFill="1"/>
    <xf numFmtId="44" fontId="1" fillId="68" borderId="0" xfId="37697" applyFont="1" applyFill="1" applyBorder="1"/>
    <xf numFmtId="44" fontId="1" fillId="80" borderId="0" xfId="37697" applyFont="1" applyFill="1" applyBorder="1"/>
    <xf numFmtId="0" fontId="80" fillId="81" borderId="0" xfId="21150" applyFont="1" applyFill="1"/>
    <xf numFmtId="17" fontId="4" fillId="81" borderId="0" xfId="0" applyNumberFormat="1" applyFont="1" applyFill="1" applyAlignment="1">
      <alignment horizontal="center"/>
    </xf>
    <xf numFmtId="43" fontId="0" fillId="81" borderId="0" xfId="4" applyFont="1" applyFill="1"/>
    <xf numFmtId="44" fontId="4" fillId="81" borderId="0" xfId="37697" applyFont="1" applyFill="1" applyBorder="1"/>
    <xf numFmtId="166" fontId="4" fillId="0" borderId="0" xfId="4" applyNumberFormat="1" applyFont="1" applyBorder="1"/>
    <xf numFmtId="44" fontId="1" fillId="76" borderId="0" xfId="37697" applyFont="1" applyFill="1" applyBorder="1"/>
    <xf numFmtId="44" fontId="0" fillId="76" borderId="0" xfId="37697" applyFont="1" applyFill="1"/>
    <xf numFmtId="0" fontId="7" fillId="13" borderId="0" xfId="0" applyFont="1" applyFill="1" applyAlignment="1">
      <alignment horizontal="center" vertical="center" textRotation="90"/>
    </xf>
    <xf numFmtId="0" fontId="7" fillId="75" borderId="0" xfId="0" applyFont="1" applyFill="1" applyAlignment="1">
      <alignment horizontal="center" vertical="center" textRotation="90"/>
    </xf>
    <xf numFmtId="0" fontId="7" fillId="70" borderId="0" xfId="0" applyFont="1" applyFill="1" applyAlignment="1">
      <alignment horizontal="center" vertical="center" textRotation="90"/>
    </xf>
    <xf numFmtId="0" fontId="7" fillId="7" borderId="0" xfId="0" applyFont="1" applyFill="1" applyAlignment="1">
      <alignment horizontal="center" vertical="center" textRotation="90"/>
    </xf>
    <xf numFmtId="0" fontId="0" fillId="0" borderId="43" xfId="0" applyBorder="1" applyAlignment="1">
      <alignment horizontal="left" vertical="top" wrapText="1"/>
    </xf>
    <xf numFmtId="0" fontId="0" fillId="0" borderId="44" xfId="0" applyBorder="1" applyAlignment="1">
      <alignment horizontal="left" vertical="top" wrapText="1"/>
    </xf>
    <xf numFmtId="0" fontId="0" fillId="0" borderId="0" xfId="0" applyAlignment="1">
      <alignment horizontal="left" vertical="top" wrapText="1"/>
    </xf>
    <xf numFmtId="0" fontId="0" fillId="0" borderId="47" xfId="0" applyBorder="1" applyAlignment="1">
      <alignment horizontal="left" vertical="top" wrapText="1"/>
    </xf>
    <xf numFmtId="0" fontId="0" fillId="0" borderId="22" xfId="0" applyBorder="1" applyAlignment="1">
      <alignment horizontal="left" vertical="top" wrapText="1"/>
    </xf>
    <xf numFmtId="0" fontId="0" fillId="0" borderId="34" xfId="0" applyBorder="1" applyAlignment="1">
      <alignment horizontal="left" vertical="top" wrapText="1"/>
    </xf>
    <xf numFmtId="0" fontId="74" fillId="0" borderId="42" xfId="0" applyFont="1" applyBorder="1" applyAlignment="1">
      <alignment horizontal="right" vertical="top"/>
    </xf>
    <xf numFmtId="0" fontId="74" fillId="0" borderId="46" xfId="0" applyFont="1" applyBorder="1" applyAlignment="1">
      <alignment horizontal="right" vertical="top"/>
    </xf>
    <xf numFmtId="0" fontId="74" fillId="0" borderId="45" xfId="0" applyFont="1" applyBorder="1" applyAlignment="1">
      <alignment horizontal="right" vertical="top"/>
    </xf>
    <xf numFmtId="0" fontId="4" fillId="69" borderId="26" xfId="0" applyFont="1" applyFill="1" applyBorder="1" applyAlignment="1">
      <alignment horizontal="center" vertical="center" textRotation="90"/>
    </xf>
    <xf numFmtId="0" fontId="4" fillId="69" borderId="27" xfId="0" applyFont="1" applyFill="1" applyBorder="1" applyAlignment="1">
      <alignment horizontal="center" vertical="center" textRotation="90"/>
    </xf>
  </cellXfs>
  <cellStyles count="37699">
    <cellStyle name="20% - Accent1" xfId="152" builtinId="30" customBuiltin="1"/>
    <cellStyle name="20% - Accent1 10 2" xfId="674" xr:uid="{00000000-0005-0000-0000-000001000000}"/>
    <cellStyle name="20% - Accent1 10 3" xfId="675" xr:uid="{00000000-0005-0000-0000-000002000000}"/>
    <cellStyle name="20% - Accent1 11 2" xfId="676" xr:uid="{00000000-0005-0000-0000-000003000000}"/>
    <cellStyle name="20% - Accent1 11 3" xfId="677" xr:uid="{00000000-0005-0000-0000-000004000000}"/>
    <cellStyle name="20% - Accent1 12 2" xfId="678" xr:uid="{00000000-0005-0000-0000-000005000000}"/>
    <cellStyle name="20% - Accent1 12 3" xfId="679" xr:uid="{00000000-0005-0000-0000-000006000000}"/>
    <cellStyle name="20% - Accent1 13 2" xfId="680" xr:uid="{00000000-0005-0000-0000-000007000000}"/>
    <cellStyle name="20% - Accent1 13 3" xfId="681" xr:uid="{00000000-0005-0000-0000-000008000000}"/>
    <cellStyle name="20% - Accent1 14 2" xfId="682" xr:uid="{00000000-0005-0000-0000-000009000000}"/>
    <cellStyle name="20% - Accent1 14 3" xfId="683" xr:uid="{00000000-0005-0000-0000-00000A000000}"/>
    <cellStyle name="20% - Accent1 15" xfId="684" xr:uid="{00000000-0005-0000-0000-00000B000000}"/>
    <cellStyle name="20% - Accent1 15 2" xfId="685" xr:uid="{00000000-0005-0000-0000-00000C000000}"/>
    <cellStyle name="20% - Accent1 15 3" xfId="686" xr:uid="{00000000-0005-0000-0000-00000D000000}"/>
    <cellStyle name="20% - Accent1 15 4" xfId="687" xr:uid="{00000000-0005-0000-0000-00000E000000}"/>
    <cellStyle name="20% - Accent1 15 5" xfId="688" xr:uid="{00000000-0005-0000-0000-00000F000000}"/>
    <cellStyle name="20% - Accent1 15 6" xfId="689" xr:uid="{00000000-0005-0000-0000-000010000000}"/>
    <cellStyle name="20% - Accent1 15 7" xfId="690" xr:uid="{00000000-0005-0000-0000-000011000000}"/>
    <cellStyle name="20% - Accent1 16" xfId="691" xr:uid="{00000000-0005-0000-0000-000012000000}"/>
    <cellStyle name="20% - Accent1 17" xfId="692" xr:uid="{00000000-0005-0000-0000-000013000000}"/>
    <cellStyle name="20% - Accent1 18" xfId="693" xr:uid="{00000000-0005-0000-0000-000014000000}"/>
    <cellStyle name="20% - Accent1 19" xfId="694" xr:uid="{00000000-0005-0000-0000-000015000000}"/>
    <cellStyle name="20% - Accent1 2" xfId="186" xr:uid="{00000000-0005-0000-0000-000016000000}"/>
    <cellStyle name="20% - Accent1 2 2" xfId="368" xr:uid="{00000000-0005-0000-0000-000017000000}"/>
    <cellStyle name="20% - Accent1 2 2 2" xfId="560" xr:uid="{00000000-0005-0000-0000-000018000000}"/>
    <cellStyle name="20% - Accent1 2 2 3" xfId="696" xr:uid="{00000000-0005-0000-0000-000019000000}"/>
    <cellStyle name="20% - Accent1 2 3" xfId="471" xr:uid="{00000000-0005-0000-0000-00001A000000}"/>
    <cellStyle name="20% - Accent1 2 3 2" xfId="697" xr:uid="{00000000-0005-0000-0000-00001B000000}"/>
    <cellStyle name="20% - Accent1 2 4" xfId="695" xr:uid="{00000000-0005-0000-0000-00001C000000}"/>
    <cellStyle name="20% - Accent1 2 5" xfId="37607" xr:uid="{00000000-0005-0000-0000-00001D000000}"/>
    <cellStyle name="20% - Accent1 20" xfId="698" xr:uid="{00000000-0005-0000-0000-00001E000000}"/>
    <cellStyle name="20% - Accent1 21" xfId="699" xr:uid="{00000000-0005-0000-0000-00001F000000}"/>
    <cellStyle name="20% - Accent1 22" xfId="700" xr:uid="{00000000-0005-0000-0000-000020000000}"/>
    <cellStyle name="20% - Accent1 3" xfId="334" xr:uid="{00000000-0005-0000-0000-000021000000}"/>
    <cellStyle name="20% - Accent1 3 2" xfId="524" xr:uid="{00000000-0005-0000-0000-000022000000}"/>
    <cellStyle name="20% - Accent1 3 2 2" xfId="702" xr:uid="{00000000-0005-0000-0000-000023000000}"/>
    <cellStyle name="20% - Accent1 3 3" xfId="703" xr:uid="{00000000-0005-0000-0000-000024000000}"/>
    <cellStyle name="20% - Accent1 3 4" xfId="701" xr:uid="{00000000-0005-0000-0000-000025000000}"/>
    <cellStyle name="20% - Accent1 4" xfId="354" xr:uid="{00000000-0005-0000-0000-000026000000}"/>
    <cellStyle name="20% - Accent1 4 2" xfId="544" xr:uid="{00000000-0005-0000-0000-000027000000}"/>
    <cellStyle name="20% - Accent1 4 2 2" xfId="705" xr:uid="{00000000-0005-0000-0000-000028000000}"/>
    <cellStyle name="20% - Accent1 4 3" xfId="706" xr:uid="{00000000-0005-0000-0000-000029000000}"/>
    <cellStyle name="20% - Accent1 4 4" xfId="704" xr:uid="{00000000-0005-0000-0000-00002A000000}"/>
    <cellStyle name="20% - Accent1 4 5" xfId="37608" xr:uid="{00000000-0005-0000-0000-00002B000000}"/>
    <cellStyle name="20% - Accent1 5" xfId="407" xr:uid="{00000000-0005-0000-0000-00002C000000}"/>
    <cellStyle name="20% - Accent1 5 2" xfId="707" xr:uid="{00000000-0005-0000-0000-00002D000000}"/>
    <cellStyle name="20% - Accent1 5 3" xfId="708" xr:uid="{00000000-0005-0000-0000-00002E000000}"/>
    <cellStyle name="20% - Accent1 6" xfId="445" xr:uid="{00000000-0005-0000-0000-00002F000000}"/>
    <cellStyle name="20% - Accent1 6 2" xfId="709" xr:uid="{00000000-0005-0000-0000-000030000000}"/>
    <cellStyle name="20% - Accent1 6 3" xfId="710" xr:uid="{00000000-0005-0000-0000-000031000000}"/>
    <cellStyle name="20% - Accent1 7" xfId="617" xr:uid="{00000000-0005-0000-0000-000032000000}"/>
    <cellStyle name="20% - Accent1 7 2" xfId="711" xr:uid="{00000000-0005-0000-0000-000033000000}"/>
    <cellStyle name="20% - Accent1 7 3" xfId="712" xr:uid="{00000000-0005-0000-0000-000034000000}"/>
    <cellStyle name="20% - Accent1 8 2" xfId="713" xr:uid="{00000000-0005-0000-0000-000035000000}"/>
    <cellStyle name="20% - Accent1 8 3" xfId="714" xr:uid="{00000000-0005-0000-0000-000036000000}"/>
    <cellStyle name="20% - Accent1 9 2" xfId="715" xr:uid="{00000000-0005-0000-0000-000037000000}"/>
    <cellStyle name="20% - Accent1 9 3" xfId="716" xr:uid="{00000000-0005-0000-0000-000038000000}"/>
    <cellStyle name="20% - Accent2" xfId="156" builtinId="34" customBuiltin="1"/>
    <cellStyle name="20% - Accent2 10 2" xfId="717" xr:uid="{00000000-0005-0000-0000-00003A000000}"/>
    <cellStyle name="20% - Accent2 10 3" xfId="718" xr:uid="{00000000-0005-0000-0000-00003B000000}"/>
    <cellStyle name="20% - Accent2 11 2" xfId="719" xr:uid="{00000000-0005-0000-0000-00003C000000}"/>
    <cellStyle name="20% - Accent2 11 3" xfId="720" xr:uid="{00000000-0005-0000-0000-00003D000000}"/>
    <cellStyle name="20% - Accent2 12 2" xfId="721" xr:uid="{00000000-0005-0000-0000-00003E000000}"/>
    <cellStyle name="20% - Accent2 12 3" xfId="722" xr:uid="{00000000-0005-0000-0000-00003F000000}"/>
    <cellStyle name="20% - Accent2 13 2" xfId="723" xr:uid="{00000000-0005-0000-0000-000040000000}"/>
    <cellStyle name="20% - Accent2 13 3" xfId="724" xr:uid="{00000000-0005-0000-0000-000041000000}"/>
    <cellStyle name="20% - Accent2 14 2" xfId="725" xr:uid="{00000000-0005-0000-0000-000042000000}"/>
    <cellStyle name="20% - Accent2 14 3" xfId="726" xr:uid="{00000000-0005-0000-0000-000043000000}"/>
    <cellStyle name="20% - Accent2 15" xfId="727" xr:uid="{00000000-0005-0000-0000-000044000000}"/>
    <cellStyle name="20% - Accent2 15 2" xfId="728" xr:uid="{00000000-0005-0000-0000-000045000000}"/>
    <cellStyle name="20% - Accent2 15 3" xfId="729" xr:uid="{00000000-0005-0000-0000-000046000000}"/>
    <cellStyle name="20% - Accent2 15 4" xfId="730" xr:uid="{00000000-0005-0000-0000-000047000000}"/>
    <cellStyle name="20% - Accent2 15 5" xfId="731" xr:uid="{00000000-0005-0000-0000-000048000000}"/>
    <cellStyle name="20% - Accent2 15 6" xfId="732" xr:uid="{00000000-0005-0000-0000-000049000000}"/>
    <cellStyle name="20% - Accent2 15 7" xfId="733" xr:uid="{00000000-0005-0000-0000-00004A000000}"/>
    <cellStyle name="20% - Accent2 16" xfId="734" xr:uid="{00000000-0005-0000-0000-00004B000000}"/>
    <cellStyle name="20% - Accent2 17" xfId="735" xr:uid="{00000000-0005-0000-0000-00004C000000}"/>
    <cellStyle name="20% - Accent2 18" xfId="736" xr:uid="{00000000-0005-0000-0000-00004D000000}"/>
    <cellStyle name="20% - Accent2 19" xfId="737" xr:uid="{00000000-0005-0000-0000-00004E000000}"/>
    <cellStyle name="20% - Accent2 2" xfId="188" xr:uid="{00000000-0005-0000-0000-00004F000000}"/>
    <cellStyle name="20% - Accent2 2 2" xfId="370" xr:uid="{00000000-0005-0000-0000-000050000000}"/>
    <cellStyle name="20% - Accent2 2 2 2" xfId="562" xr:uid="{00000000-0005-0000-0000-000051000000}"/>
    <cellStyle name="20% - Accent2 2 2 3" xfId="739" xr:uid="{00000000-0005-0000-0000-000052000000}"/>
    <cellStyle name="20% - Accent2 2 3" xfId="473" xr:uid="{00000000-0005-0000-0000-000053000000}"/>
    <cellStyle name="20% - Accent2 2 3 2" xfId="740" xr:uid="{00000000-0005-0000-0000-000054000000}"/>
    <cellStyle name="20% - Accent2 2 4" xfId="738" xr:uid="{00000000-0005-0000-0000-000055000000}"/>
    <cellStyle name="20% - Accent2 2 5" xfId="37609" xr:uid="{00000000-0005-0000-0000-000056000000}"/>
    <cellStyle name="20% - Accent2 20" xfId="741" xr:uid="{00000000-0005-0000-0000-000057000000}"/>
    <cellStyle name="20% - Accent2 21" xfId="742" xr:uid="{00000000-0005-0000-0000-000058000000}"/>
    <cellStyle name="20% - Accent2 22" xfId="743" xr:uid="{00000000-0005-0000-0000-000059000000}"/>
    <cellStyle name="20% - Accent2 3" xfId="336" xr:uid="{00000000-0005-0000-0000-00005A000000}"/>
    <cellStyle name="20% - Accent2 3 2" xfId="526" xr:uid="{00000000-0005-0000-0000-00005B000000}"/>
    <cellStyle name="20% - Accent2 3 2 2" xfId="745" xr:uid="{00000000-0005-0000-0000-00005C000000}"/>
    <cellStyle name="20% - Accent2 3 3" xfId="746" xr:uid="{00000000-0005-0000-0000-00005D000000}"/>
    <cellStyle name="20% - Accent2 3 4" xfId="744" xr:uid="{00000000-0005-0000-0000-00005E000000}"/>
    <cellStyle name="20% - Accent2 4" xfId="356" xr:uid="{00000000-0005-0000-0000-00005F000000}"/>
    <cellStyle name="20% - Accent2 4 2" xfId="546" xr:uid="{00000000-0005-0000-0000-000060000000}"/>
    <cellStyle name="20% - Accent2 4 2 2" xfId="748" xr:uid="{00000000-0005-0000-0000-000061000000}"/>
    <cellStyle name="20% - Accent2 4 3" xfId="749" xr:uid="{00000000-0005-0000-0000-000062000000}"/>
    <cellStyle name="20% - Accent2 4 4" xfId="747" xr:uid="{00000000-0005-0000-0000-000063000000}"/>
    <cellStyle name="20% - Accent2 4 5" xfId="37610" xr:uid="{00000000-0005-0000-0000-000064000000}"/>
    <cellStyle name="20% - Accent2 5" xfId="411" xr:uid="{00000000-0005-0000-0000-000065000000}"/>
    <cellStyle name="20% - Accent2 5 2" xfId="750" xr:uid="{00000000-0005-0000-0000-000066000000}"/>
    <cellStyle name="20% - Accent2 5 3" xfId="751" xr:uid="{00000000-0005-0000-0000-000067000000}"/>
    <cellStyle name="20% - Accent2 6" xfId="449" xr:uid="{00000000-0005-0000-0000-000068000000}"/>
    <cellStyle name="20% - Accent2 6 2" xfId="752" xr:uid="{00000000-0005-0000-0000-000069000000}"/>
    <cellStyle name="20% - Accent2 6 3" xfId="753" xr:uid="{00000000-0005-0000-0000-00006A000000}"/>
    <cellStyle name="20% - Accent2 7" xfId="618" xr:uid="{00000000-0005-0000-0000-00006B000000}"/>
    <cellStyle name="20% - Accent2 7 2" xfId="754" xr:uid="{00000000-0005-0000-0000-00006C000000}"/>
    <cellStyle name="20% - Accent2 7 3" xfId="755" xr:uid="{00000000-0005-0000-0000-00006D000000}"/>
    <cellStyle name="20% - Accent2 8 2" xfId="756" xr:uid="{00000000-0005-0000-0000-00006E000000}"/>
    <cellStyle name="20% - Accent2 8 3" xfId="757" xr:uid="{00000000-0005-0000-0000-00006F000000}"/>
    <cellStyle name="20% - Accent2 9 2" xfId="758" xr:uid="{00000000-0005-0000-0000-000070000000}"/>
    <cellStyle name="20% - Accent2 9 3" xfId="759" xr:uid="{00000000-0005-0000-0000-000071000000}"/>
    <cellStyle name="20% - Accent3" xfId="160" builtinId="38" customBuiltin="1"/>
    <cellStyle name="20% - Accent3 10 2" xfId="760" xr:uid="{00000000-0005-0000-0000-000073000000}"/>
    <cellStyle name="20% - Accent3 10 3" xfId="761" xr:uid="{00000000-0005-0000-0000-000074000000}"/>
    <cellStyle name="20% - Accent3 11 2" xfId="762" xr:uid="{00000000-0005-0000-0000-000075000000}"/>
    <cellStyle name="20% - Accent3 11 3" xfId="763" xr:uid="{00000000-0005-0000-0000-000076000000}"/>
    <cellStyle name="20% - Accent3 12 2" xfId="764" xr:uid="{00000000-0005-0000-0000-000077000000}"/>
    <cellStyle name="20% - Accent3 12 3" xfId="765" xr:uid="{00000000-0005-0000-0000-000078000000}"/>
    <cellStyle name="20% - Accent3 13 2" xfId="766" xr:uid="{00000000-0005-0000-0000-000079000000}"/>
    <cellStyle name="20% - Accent3 13 3" xfId="767" xr:uid="{00000000-0005-0000-0000-00007A000000}"/>
    <cellStyle name="20% - Accent3 14 2" xfId="768" xr:uid="{00000000-0005-0000-0000-00007B000000}"/>
    <cellStyle name="20% - Accent3 14 3" xfId="769" xr:uid="{00000000-0005-0000-0000-00007C000000}"/>
    <cellStyle name="20% - Accent3 15" xfId="770" xr:uid="{00000000-0005-0000-0000-00007D000000}"/>
    <cellStyle name="20% - Accent3 15 2" xfId="771" xr:uid="{00000000-0005-0000-0000-00007E000000}"/>
    <cellStyle name="20% - Accent3 15 3" xfId="772" xr:uid="{00000000-0005-0000-0000-00007F000000}"/>
    <cellStyle name="20% - Accent3 15 4" xfId="773" xr:uid="{00000000-0005-0000-0000-000080000000}"/>
    <cellStyle name="20% - Accent3 15 5" xfId="774" xr:uid="{00000000-0005-0000-0000-000081000000}"/>
    <cellStyle name="20% - Accent3 15 6" xfId="775" xr:uid="{00000000-0005-0000-0000-000082000000}"/>
    <cellStyle name="20% - Accent3 15 7" xfId="776" xr:uid="{00000000-0005-0000-0000-000083000000}"/>
    <cellStyle name="20% - Accent3 16" xfId="777" xr:uid="{00000000-0005-0000-0000-000084000000}"/>
    <cellStyle name="20% - Accent3 17" xfId="778" xr:uid="{00000000-0005-0000-0000-000085000000}"/>
    <cellStyle name="20% - Accent3 18" xfId="779" xr:uid="{00000000-0005-0000-0000-000086000000}"/>
    <cellStyle name="20% - Accent3 19" xfId="780" xr:uid="{00000000-0005-0000-0000-000087000000}"/>
    <cellStyle name="20% - Accent3 2" xfId="190" xr:uid="{00000000-0005-0000-0000-000088000000}"/>
    <cellStyle name="20% - Accent3 2 2" xfId="372" xr:uid="{00000000-0005-0000-0000-000089000000}"/>
    <cellStyle name="20% - Accent3 2 2 2" xfId="564" xr:uid="{00000000-0005-0000-0000-00008A000000}"/>
    <cellStyle name="20% - Accent3 2 2 3" xfId="782" xr:uid="{00000000-0005-0000-0000-00008B000000}"/>
    <cellStyle name="20% - Accent3 2 3" xfId="475" xr:uid="{00000000-0005-0000-0000-00008C000000}"/>
    <cellStyle name="20% - Accent3 2 3 2" xfId="783" xr:uid="{00000000-0005-0000-0000-00008D000000}"/>
    <cellStyle name="20% - Accent3 2 4" xfId="781" xr:uid="{00000000-0005-0000-0000-00008E000000}"/>
    <cellStyle name="20% - Accent3 2 5" xfId="37611" xr:uid="{00000000-0005-0000-0000-00008F000000}"/>
    <cellStyle name="20% - Accent3 20" xfId="784" xr:uid="{00000000-0005-0000-0000-000090000000}"/>
    <cellStyle name="20% - Accent3 21" xfId="785" xr:uid="{00000000-0005-0000-0000-000091000000}"/>
    <cellStyle name="20% - Accent3 22" xfId="786" xr:uid="{00000000-0005-0000-0000-000092000000}"/>
    <cellStyle name="20% - Accent3 3" xfId="338" xr:uid="{00000000-0005-0000-0000-000093000000}"/>
    <cellStyle name="20% - Accent3 3 2" xfId="528" xr:uid="{00000000-0005-0000-0000-000094000000}"/>
    <cellStyle name="20% - Accent3 3 2 2" xfId="788" xr:uid="{00000000-0005-0000-0000-000095000000}"/>
    <cellStyle name="20% - Accent3 3 3" xfId="789" xr:uid="{00000000-0005-0000-0000-000096000000}"/>
    <cellStyle name="20% - Accent3 3 4" xfId="787" xr:uid="{00000000-0005-0000-0000-000097000000}"/>
    <cellStyle name="20% - Accent3 4" xfId="358" xr:uid="{00000000-0005-0000-0000-000098000000}"/>
    <cellStyle name="20% - Accent3 4 2" xfId="548" xr:uid="{00000000-0005-0000-0000-000099000000}"/>
    <cellStyle name="20% - Accent3 4 2 2" xfId="791" xr:uid="{00000000-0005-0000-0000-00009A000000}"/>
    <cellStyle name="20% - Accent3 4 3" xfId="792" xr:uid="{00000000-0005-0000-0000-00009B000000}"/>
    <cellStyle name="20% - Accent3 4 4" xfId="790" xr:uid="{00000000-0005-0000-0000-00009C000000}"/>
    <cellStyle name="20% - Accent3 4 5" xfId="37612" xr:uid="{00000000-0005-0000-0000-00009D000000}"/>
    <cellStyle name="20% - Accent3 5" xfId="415" xr:uid="{00000000-0005-0000-0000-00009E000000}"/>
    <cellStyle name="20% - Accent3 5 2" xfId="793" xr:uid="{00000000-0005-0000-0000-00009F000000}"/>
    <cellStyle name="20% - Accent3 5 3" xfId="794" xr:uid="{00000000-0005-0000-0000-0000A0000000}"/>
    <cellStyle name="20% - Accent3 6" xfId="451" xr:uid="{00000000-0005-0000-0000-0000A1000000}"/>
    <cellStyle name="20% - Accent3 6 2" xfId="795" xr:uid="{00000000-0005-0000-0000-0000A2000000}"/>
    <cellStyle name="20% - Accent3 6 3" xfId="796" xr:uid="{00000000-0005-0000-0000-0000A3000000}"/>
    <cellStyle name="20% - Accent3 7" xfId="619" xr:uid="{00000000-0005-0000-0000-0000A4000000}"/>
    <cellStyle name="20% - Accent3 7 2" xfId="797" xr:uid="{00000000-0005-0000-0000-0000A5000000}"/>
    <cellStyle name="20% - Accent3 7 3" xfId="798" xr:uid="{00000000-0005-0000-0000-0000A6000000}"/>
    <cellStyle name="20% - Accent3 8 2" xfId="799" xr:uid="{00000000-0005-0000-0000-0000A7000000}"/>
    <cellStyle name="20% - Accent3 8 3" xfId="800" xr:uid="{00000000-0005-0000-0000-0000A8000000}"/>
    <cellStyle name="20% - Accent3 9 2" xfId="801" xr:uid="{00000000-0005-0000-0000-0000A9000000}"/>
    <cellStyle name="20% - Accent3 9 3" xfId="802" xr:uid="{00000000-0005-0000-0000-0000AA000000}"/>
    <cellStyle name="20% - Accent4" xfId="164" builtinId="42" customBuiltin="1"/>
    <cellStyle name="20% - Accent4 10 2" xfId="803" xr:uid="{00000000-0005-0000-0000-0000AC000000}"/>
    <cellStyle name="20% - Accent4 10 3" xfId="804" xr:uid="{00000000-0005-0000-0000-0000AD000000}"/>
    <cellStyle name="20% - Accent4 11 2" xfId="805" xr:uid="{00000000-0005-0000-0000-0000AE000000}"/>
    <cellStyle name="20% - Accent4 11 3" xfId="806" xr:uid="{00000000-0005-0000-0000-0000AF000000}"/>
    <cellStyle name="20% - Accent4 12 2" xfId="807" xr:uid="{00000000-0005-0000-0000-0000B0000000}"/>
    <cellStyle name="20% - Accent4 12 3" xfId="808" xr:uid="{00000000-0005-0000-0000-0000B1000000}"/>
    <cellStyle name="20% - Accent4 13 2" xfId="809" xr:uid="{00000000-0005-0000-0000-0000B2000000}"/>
    <cellStyle name="20% - Accent4 13 3" xfId="810" xr:uid="{00000000-0005-0000-0000-0000B3000000}"/>
    <cellStyle name="20% - Accent4 14 2" xfId="811" xr:uid="{00000000-0005-0000-0000-0000B4000000}"/>
    <cellStyle name="20% - Accent4 14 3" xfId="812" xr:uid="{00000000-0005-0000-0000-0000B5000000}"/>
    <cellStyle name="20% - Accent4 15" xfId="813" xr:uid="{00000000-0005-0000-0000-0000B6000000}"/>
    <cellStyle name="20% - Accent4 15 2" xfId="814" xr:uid="{00000000-0005-0000-0000-0000B7000000}"/>
    <cellStyle name="20% - Accent4 15 3" xfId="815" xr:uid="{00000000-0005-0000-0000-0000B8000000}"/>
    <cellStyle name="20% - Accent4 15 4" xfId="816" xr:uid="{00000000-0005-0000-0000-0000B9000000}"/>
    <cellStyle name="20% - Accent4 15 5" xfId="817" xr:uid="{00000000-0005-0000-0000-0000BA000000}"/>
    <cellStyle name="20% - Accent4 15 6" xfId="818" xr:uid="{00000000-0005-0000-0000-0000BB000000}"/>
    <cellStyle name="20% - Accent4 15 7" xfId="819" xr:uid="{00000000-0005-0000-0000-0000BC000000}"/>
    <cellStyle name="20% - Accent4 16" xfId="820" xr:uid="{00000000-0005-0000-0000-0000BD000000}"/>
    <cellStyle name="20% - Accent4 17" xfId="821" xr:uid="{00000000-0005-0000-0000-0000BE000000}"/>
    <cellStyle name="20% - Accent4 18" xfId="822" xr:uid="{00000000-0005-0000-0000-0000BF000000}"/>
    <cellStyle name="20% - Accent4 19" xfId="823" xr:uid="{00000000-0005-0000-0000-0000C0000000}"/>
    <cellStyle name="20% - Accent4 2" xfId="192" xr:uid="{00000000-0005-0000-0000-0000C1000000}"/>
    <cellStyle name="20% - Accent4 2 2" xfId="374" xr:uid="{00000000-0005-0000-0000-0000C2000000}"/>
    <cellStyle name="20% - Accent4 2 2 2" xfId="566" xr:uid="{00000000-0005-0000-0000-0000C3000000}"/>
    <cellStyle name="20% - Accent4 2 2 3" xfId="825" xr:uid="{00000000-0005-0000-0000-0000C4000000}"/>
    <cellStyle name="20% - Accent4 2 3" xfId="477" xr:uid="{00000000-0005-0000-0000-0000C5000000}"/>
    <cellStyle name="20% - Accent4 2 3 2" xfId="826" xr:uid="{00000000-0005-0000-0000-0000C6000000}"/>
    <cellStyle name="20% - Accent4 2 4" xfId="824" xr:uid="{00000000-0005-0000-0000-0000C7000000}"/>
    <cellStyle name="20% - Accent4 2 5" xfId="37613" xr:uid="{00000000-0005-0000-0000-0000C8000000}"/>
    <cellStyle name="20% - Accent4 20" xfId="827" xr:uid="{00000000-0005-0000-0000-0000C9000000}"/>
    <cellStyle name="20% - Accent4 21" xfId="828" xr:uid="{00000000-0005-0000-0000-0000CA000000}"/>
    <cellStyle name="20% - Accent4 22" xfId="829" xr:uid="{00000000-0005-0000-0000-0000CB000000}"/>
    <cellStyle name="20% - Accent4 3" xfId="340" xr:uid="{00000000-0005-0000-0000-0000CC000000}"/>
    <cellStyle name="20% - Accent4 3 2" xfId="530" xr:uid="{00000000-0005-0000-0000-0000CD000000}"/>
    <cellStyle name="20% - Accent4 3 2 2" xfId="831" xr:uid="{00000000-0005-0000-0000-0000CE000000}"/>
    <cellStyle name="20% - Accent4 3 3" xfId="832" xr:uid="{00000000-0005-0000-0000-0000CF000000}"/>
    <cellStyle name="20% - Accent4 3 4" xfId="830" xr:uid="{00000000-0005-0000-0000-0000D0000000}"/>
    <cellStyle name="20% - Accent4 4" xfId="360" xr:uid="{00000000-0005-0000-0000-0000D1000000}"/>
    <cellStyle name="20% - Accent4 4 2" xfId="550" xr:uid="{00000000-0005-0000-0000-0000D2000000}"/>
    <cellStyle name="20% - Accent4 4 2 2" xfId="834" xr:uid="{00000000-0005-0000-0000-0000D3000000}"/>
    <cellStyle name="20% - Accent4 4 3" xfId="835" xr:uid="{00000000-0005-0000-0000-0000D4000000}"/>
    <cellStyle name="20% - Accent4 4 4" xfId="833" xr:uid="{00000000-0005-0000-0000-0000D5000000}"/>
    <cellStyle name="20% - Accent4 4 5" xfId="37614" xr:uid="{00000000-0005-0000-0000-0000D6000000}"/>
    <cellStyle name="20% - Accent4 5" xfId="419" xr:uid="{00000000-0005-0000-0000-0000D7000000}"/>
    <cellStyle name="20% - Accent4 5 2" xfId="836" xr:uid="{00000000-0005-0000-0000-0000D8000000}"/>
    <cellStyle name="20% - Accent4 5 3" xfId="837" xr:uid="{00000000-0005-0000-0000-0000D9000000}"/>
    <cellStyle name="20% - Accent4 6" xfId="455" xr:uid="{00000000-0005-0000-0000-0000DA000000}"/>
    <cellStyle name="20% - Accent4 6 2" xfId="838" xr:uid="{00000000-0005-0000-0000-0000DB000000}"/>
    <cellStyle name="20% - Accent4 6 3" xfId="839" xr:uid="{00000000-0005-0000-0000-0000DC000000}"/>
    <cellStyle name="20% - Accent4 7" xfId="620" xr:uid="{00000000-0005-0000-0000-0000DD000000}"/>
    <cellStyle name="20% - Accent4 7 2" xfId="840" xr:uid="{00000000-0005-0000-0000-0000DE000000}"/>
    <cellStyle name="20% - Accent4 7 3" xfId="841" xr:uid="{00000000-0005-0000-0000-0000DF000000}"/>
    <cellStyle name="20% - Accent4 8 2" xfId="842" xr:uid="{00000000-0005-0000-0000-0000E0000000}"/>
    <cellStyle name="20% - Accent4 8 3" xfId="843" xr:uid="{00000000-0005-0000-0000-0000E1000000}"/>
    <cellStyle name="20% - Accent4 9 2" xfId="844" xr:uid="{00000000-0005-0000-0000-0000E2000000}"/>
    <cellStyle name="20% - Accent4 9 3" xfId="845" xr:uid="{00000000-0005-0000-0000-0000E3000000}"/>
    <cellStyle name="20% - Accent5" xfId="168" builtinId="46" customBuiltin="1"/>
    <cellStyle name="20% - Accent5 10 2" xfId="846" xr:uid="{00000000-0005-0000-0000-0000E5000000}"/>
    <cellStyle name="20% - Accent5 10 3" xfId="847" xr:uid="{00000000-0005-0000-0000-0000E6000000}"/>
    <cellStyle name="20% - Accent5 11 2" xfId="848" xr:uid="{00000000-0005-0000-0000-0000E7000000}"/>
    <cellStyle name="20% - Accent5 11 3" xfId="849" xr:uid="{00000000-0005-0000-0000-0000E8000000}"/>
    <cellStyle name="20% - Accent5 12 2" xfId="850" xr:uid="{00000000-0005-0000-0000-0000E9000000}"/>
    <cellStyle name="20% - Accent5 12 3" xfId="851" xr:uid="{00000000-0005-0000-0000-0000EA000000}"/>
    <cellStyle name="20% - Accent5 13 2" xfId="852" xr:uid="{00000000-0005-0000-0000-0000EB000000}"/>
    <cellStyle name="20% - Accent5 13 3" xfId="853" xr:uid="{00000000-0005-0000-0000-0000EC000000}"/>
    <cellStyle name="20% - Accent5 14 2" xfId="854" xr:uid="{00000000-0005-0000-0000-0000ED000000}"/>
    <cellStyle name="20% - Accent5 14 3" xfId="855" xr:uid="{00000000-0005-0000-0000-0000EE000000}"/>
    <cellStyle name="20% - Accent5 15" xfId="856" xr:uid="{00000000-0005-0000-0000-0000EF000000}"/>
    <cellStyle name="20% - Accent5 15 2" xfId="857" xr:uid="{00000000-0005-0000-0000-0000F0000000}"/>
    <cellStyle name="20% - Accent5 15 3" xfId="858" xr:uid="{00000000-0005-0000-0000-0000F1000000}"/>
    <cellStyle name="20% - Accent5 15 4" xfId="859" xr:uid="{00000000-0005-0000-0000-0000F2000000}"/>
    <cellStyle name="20% - Accent5 15 5" xfId="860" xr:uid="{00000000-0005-0000-0000-0000F3000000}"/>
    <cellStyle name="20% - Accent5 15 6" xfId="861" xr:uid="{00000000-0005-0000-0000-0000F4000000}"/>
    <cellStyle name="20% - Accent5 15 7" xfId="862" xr:uid="{00000000-0005-0000-0000-0000F5000000}"/>
    <cellStyle name="20% - Accent5 16" xfId="863" xr:uid="{00000000-0005-0000-0000-0000F6000000}"/>
    <cellStyle name="20% - Accent5 17" xfId="864" xr:uid="{00000000-0005-0000-0000-0000F7000000}"/>
    <cellStyle name="20% - Accent5 18" xfId="865" xr:uid="{00000000-0005-0000-0000-0000F8000000}"/>
    <cellStyle name="20% - Accent5 19" xfId="866" xr:uid="{00000000-0005-0000-0000-0000F9000000}"/>
    <cellStyle name="20% - Accent5 2" xfId="194" xr:uid="{00000000-0005-0000-0000-0000FA000000}"/>
    <cellStyle name="20% - Accent5 2 2" xfId="376" xr:uid="{00000000-0005-0000-0000-0000FB000000}"/>
    <cellStyle name="20% - Accent5 2 2 2" xfId="568" xr:uid="{00000000-0005-0000-0000-0000FC000000}"/>
    <cellStyle name="20% - Accent5 2 2 3" xfId="868" xr:uid="{00000000-0005-0000-0000-0000FD000000}"/>
    <cellStyle name="20% - Accent5 2 3" xfId="479" xr:uid="{00000000-0005-0000-0000-0000FE000000}"/>
    <cellStyle name="20% - Accent5 2 3 2" xfId="869" xr:uid="{00000000-0005-0000-0000-0000FF000000}"/>
    <cellStyle name="20% - Accent5 2 4" xfId="867" xr:uid="{00000000-0005-0000-0000-000000010000}"/>
    <cellStyle name="20% - Accent5 2 5" xfId="37615" xr:uid="{00000000-0005-0000-0000-000001010000}"/>
    <cellStyle name="20% - Accent5 20" xfId="870" xr:uid="{00000000-0005-0000-0000-000002010000}"/>
    <cellStyle name="20% - Accent5 21" xfId="871" xr:uid="{00000000-0005-0000-0000-000003010000}"/>
    <cellStyle name="20% - Accent5 22" xfId="872" xr:uid="{00000000-0005-0000-0000-000004010000}"/>
    <cellStyle name="20% - Accent5 3" xfId="342" xr:uid="{00000000-0005-0000-0000-000005010000}"/>
    <cellStyle name="20% - Accent5 3 2" xfId="532" xr:uid="{00000000-0005-0000-0000-000006010000}"/>
    <cellStyle name="20% - Accent5 3 2 2" xfId="874" xr:uid="{00000000-0005-0000-0000-000007010000}"/>
    <cellStyle name="20% - Accent5 3 3" xfId="875" xr:uid="{00000000-0005-0000-0000-000008010000}"/>
    <cellStyle name="20% - Accent5 3 4" xfId="873" xr:uid="{00000000-0005-0000-0000-000009010000}"/>
    <cellStyle name="20% - Accent5 4" xfId="362" xr:uid="{00000000-0005-0000-0000-00000A010000}"/>
    <cellStyle name="20% - Accent5 4 2" xfId="552" xr:uid="{00000000-0005-0000-0000-00000B010000}"/>
    <cellStyle name="20% - Accent5 4 2 2" xfId="877" xr:uid="{00000000-0005-0000-0000-00000C010000}"/>
    <cellStyle name="20% - Accent5 4 3" xfId="878" xr:uid="{00000000-0005-0000-0000-00000D010000}"/>
    <cellStyle name="20% - Accent5 4 4" xfId="876" xr:uid="{00000000-0005-0000-0000-00000E010000}"/>
    <cellStyle name="20% - Accent5 4 5" xfId="37616" xr:uid="{00000000-0005-0000-0000-00000F010000}"/>
    <cellStyle name="20% - Accent5 5" xfId="423" xr:uid="{00000000-0005-0000-0000-000010010000}"/>
    <cellStyle name="20% - Accent5 5 2" xfId="879" xr:uid="{00000000-0005-0000-0000-000011010000}"/>
    <cellStyle name="20% - Accent5 5 3" xfId="880" xr:uid="{00000000-0005-0000-0000-000012010000}"/>
    <cellStyle name="20% - Accent5 6" xfId="458" xr:uid="{00000000-0005-0000-0000-000013010000}"/>
    <cellStyle name="20% - Accent5 6 2" xfId="881" xr:uid="{00000000-0005-0000-0000-000014010000}"/>
    <cellStyle name="20% - Accent5 6 3" xfId="882" xr:uid="{00000000-0005-0000-0000-000015010000}"/>
    <cellStyle name="20% - Accent5 7" xfId="621" xr:uid="{00000000-0005-0000-0000-000016010000}"/>
    <cellStyle name="20% - Accent5 7 2" xfId="883" xr:uid="{00000000-0005-0000-0000-000017010000}"/>
    <cellStyle name="20% - Accent5 7 3" xfId="884" xr:uid="{00000000-0005-0000-0000-000018010000}"/>
    <cellStyle name="20% - Accent5 8 2" xfId="885" xr:uid="{00000000-0005-0000-0000-000019010000}"/>
    <cellStyle name="20% - Accent5 8 3" xfId="886" xr:uid="{00000000-0005-0000-0000-00001A010000}"/>
    <cellStyle name="20% - Accent5 9 2" xfId="887" xr:uid="{00000000-0005-0000-0000-00001B010000}"/>
    <cellStyle name="20% - Accent5 9 3" xfId="888" xr:uid="{00000000-0005-0000-0000-00001C010000}"/>
    <cellStyle name="20% - Accent6" xfId="172" builtinId="50" customBuiltin="1"/>
    <cellStyle name="20% - Accent6 10 2" xfId="889" xr:uid="{00000000-0005-0000-0000-00001E010000}"/>
    <cellStyle name="20% - Accent6 10 3" xfId="890" xr:uid="{00000000-0005-0000-0000-00001F010000}"/>
    <cellStyle name="20% - Accent6 11 2" xfId="891" xr:uid="{00000000-0005-0000-0000-000020010000}"/>
    <cellStyle name="20% - Accent6 11 3" xfId="892" xr:uid="{00000000-0005-0000-0000-000021010000}"/>
    <cellStyle name="20% - Accent6 12 2" xfId="893" xr:uid="{00000000-0005-0000-0000-000022010000}"/>
    <cellStyle name="20% - Accent6 12 3" xfId="894" xr:uid="{00000000-0005-0000-0000-000023010000}"/>
    <cellStyle name="20% - Accent6 13 2" xfId="895" xr:uid="{00000000-0005-0000-0000-000024010000}"/>
    <cellStyle name="20% - Accent6 13 3" xfId="896" xr:uid="{00000000-0005-0000-0000-000025010000}"/>
    <cellStyle name="20% - Accent6 14 2" xfId="897" xr:uid="{00000000-0005-0000-0000-000026010000}"/>
    <cellStyle name="20% - Accent6 14 3" xfId="898" xr:uid="{00000000-0005-0000-0000-000027010000}"/>
    <cellStyle name="20% - Accent6 15" xfId="899" xr:uid="{00000000-0005-0000-0000-000028010000}"/>
    <cellStyle name="20% - Accent6 15 2" xfId="900" xr:uid="{00000000-0005-0000-0000-000029010000}"/>
    <cellStyle name="20% - Accent6 15 3" xfId="901" xr:uid="{00000000-0005-0000-0000-00002A010000}"/>
    <cellStyle name="20% - Accent6 15 4" xfId="902" xr:uid="{00000000-0005-0000-0000-00002B010000}"/>
    <cellStyle name="20% - Accent6 15 5" xfId="903" xr:uid="{00000000-0005-0000-0000-00002C010000}"/>
    <cellStyle name="20% - Accent6 15 6" xfId="904" xr:uid="{00000000-0005-0000-0000-00002D010000}"/>
    <cellStyle name="20% - Accent6 15 7" xfId="905" xr:uid="{00000000-0005-0000-0000-00002E010000}"/>
    <cellStyle name="20% - Accent6 16" xfId="906" xr:uid="{00000000-0005-0000-0000-00002F010000}"/>
    <cellStyle name="20% - Accent6 17" xfId="907" xr:uid="{00000000-0005-0000-0000-000030010000}"/>
    <cellStyle name="20% - Accent6 18" xfId="908" xr:uid="{00000000-0005-0000-0000-000031010000}"/>
    <cellStyle name="20% - Accent6 19" xfId="909" xr:uid="{00000000-0005-0000-0000-000032010000}"/>
    <cellStyle name="20% - Accent6 2" xfId="196" xr:uid="{00000000-0005-0000-0000-000033010000}"/>
    <cellStyle name="20% - Accent6 2 2" xfId="378" xr:uid="{00000000-0005-0000-0000-000034010000}"/>
    <cellStyle name="20% - Accent6 2 2 2" xfId="570" xr:uid="{00000000-0005-0000-0000-000035010000}"/>
    <cellStyle name="20% - Accent6 2 2 3" xfId="911" xr:uid="{00000000-0005-0000-0000-000036010000}"/>
    <cellStyle name="20% - Accent6 2 3" xfId="481" xr:uid="{00000000-0005-0000-0000-000037010000}"/>
    <cellStyle name="20% - Accent6 2 3 2" xfId="912" xr:uid="{00000000-0005-0000-0000-000038010000}"/>
    <cellStyle name="20% - Accent6 2 4" xfId="910" xr:uid="{00000000-0005-0000-0000-000039010000}"/>
    <cellStyle name="20% - Accent6 2 5" xfId="37617" xr:uid="{00000000-0005-0000-0000-00003A010000}"/>
    <cellStyle name="20% - Accent6 20" xfId="913" xr:uid="{00000000-0005-0000-0000-00003B010000}"/>
    <cellStyle name="20% - Accent6 21" xfId="914" xr:uid="{00000000-0005-0000-0000-00003C010000}"/>
    <cellStyle name="20% - Accent6 22" xfId="915" xr:uid="{00000000-0005-0000-0000-00003D010000}"/>
    <cellStyle name="20% - Accent6 3" xfId="344" xr:uid="{00000000-0005-0000-0000-00003E010000}"/>
    <cellStyle name="20% - Accent6 3 2" xfId="534" xr:uid="{00000000-0005-0000-0000-00003F010000}"/>
    <cellStyle name="20% - Accent6 3 2 2" xfId="917" xr:uid="{00000000-0005-0000-0000-000040010000}"/>
    <cellStyle name="20% - Accent6 3 3" xfId="918" xr:uid="{00000000-0005-0000-0000-000041010000}"/>
    <cellStyle name="20% - Accent6 3 4" xfId="916" xr:uid="{00000000-0005-0000-0000-000042010000}"/>
    <cellStyle name="20% - Accent6 4" xfId="364" xr:uid="{00000000-0005-0000-0000-000043010000}"/>
    <cellStyle name="20% - Accent6 4 2" xfId="554" xr:uid="{00000000-0005-0000-0000-000044010000}"/>
    <cellStyle name="20% - Accent6 4 2 2" xfId="920" xr:uid="{00000000-0005-0000-0000-000045010000}"/>
    <cellStyle name="20% - Accent6 4 3" xfId="921" xr:uid="{00000000-0005-0000-0000-000046010000}"/>
    <cellStyle name="20% - Accent6 4 4" xfId="919" xr:uid="{00000000-0005-0000-0000-000047010000}"/>
    <cellStyle name="20% - Accent6 4 5" xfId="37618" xr:uid="{00000000-0005-0000-0000-000048010000}"/>
    <cellStyle name="20% - Accent6 5" xfId="427" xr:uid="{00000000-0005-0000-0000-000049010000}"/>
    <cellStyle name="20% - Accent6 5 2" xfId="922" xr:uid="{00000000-0005-0000-0000-00004A010000}"/>
    <cellStyle name="20% - Accent6 5 3" xfId="923" xr:uid="{00000000-0005-0000-0000-00004B010000}"/>
    <cellStyle name="20% - Accent6 6" xfId="461" xr:uid="{00000000-0005-0000-0000-00004C010000}"/>
    <cellStyle name="20% - Accent6 6 2" xfId="924" xr:uid="{00000000-0005-0000-0000-00004D010000}"/>
    <cellStyle name="20% - Accent6 6 3" xfId="925" xr:uid="{00000000-0005-0000-0000-00004E010000}"/>
    <cellStyle name="20% - Accent6 7" xfId="622" xr:uid="{00000000-0005-0000-0000-00004F010000}"/>
    <cellStyle name="20% - Accent6 7 2" xfId="926" xr:uid="{00000000-0005-0000-0000-000050010000}"/>
    <cellStyle name="20% - Accent6 7 3" xfId="927" xr:uid="{00000000-0005-0000-0000-000051010000}"/>
    <cellStyle name="20% - Accent6 8 2" xfId="928" xr:uid="{00000000-0005-0000-0000-000052010000}"/>
    <cellStyle name="20% - Accent6 8 3" xfId="929" xr:uid="{00000000-0005-0000-0000-000053010000}"/>
    <cellStyle name="20% - Accent6 9 2" xfId="930" xr:uid="{00000000-0005-0000-0000-000054010000}"/>
    <cellStyle name="20% - Accent6 9 3" xfId="931" xr:uid="{00000000-0005-0000-0000-000055010000}"/>
    <cellStyle name="40% - Accent1" xfId="153" builtinId="31" customBuiltin="1"/>
    <cellStyle name="40% - Accent1 10 2" xfId="932" xr:uid="{00000000-0005-0000-0000-000057010000}"/>
    <cellStyle name="40% - Accent1 10 3" xfId="933" xr:uid="{00000000-0005-0000-0000-000058010000}"/>
    <cellStyle name="40% - Accent1 11 2" xfId="934" xr:uid="{00000000-0005-0000-0000-000059010000}"/>
    <cellStyle name="40% - Accent1 11 3" xfId="935" xr:uid="{00000000-0005-0000-0000-00005A010000}"/>
    <cellStyle name="40% - Accent1 12 2" xfId="936" xr:uid="{00000000-0005-0000-0000-00005B010000}"/>
    <cellStyle name="40% - Accent1 12 3" xfId="937" xr:uid="{00000000-0005-0000-0000-00005C010000}"/>
    <cellStyle name="40% - Accent1 13 2" xfId="938" xr:uid="{00000000-0005-0000-0000-00005D010000}"/>
    <cellStyle name="40% - Accent1 13 3" xfId="939" xr:uid="{00000000-0005-0000-0000-00005E010000}"/>
    <cellStyle name="40% - Accent1 14 2" xfId="940" xr:uid="{00000000-0005-0000-0000-00005F010000}"/>
    <cellStyle name="40% - Accent1 14 3" xfId="941" xr:uid="{00000000-0005-0000-0000-000060010000}"/>
    <cellStyle name="40% - Accent1 15" xfId="942" xr:uid="{00000000-0005-0000-0000-000061010000}"/>
    <cellStyle name="40% - Accent1 15 2" xfId="943" xr:uid="{00000000-0005-0000-0000-000062010000}"/>
    <cellStyle name="40% - Accent1 15 3" xfId="944" xr:uid="{00000000-0005-0000-0000-000063010000}"/>
    <cellStyle name="40% - Accent1 15 4" xfId="945" xr:uid="{00000000-0005-0000-0000-000064010000}"/>
    <cellStyle name="40% - Accent1 15 5" xfId="946" xr:uid="{00000000-0005-0000-0000-000065010000}"/>
    <cellStyle name="40% - Accent1 15 6" xfId="947" xr:uid="{00000000-0005-0000-0000-000066010000}"/>
    <cellStyle name="40% - Accent1 15 7" xfId="948" xr:uid="{00000000-0005-0000-0000-000067010000}"/>
    <cellStyle name="40% - Accent1 16" xfId="949" xr:uid="{00000000-0005-0000-0000-000068010000}"/>
    <cellStyle name="40% - Accent1 17" xfId="950" xr:uid="{00000000-0005-0000-0000-000069010000}"/>
    <cellStyle name="40% - Accent1 18" xfId="951" xr:uid="{00000000-0005-0000-0000-00006A010000}"/>
    <cellStyle name="40% - Accent1 19" xfId="952" xr:uid="{00000000-0005-0000-0000-00006B010000}"/>
    <cellStyle name="40% - Accent1 2" xfId="187" xr:uid="{00000000-0005-0000-0000-00006C010000}"/>
    <cellStyle name="40% - Accent1 2 2" xfId="369" xr:uid="{00000000-0005-0000-0000-00006D010000}"/>
    <cellStyle name="40% - Accent1 2 2 2" xfId="561" xr:uid="{00000000-0005-0000-0000-00006E010000}"/>
    <cellStyle name="40% - Accent1 2 2 3" xfId="954" xr:uid="{00000000-0005-0000-0000-00006F010000}"/>
    <cellStyle name="40% - Accent1 2 3" xfId="472" xr:uid="{00000000-0005-0000-0000-000070010000}"/>
    <cellStyle name="40% - Accent1 2 3 2" xfId="955" xr:uid="{00000000-0005-0000-0000-000071010000}"/>
    <cellStyle name="40% - Accent1 2 4" xfId="953" xr:uid="{00000000-0005-0000-0000-000072010000}"/>
    <cellStyle name="40% - Accent1 2 5" xfId="37619" xr:uid="{00000000-0005-0000-0000-000073010000}"/>
    <cellStyle name="40% - Accent1 20" xfId="956" xr:uid="{00000000-0005-0000-0000-000074010000}"/>
    <cellStyle name="40% - Accent1 21" xfId="957" xr:uid="{00000000-0005-0000-0000-000075010000}"/>
    <cellStyle name="40% - Accent1 22" xfId="958" xr:uid="{00000000-0005-0000-0000-000076010000}"/>
    <cellStyle name="40% - Accent1 3" xfId="335" xr:uid="{00000000-0005-0000-0000-000077010000}"/>
    <cellStyle name="40% - Accent1 3 2" xfId="525" xr:uid="{00000000-0005-0000-0000-000078010000}"/>
    <cellStyle name="40% - Accent1 3 2 2" xfId="960" xr:uid="{00000000-0005-0000-0000-000079010000}"/>
    <cellStyle name="40% - Accent1 3 3" xfId="961" xr:uid="{00000000-0005-0000-0000-00007A010000}"/>
    <cellStyle name="40% - Accent1 3 4" xfId="959" xr:uid="{00000000-0005-0000-0000-00007B010000}"/>
    <cellStyle name="40% - Accent1 4" xfId="355" xr:uid="{00000000-0005-0000-0000-00007C010000}"/>
    <cellStyle name="40% - Accent1 4 2" xfId="545" xr:uid="{00000000-0005-0000-0000-00007D010000}"/>
    <cellStyle name="40% - Accent1 4 2 2" xfId="963" xr:uid="{00000000-0005-0000-0000-00007E010000}"/>
    <cellStyle name="40% - Accent1 4 3" xfId="964" xr:uid="{00000000-0005-0000-0000-00007F010000}"/>
    <cellStyle name="40% - Accent1 4 4" xfId="962" xr:uid="{00000000-0005-0000-0000-000080010000}"/>
    <cellStyle name="40% - Accent1 4 5" xfId="37620" xr:uid="{00000000-0005-0000-0000-000081010000}"/>
    <cellStyle name="40% - Accent1 5" xfId="408" xr:uid="{00000000-0005-0000-0000-000082010000}"/>
    <cellStyle name="40% - Accent1 5 2" xfId="965" xr:uid="{00000000-0005-0000-0000-000083010000}"/>
    <cellStyle name="40% - Accent1 5 3" xfId="966" xr:uid="{00000000-0005-0000-0000-000084010000}"/>
    <cellStyle name="40% - Accent1 6" xfId="446" xr:uid="{00000000-0005-0000-0000-000085010000}"/>
    <cellStyle name="40% - Accent1 6 2" xfId="967" xr:uid="{00000000-0005-0000-0000-000086010000}"/>
    <cellStyle name="40% - Accent1 6 3" xfId="968" xr:uid="{00000000-0005-0000-0000-000087010000}"/>
    <cellStyle name="40% - Accent1 7" xfId="623" xr:uid="{00000000-0005-0000-0000-000088010000}"/>
    <cellStyle name="40% - Accent1 7 2" xfId="969" xr:uid="{00000000-0005-0000-0000-000089010000}"/>
    <cellStyle name="40% - Accent1 7 3" xfId="970" xr:uid="{00000000-0005-0000-0000-00008A010000}"/>
    <cellStyle name="40% - Accent1 8 2" xfId="971" xr:uid="{00000000-0005-0000-0000-00008B010000}"/>
    <cellStyle name="40% - Accent1 8 3" xfId="972" xr:uid="{00000000-0005-0000-0000-00008C010000}"/>
    <cellStyle name="40% - Accent1 9 2" xfId="973" xr:uid="{00000000-0005-0000-0000-00008D010000}"/>
    <cellStyle name="40% - Accent1 9 3" xfId="974" xr:uid="{00000000-0005-0000-0000-00008E010000}"/>
    <cellStyle name="40% - Accent2" xfId="157" builtinId="35" customBuiltin="1"/>
    <cellStyle name="40% - Accent2 10 2" xfId="975" xr:uid="{00000000-0005-0000-0000-000090010000}"/>
    <cellStyle name="40% - Accent2 10 3" xfId="976" xr:uid="{00000000-0005-0000-0000-000091010000}"/>
    <cellStyle name="40% - Accent2 11 2" xfId="977" xr:uid="{00000000-0005-0000-0000-000092010000}"/>
    <cellStyle name="40% - Accent2 11 3" xfId="978" xr:uid="{00000000-0005-0000-0000-000093010000}"/>
    <cellStyle name="40% - Accent2 12 2" xfId="979" xr:uid="{00000000-0005-0000-0000-000094010000}"/>
    <cellStyle name="40% - Accent2 12 3" xfId="980" xr:uid="{00000000-0005-0000-0000-000095010000}"/>
    <cellStyle name="40% - Accent2 13 2" xfId="981" xr:uid="{00000000-0005-0000-0000-000096010000}"/>
    <cellStyle name="40% - Accent2 13 3" xfId="982" xr:uid="{00000000-0005-0000-0000-000097010000}"/>
    <cellStyle name="40% - Accent2 14 2" xfId="983" xr:uid="{00000000-0005-0000-0000-000098010000}"/>
    <cellStyle name="40% - Accent2 14 3" xfId="984" xr:uid="{00000000-0005-0000-0000-000099010000}"/>
    <cellStyle name="40% - Accent2 15" xfId="985" xr:uid="{00000000-0005-0000-0000-00009A010000}"/>
    <cellStyle name="40% - Accent2 15 2" xfId="986" xr:uid="{00000000-0005-0000-0000-00009B010000}"/>
    <cellStyle name="40% - Accent2 15 3" xfId="987" xr:uid="{00000000-0005-0000-0000-00009C010000}"/>
    <cellStyle name="40% - Accent2 15 4" xfId="988" xr:uid="{00000000-0005-0000-0000-00009D010000}"/>
    <cellStyle name="40% - Accent2 15 5" xfId="989" xr:uid="{00000000-0005-0000-0000-00009E010000}"/>
    <cellStyle name="40% - Accent2 15 6" xfId="990" xr:uid="{00000000-0005-0000-0000-00009F010000}"/>
    <cellStyle name="40% - Accent2 15 7" xfId="991" xr:uid="{00000000-0005-0000-0000-0000A0010000}"/>
    <cellStyle name="40% - Accent2 16" xfId="992" xr:uid="{00000000-0005-0000-0000-0000A1010000}"/>
    <cellStyle name="40% - Accent2 17" xfId="993" xr:uid="{00000000-0005-0000-0000-0000A2010000}"/>
    <cellStyle name="40% - Accent2 18" xfId="994" xr:uid="{00000000-0005-0000-0000-0000A3010000}"/>
    <cellStyle name="40% - Accent2 19" xfId="995" xr:uid="{00000000-0005-0000-0000-0000A4010000}"/>
    <cellStyle name="40% - Accent2 2" xfId="189" xr:uid="{00000000-0005-0000-0000-0000A5010000}"/>
    <cellStyle name="40% - Accent2 2 2" xfId="371" xr:uid="{00000000-0005-0000-0000-0000A6010000}"/>
    <cellStyle name="40% - Accent2 2 2 2" xfId="563" xr:uid="{00000000-0005-0000-0000-0000A7010000}"/>
    <cellStyle name="40% - Accent2 2 2 3" xfId="997" xr:uid="{00000000-0005-0000-0000-0000A8010000}"/>
    <cellStyle name="40% - Accent2 2 3" xfId="474" xr:uid="{00000000-0005-0000-0000-0000A9010000}"/>
    <cellStyle name="40% - Accent2 2 3 2" xfId="998" xr:uid="{00000000-0005-0000-0000-0000AA010000}"/>
    <cellStyle name="40% - Accent2 2 4" xfId="996" xr:uid="{00000000-0005-0000-0000-0000AB010000}"/>
    <cellStyle name="40% - Accent2 2 5" xfId="37621" xr:uid="{00000000-0005-0000-0000-0000AC010000}"/>
    <cellStyle name="40% - Accent2 20" xfId="999" xr:uid="{00000000-0005-0000-0000-0000AD010000}"/>
    <cellStyle name="40% - Accent2 21" xfId="1000" xr:uid="{00000000-0005-0000-0000-0000AE010000}"/>
    <cellStyle name="40% - Accent2 22" xfId="1001" xr:uid="{00000000-0005-0000-0000-0000AF010000}"/>
    <cellStyle name="40% - Accent2 3" xfId="337" xr:uid="{00000000-0005-0000-0000-0000B0010000}"/>
    <cellStyle name="40% - Accent2 3 2" xfId="527" xr:uid="{00000000-0005-0000-0000-0000B1010000}"/>
    <cellStyle name="40% - Accent2 3 2 2" xfId="1003" xr:uid="{00000000-0005-0000-0000-0000B2010000}"/>
    <cellStyle name="40% - Accent2 3 3" xfId="1004" xr:uid="{00000000-0005-0000-0000-0000B3010000}"/>
    <cellStyle name="40% - Accent2 3 4" xfId="1002" xr:uid="{00000000-0005-0000-0000-0000B4010000}"/>
    <cellStyle name="40% - Accent2 4" xfId="357" xr:uid="{00000000-0005-0000-0000-0000B5010000}"/>
    <cellStyle name="40% - Accent2 4 2" xfId="547" xr:uid="{00000000-0005-0000-0000-0000B6010000}"/>
    <cellStyle name="40% - Accent2 4 2 2" xfId="1006" xr:uid="{00000000-0005-0000-0000-0000B7010000}"/>
    <cellStyle name="40% - Accent2 4 3" xfId="1007" xr:uid="{00000000-0005-0000-0000-0000B8010000}"/>
    <cellStyle name="40% - Accent2 4 4" xfId="1005" xr:uid="{00000000-0005-0000-0000-0000B9010000}"/>
    <cellStyle name="40% - Accent2 4 5" xfId="37622" xr:uid="{00000000-0005-0000-0000-0000BA010000}"/>
    <cellStyle name="40% - Accent2 5" xfId="412" xr:uid="{00000000-0005-0000-0000-0000BB010000}"/>
    <cellStyle name="40% - Accent2 5 2" xfId="1008" xr:uid="{00000000-0005-0000-0000-0000BC010000}"/>
    <cellStyle name="40% - Accent2 5 3" xfId="1009" xr:uid="{00000000-0005-0000-0000-0000BD010000}"/>
    <cellStyle name="40% - Accent2 6" xfId="450" xr:uid="{00000000-0005-0000-0000-0000BE010000}"/>
    <cellStyle name="40% - Accent2 6 2" xfId="1010" xr:uid="{00000000-0005-0000-0000-0000BF010000}"/>
    <cellStyle name="40% - Accent2 6 3" xfId="1011" xr:uid="{00000000-0005-0000-0000-0000C0010000}"/>
    <cellStyle name="40% - Accent2 7" xfId="624" xr:uid="{00000000-0005-0000-0000-0000C1010000}"/>
    <cellStyle name="40% - Accent2 7 2" xfId="1012" xr:uid="{00000000-0005-0000-0000-0000C2010000}"/>
    <cellStyle name="40% - Accent2 7 3" xfId="1013" xr:uid="{00000000-0005-0000-0000-0000C3010000}"/>
    <cellStyle name="40% - Accent2 8 2" xfId="1014" xr:uid="{00000000-0005-0000-0000-0000C4010000}"/>
    <cellStyle name="40% - Accent2 8 3" xfId="1015" xr:uid="{00000000-0005-0000-0000-0000C5010000}"/>
    <cellStyle name="40% - Accent2 9 2" xfId="1016" xr:uid="{00000000-0005-0000-0000-0000C6010000}"/>
    <cellStyle name="40% - Accent2 9 3" xfId="1017" xr:uid="{00000000-0005-0000-0000-0000C7010000}"/>
    <cellStyle name="40% - Accent3" xfId="161" builtinId="39" customBuiltin="1"/>
    <cellStyle name="40% - Accent3 10 2" xfId="1018" xr:uid="{00000000-0005-0000-0000-0000C9010000}"/>
    <cellStyle name="40% - Accent3 10 3" xfId="1019" xr:uid="{00000000-0005-0000-0000-0000CA010000}"/>
    <cellStyle name="40% - Accent3 11 2" xfId="1020" xr:uid="{00000000-0005-0000-0000-0000CB010000}"/>
    <cellStyle name="40% - Accent3 11 3" xfId="1021" xr:uid="{00000000-0005-0000-0000-0000CC010000}"/>
    <cellStyle name="40% - Accent3 12 2" xfId="1022" xr:uid="{00000000-0005-0000-0000-0000CD010000}"/>
    <cellStyle name="40% - Accent3 12 3" xfId="1023" xr:uid="{00000000-0005-0000-0000-0000CE010000}"/>
    <cellStyle name="40% - Accent3 13 2" xfId="1024" xr:uid="{00000000-0005-0000-0000-0000CF010000}"/>
    <cellStyle name="40% - Accent3 13 3" xfId="1025" xr:uid="{00000000-0005-0000-0000-0000D0010000}"/>
    <cellStyle name="40% - Accent3 14 2" xfId="1026" xr:uid="{00000000-0005-0000-0000-0000D1010000}"/>
    <cellStyle name="40% - Accent3 14 3" xfId="1027" xr:uid="{00000000-0005-0000-0000-0000D2010000}"/>
    <cellStyle name="40% - Accent3 15" xfId="1028" xr:uid="{00000000-0005-0000-0000-0000D3010000}"/>
    <cellStyle name="40% - Accent3 15 2" xfId="1029" xr:uid="{00000000-0005-0000-0000-0000D4010000}"/>
    <cellStyle name="40% - Accent3 15 3" xfId="1030" xr:uid="{00000000-0005-0000-0000-0000D5010000}"/>
    <cellStyle name="40% - Accent3 15 4" xfId="1031" xr:uid="{00000000-0005-0000-0000-0000D6010000}"/>
    <cellStyle name="40% - Accent3 15 5" xfId="1032" xr:uid="{00000000-0005-0000-0000-0000D7010000}"/>
    <cellStyle name="40% - Accent3 15 6" xfId="1033" xr:uid="{00000000-0005-0000-0000-0000D8010000}"/>
    <cellStyle name="40% - Accent3 15 7" xfId="1034" xr:uid="{00000000-0005-0000-0000-0000D9010000}"/>
    <cellStyle name="40% - Accent3 16" xfId="1035" xr:uid="{00000000-0005-0000-0000-0000DA010000}"/>
    <cellStyle name="40% - Accent3 17" xfId="1036" xr:uid="{00000000-0005-0000-0000-0000DB010000}"/>
    <cellStyle name="40% - Accent3 18" xfId="1037" xr:uid="{00000000-0005-0000-0000-0000DC010000}"/>
    <cellStyle name="40% - Accent3 19" xfId="1038" xr:uid="{00000000-0005-0000-0000-0000DD010000}"/>
    <cellStyle name="40% - Accent3 2" xfId="191" xr:uid="{00000000-0005-0000-0000-0000DE010000}"/>
    <cellStyle name="40% - Accent3 2 2" xfId="373" xr:uid="{00000000-0005-0000-0000-0000DF010000}"/>
    <cellStyle name="40% - Accent3 2 2 2" xfId="565" xr:uid="{00000000-0005-0000-0000-0000E0010000}"/>
    <cellStyle name="40% - Accent3 2 2 3" xfId="1040" xr:uid="{00000000-0005-0000-0000-0000E1010000}"/>
    <cellStyle name="40% - Accent3 2 3" xfId="476" xr:uid="{00000000-0005-0000-0000-0000E2010000}"/>
    <cellStyle name="40% - Accent3 2 3 2" xfId="1041" xr:uid="{00000000-0005-0000-0000-0000E3010000}"/>
    <cellStyle name="40% - Accent3 2 4" xfId="1039" xr:uid="{00000000-0005-0000-0000-0000E4010000}"/>
    <cellStyle name="40% - Accent3 2 5" xfId="37623" xr:uid="{00000000-0005-0000-0000-0000E5010000}"/>
    <cellStyle name="40% - Accent3 20" xfId="1042" xr:uid="{00000000-0005-0000-0000-0000E6010000}"/>
    <cellStyle name="40% - Accent3 21" xfId="1043" xr:uid="{00000000-0005-0000-0000-0000E7010000}"/>
    <cellStyle name="40% - Accent3 22" xfId="1044" xr:uid="{00000000-0005-0000-0000-0000E8010000}"/>
    <cellStyle name="40% - Accent3 3" xfId="339" xr:uid="{00000000-0005-0000-0000-0000E9010000}"/>
    <cellStyle name="40% - Accent3 3 2" xfId="529" xr:uid="{00000000-0005-0000-0000-0000EA010000}"/>
    <cellStyle name="40% - Accent3 3 2 2" xfId="1046" xr:uid="{00000000-0005-0000-0000-0000EB010000}"/>
    <cellStyle name="40% - Accent3 3 3" xfId="1047" xr:uid="{00000000-0005-0000-0000-0000EC010000}"/>
    <cellStyle name="40% - Accent3 3 4" xfId="1045" xr:uid="{00000000-0005-0000-0000-0000ED010000}"/>
    <cellStyle name="40% - Accent3 4" xfId="359" xr:uid="{00000000-0005-0000-0000-0000EE010000}"/>
    <cellStyle name="40% - Accent3 4 2" xfId="549" xr:uid="{00000000-0005-0000-0000-0000EF010000}"/>
    <cellStyle name="40% - Accent3 4 2 2" xfId="1049" xr:uid="{00000000-0005-0000-0000-0000F0010000}"/>
    <cellStyle name="40% - Accent3 4 3" xfId="1050" xr:uid="{00000000-0005-0000-0000-0000F1010000}"/>
    <cellStyle name="40% - Accent3 4 4" xfId="1048" xr:uid="{00000000-0005-0000-0000-0000F2010000}"/>
    <cellStyle name="40% - Accent3 4 5" xfId="37624" xr:uid="{00000000-0005-0000-0000-0000F3010000}"/>
    <cellStyle name="40% - Accent3 5" xfId="416" xr:uid="{00000000-0005-0000-0000-0000F4010000}"/>
    <cellStyle name="40% - Accent3 5 2" xfId="1051" xr:uid="{00000000-0005-0000-0000-0000F5010000}"/>
    <cellStyle name="40% - Accent3 5 3" xfId="1052" xr:uid="{00000000-0005-0000-0000-0000F6010000}"/>
    <cellStyle name="40% - Accent3 6" xfId="452" xr:uid="{00000000-0005-0000-0000-0000F7010000}"/>
    <cellStyle name="40% - Accent3 6 2" xfId="1053" xr:uid="{00000000-0005-0000-0000-0000F8010000}"/>
    <cellStyle name="40% - Accent3 6 3" xfId="1054" xr:uid="{00000000-0005-0000-0000-0000F9010000}"/>
    <cellStyle name="40% - Accent3 7" xfId="625" xr:uid="{00000000-0005-0000-0000-0000FA010000}"/>
    <cellStyle name="40% - Accent3 7 2" xfId="1055" xr:uid="{00000000-0005-0000-0000-0000FB010000}"/>
    <cellStyle name="40% - Accent3 7 3" xfId="1056" xr:uid="{00000000-0005-0000-0000-0000FC010000}"/>
    <cellStyle name="40% - Accent3 8 2" xfId="1057" xr:uid="{00000000-0005-0000-0000-0000FD010000}"/>
    <cellStyle name="40% - Accent3 8 3" xfId="1058" xr:uid="{00000000-0005-0000-0000-0000FE010000}"/>
    <cellStyle name="40% - Accent3 9 2" xfId="1059" xr:uid="{00000000-0005-0000-0000-0000FF010000}"/>
    <cellStyle name="40% - Accent3 9 3" xfId="1060" xr:uid="{00000000-0005-0000-0000-000000020000}"/>
    <cellStyle name="40% - Accent4" xfId="165" builtinId="43" customBuiltin="1"/>
    <cellStyle name="40% - Accent4 10 2" xfId="1061" xr:uid="{00000000-0005-0000-0000-000002020000}"/>
    <cellStyle name="40% - Accent4 10 3" xfId="1062" xr:uid="{00000000-0005-0000-0000-000003020000}"/>
    <cellStyle name="40% - Accent4 11 2" xfId="1063" xr:uid="{00000000-0005-0000-0000-000004020000}"/>
    <cellStyle name="40% - Accent4 11 3" xfId="1064" xr:uid="{00000000-0005-0000-0000-000005020000}"/>
    <cellStyle name="40% - Accent4 12 2" xfId="1065" xr:uid="{00000000-0005-0000-0000-000006020000}"/>
    <cellStyle name="40% - Accent4 12 3" xfId="1066" xr:uid="{00000000-0005-0000-0000-000007020000}"/>
    <cellStyle name="40% - Accent4 13 2" xfId="1067" xr:uid="{00000000-0005-0000-0000-000008020000}"/>
    <cellStyle name="40% - Accent4 13 3" xfId="1068" xr:uid="{00000000-0005-0000-0000-000009020000}"/>
    <cellStyle name="40% - Accent4 14 2" xfId="1069" xr:uid="{00000000-0005-0000-0000-00000A020000}"/>
    <cellStyle name="40% - Accent4 14 3" xfId="1070" xr:uid="{00000000-0005-0000-0000-00000B020000}"/>
    <cellStyle name="40% - Accent4 15" xfId="1071" xr:uid="{00000000-0005-0000-0000-00000C020000}"/>
    <cellStyle name="40% - Accent4 15 2" xfId="1072" xr:uid="{00000000-0005-0000-0000-00000D020000}"/>
    <cellStyle name="40% - Accent4 15 3" xfId="1073" xr:uid="{00000000-0005-0000-0000-00000E020000}"/>
    <cellStyle name="40% - Accent4 15 4" xfId="1074" xr:uid="{00000000-0005-0000-0000-00000F020000}"/>
    <cellStyle name="40% - Accent4 15 5" xfId="1075" xr:uid="{00000000-0005-0000-0000-000010020000}"/>
    <cellStyle name="40% - Accent4 15 6" xfId="1076" xr:uid="{00000000-0005-0000-0000-000011020000}"/>
    <cellStyle name="40% - Accent4 15 7" xfId="1077" xr:uid="{00000000-0005-0000-0000-000012020000}"/>
    <cellStyle name="40% - Accent4 16" xfId="1078" xr:uid="{00000000-0005-0000-0000-000013020000}"/>
    <cellStyle name="40% - Accent4 17" xfId="1079" xr:uid="{00000000-0005-0000-0000-000014020000}"/>
    <cellStyle name="40% - Accent4 18" xfId="1080" xr:uid="{00000000-0005-0000-0000-000015020000}"/>
    <cellStyle name="40% - Accent4 19" xfId="1081" xr:uid="{00000000-0005-0000-0000-000016020000}"/>
    <cellStyle name="40% - Accent4 2" xfId="193" xr:uid="{00000000-0005-0000-0000-000017020000}"/>
    <cellStyle name="40% - Accent4 2 2" xfId="375" xr:uid="{00000000-0005-0000-0000-000018020000}"/>
    <cellStyle name="40% - Accent4 2 2 2" xfId="567" xr:uid="{00000000-0005-0000-0000-000019020000}"/>
    <cellStyle name="40% - Accent4 2 2 3" xfId="1083" xr:uid="{00000000-0005-0000-0000-00001A020000}"/>
    <cellStyle name="40% - Accent4 2 3" xfId="478" xr:uid="{00000000-0005-0000-0000-00001B020000}"/>
    <cellStyle name="40% - Accent4 2 3 2" xfId="1084" xr:uid="{00000000-0005-0000-0000-00001C020000}"/>
    <cellStyle name="40% - Accent4 2 4" xfId="1082" xr:uid="{00000000-0005-0000-0000-00001D020000}"/>
    <cellStyle name="40% - Accent4 2 5" xfId="37625" xr:uid="{00000000-0005-0000-0000-00001E020000}"/>
    <cellStyle name="40% - Accent4 20" xfId="1085" xr:uid="{00000000-0005-0000-0000-00001F020000}"/>
    <cellStyle name="40% - Accent4 21" xfId="1086" xr:uid="{00000000-0005-0000-0000-000020020000}"/>
    <cellStyle name="40% - Accent4 22" xfId="1087" xr:uid="{00000000-0005-0000-0000-000021020000}"/>
    <cellStyle name="40% - Accent4 3" xfId="341" xr:uid="{00000000-0005-0000-0000-000022020000}"/>
    <cellStyle name="40% - Accent4 3 2" xfId="531" xr:uid="{00000000-0005-0000-0000-000023020000}"/>
    <cellStyle name="40% - Accent4 3 2 2" xfId="1089" xr:uid="{00000000-0005-0000-0000-000024020000}"/>
    <cellStyle name="40% - Accent4 3 3" xfId="1090" xr:uid="{00000000-0005-0000-0000-000025020000}"/>
    <cellStyle name="40% - Accent4 3 4" xfId="1088" xr:uid="{00000000-0005-0000-0000-000026020000}"/>
    <cellStyle name="40% - Accent4 4" xfId="361" xr:uid="{00000000-0005-0000-0000-000027020000}"/>
    <cellStyle name="40% - Accent4 4 2" xfId="551" xr:uid="{00000000-0005-0000-0000-000028020000}"/>
    <cellStyle name="40% - Accent4 4 2 2" xfId="1092" xr:uid="{00000000-0005-0000-0000-000029020000}"/>
    <cellStyle name="40% - Accent4 4 3" xfId="1093" xr:uid="{00000000-0005-0000-0000-00002A020000}"/>
    <cellStyle name="40% - Accent4 4 4" xfId="1091" xr:uid="{00000000-0005-0000-0000-00002B020000}"/>
    <cellStyle name="40% - Accent4 4 5" xfId="37626" xr:uid="{00000000-0005-0000-0000-00002C020000}"/>
    <cellStyle name="40% - Accent4 5" xfId="420" xr:uid="{00000000-0005-0000-0000-00002D020000}"/>
    <cellStyle name="40% - Accent4 5 2" xfId="1094" xr:uid="{00000000-0005-0000-0000-00002E020000}"/>
    <cellStyle name="40% - Accent4 5 3" xfId="1095" xr:uid="{00000000-0005-0000-0000-00002F020000}"/>
    <cellStyle name="40% - Accent4 6" xfId="456" xr:uid="{00000000-0005-0000-0000-000030020000}"/>
    <cellStyle name="40% - Accent4 6 2" xfId="1096" xr:uid="{00000000-0005-0000-0000-000031020000}"/>
    <cellStyle name="40% - Accent4 6 3" xfId="1097" xr:uid="{00000000-0005-0000-0000-000032020000}"/>
    <cellStyle name="40% - Accent4 7" xfId="626" xr:uid="{00000000-0005-0000-0000-000033020000}"/>
    <cellStyle name="40% - Accent4 7 2" xfId="1098" xr:uid="{00000000-0005-0000-0000-000034020000}"/>
    <cellStyle name="40% - Accent4 7 3" xfId="1099" xr:uid="{00000000-0005-0000-0000-000035020000}"/>
    <cellStyle name="40% - Accent4 8 2" xfId="1100" xr:uid="{00000000-0005-0000-0000-000036020000}"/>
    <cellStyle name="40% - Accent4 8 3" xfId="1101" xr:uid="{00000000-0005-0000-0000-000037020000}"/>
    <cellStyle name="40% - Accent4 9 2" xfId="1102" xr:uid="{00000000-0005-0000-0000-000038020000}"/>
    <cellStyle name="40% - Accent4 9 3" xfId="1103" xr:uid="{00000000-0005-0000-0000-000039020000}"/>
    <cellStyle name="40% - Accent5" xfId="169" builtinId="47" customBuiltin="1"/>
    <cellStyle name="40% - Accent5 10 2" xfId="1104" xr:uid="{00000000-0005-0000-0000-00003B020000}"/>
    <cellStyle name="40% - Accent5 10 3" xfId="1105" xr:uid="{00000000-0005-0000-0000-00003C020000}"/>
    <cellStyle name="40% - Accent5 11 2" xfId="1106" xr:uid="{00000000-0005-0000-0000-00003D020000}"/>
    <cellStyle name="40% - Accent5 11 3" xfId="1107" xr:uid="{00000000-0005-0000-0000-00003E020000}"/>
    <cellStyle name="40% - Accent5 12 2" xfId="1108" xr:uid="{00000000-0005-0000-0000-00003F020000}"/>
    <cellStyle name="40% - Accent5 12 3" xfId="1109" xr:uid="{00000000-0005-0000-0000-000040020000}"/>
    <cellStyle name="40% - Accent5 13 2" xfId="1110" xr:uid="{00000000-0005-0000-0000-000041020000}"/>
    <cellStyle name="40% - Accent5 13 3" xfId="1111" xr:uid="{00000000-0005-0000-0000-000042020000}"/>
    <cellStyle name="40% - Accent5 14 2" xfId="1112" xr:uid="{00000000-0005-0000-0000-000043020000}"/>
    <cellStyle name="40% - Accent5 14 3" xfId="1113" xr:uid="{00000000-0005-0000-0000-000044020000}"/>
    <cellStyle name="40% - Accent5 15" xfId="1114" xr:uid="{00000000-0005-0000-0000-000045020000}"/>
    <cellStyle name="40% - Accent5 15 2" xfId="1115" xr:uid="{00000000-0005-0000-0000-000046020000}"/>
    <cellStyle name="40% - Accent5 15 3" xfId="1116" xr:uid="{00000000-0005-0000-0000-000047020000}"/>
    <cellStyle name="40% - Accent5 15 4" xfId="1117" xr:uid="{00000000-0005-0000-0000-000048020000}"/>
    <cellStyle name="40% - Accent5 15 5" xfId="1118" xr:uid="{00000000-0005-0000-0000-000049020000}"/>
    <cellStyle name="40% - Accent5 15 6" xfId="1119" xr:uid="{00000000-0005-0000-0000-00004A020000}"/>
    <cellStyle name="40% - Accent5 15 7" xfId="1120" xr:uid="{00000000-0005-0000-0000-00004B020000}"/>
    <cellStyle name="40% - Accent5 16" xfId="1121" xr:uid="{00000000-0005-0000-0000-00004C020000}"/>
    <cellStyle name="40% - Accent5 17" xfId="1122" xr:uid="{00000000-0005-0000-0000-00004D020000}"/>
    <cellStyle name="40% - Accent5 18" xfId="1123" xr:uid="{00000000-0005-0000-0000-00004E020000}"/>
    <cellStyle name="40% - Accent5 19" xfId="1124" xr:uid="{00000000-0005-0000-0000-00004F020000}"/>
    <cellStyle name="40% - Accent5 2" xfId="195" xr:uid="{00000000-0005-0000-0000-000050020000}"/>
    <cellStyle name="40% - Accent5 2 2" xfId="377" xr:uid="{00000000-0005-0000-0000-000051020000}"/>
    <cellStyle name="40% - Accent5 2 2 2" xfId="569" xr:uid="{00000000-0005-0000-0000-000052020000}"/>
    <cellStyle name="40% - Accent5 2 2 3" xfId="1126" xr:uid="{00000000-0005-0000-0000-000053020000}"/>
    <cellStyle name="40% - Accent5 2 3" xfId="480" xr:uid="{00000000-0005-0000-0000-000054020000}"/>
    <cellStyle name="40% - Accent5 2 3 2" xfId="1127" xr:uid="{00000000-0005-0000-0000-000055020000}"/>
    <cellStyle name="40% - Accent5 2 4" xfId="1125" xr:uid="{00000000-0005-0000-0000-000056020000}"/>
    <cellStyle name="40% - Accent5 2 5" xfId="37627" xr:uid="{00000000-0005-0000-0000-000057020000}"/>
    <cellStyle name="40% - Accent5 20" xfId="1128" xr:uid="{00000000-0005-0000-0000-000058020000}"/>
    <cellStyle name="40% - Accent5 21" xfId="1129" xr:uid="{00000000-0005-0000-0000-000059020000}"/>
    <cellStyle name="40% - Accent5 22" xfId="1130" xr:uid="{00000000-0005-0000-0000-00005A020000}"/>
    <cellStyle name="40% - Accent5 3" xfId="343" xr:uid="{00000000-0005-0000-0000-00005B020000}"/>
    <cellStyle name="40% - Accent5 3 2" xfId="533" xr:uid="{00000000-0005-0000-0000-00005C020000}"/>
    <cellStyle name="40% - Accent5 3 2 2" xfId="1132" xr:uid="{00000000-0005-0000-0000-00005D020000}"/>
    <cellStyle name="40% - Accent5 3 3" xfId="1133" xr:uid="{00000000-0005-0000-0000-00005E020000}"/>
    <cellStyle name="40% - Accent5 3 4" xfId="1131" xr:uid="{00000000-0005-0000-0000-00005F020000}"/>
    <cellStyle name="40% - Accent5 4" xfId="363" xr:uid="{00000000-0005-0000-0000-000060020000}"/>
    <cellStyle name="40% - Accent5 4 2" xfId="553" xr:uid="{00000000-0005-0000-0000-000061020000}"/>
    <cellStyle name="40% - Accent5 4 2 2" xfId="1135" xr:uid="{00000000-0005-0000-0000-000062020000}"/>
    <cellStyle name="40% - Accent5 4 3" xfId="1136" xr:uid="{00000000-0005-0000-0000-000063020000}"/>
    <cellStyle name="40% - Accent5 4 4" xfId="1134" xr:uid="{00000000-0005-0000-0000-000064020000}"/>
    <cellStyle name="40% - Accent5 4 5" xfId="37628" xr:uid="{00000000-0005-0000-0000-000065020000}"/>
    <cellStyle name="40% - Accent5 5" xfId="424" xr:uid="{00000000-0005-0000-0000-000066020000}"/>
    <cellStyle name="40% - Accent5 5 2" xfId="1137" xr:uid="{00000000-0005-0000-0000-000067020000}"/>
    <cellStyle name="40% - Accent5 5 3" xfId="1138" xr:uid="{00000000-0005-0000-0000-000068020000}"/>
    <cellStyle name="40% - Accent5 6" xfId="459" xr:uid="{00000000-0005-0000-0000-000069020000}"/>
    <cellStyle name="40% - Accent5 6 2" xfId="1139" xr:uid="{00000000-0005-0000-0000-00006A020000}"/>
    <cellStyle name="40% - Accent5 6 3" xfId="1140" xr:uid="{00000000-0005-0000-0000-00006B020000}"/>
    <cellStyle name="40% - Accent5 7" xfId="627" xr:uid="{00000000-0005-0000-0000-00006C020000}"/>
    <cellStyle name="40% - Accent5 7 2" xfId="1141" xr:uid="{00000000-0005-0000-0000-00006D020000}"/>
    <cellStyle name="40% - Accent5 7 3" xfId="1142" xr:uid="{00000000-0005-0000-0000-00006E020000}"/>
    <cellStyle name="40% - Accent5 8 2" xfId="1143" xr:uid="{00000000-0005-0000-0000-00006F020000}"/>
    <cellStyle name="40% - Accent5 8 3" xfId="1144" xr:uid="{00000000-0005-0000-0000-000070020000}"/>
    <cellStyle name="40% - Accent5 9 2" xfId="1145" xr:uid="{00000000-0005-0000-0000-000071020000}"/>
    <cellStyle name="40% - Accent5 9 3" xfId="1146" xr:uid="{00000000-0005-0000-0000-000072020000}"/>
    <cellStyle name="40% - Accent6" xfId="173" builtinId="51" customBuiltin="1"/>
    <cellStyle name="40% - Accent6 10 2" xfId="1147" xr:uid="{00000000-0005-0000-0000-000074020000}"/>
    <cellStyle name="40% - Accent6 10 3" xfId="1148" xr:uid="{00000000-0005-0000-0000-000075020000}"/>
    <cellStyle name="40% - Accent6 11 2" xfId="1149" xr:uid="{00000000-0005-0000-0000-000076020000}"/>
    <cellStyle name="40% - Accent6 11 3" xfId="1150" xr:uid="{00000000-0005-0000-0000-000077020000}"/>
    <cellStyle name="40% - Accent6 12 2" xfId="1151" xr:uid="{00000000-0005-0000-0000-000078020000}"/>
    <cellStyle name="40% - Accent6 12 3" xfId="1152" xr:uid="{00000000-0005-0000-0000-000079020000}"/>
    <cellStyle name="40% - Accent6 13 2" xfId="1153" xr:uid="{00000000-0005-0000-0000-00007A020000}"/>
    <cellStyle name="40% - Accent6 13 3" xfId="1154" xr:uid="{00000000-0005-0000-0000-00007B020000}"/>
    <cellStyle name="40% - Accent6 14 2" xfId="1155" xr:uid="{00000000-0005-0000-0000-00007C020000}"/>
    <cellStyle name="40% - Accent6 14 3" xfId="1156" xr:uid="{00000000-0005-0000-0000-00007D020000}"/>
    <cellStyle name="40% - Accent6 15" xfId="1157" xr:uid="{00000000-0005-0000-0000-00007E020000}"/>
    <cellStyle name="40% - Accent6 15 2" xfId="1158" xr:uid="{00000000-0005-0000-0000-00007F020000}"/>
    <cellStyle name="40% - Accent6 15 3" xfId="1159" xr:uid="{00000000-0005-0000-0000-000080020000}"/>
    <cellStyle name="40% - Accent6 15 4" xfId="1160" xr:uid="{00000000-0005-0000-0000-000081020000}"/>
    <cellStyle name="40% - Accent6 15 5" xfId="1161" xr:uid="{00000000-0005-0000-0000-000082020000}"/>
    <cellStyle name="40% - Accent6 15 6" xfId="1162" xr:uid="{00000000-0005-0000-0000-000083020000}"/>
    <cellStyle name="40% - Accent6 15 7" xfId="1163" xr:uid="{00000000-0005-0000-0000-000084020000}"/>
    <cellStyle name="40% - Accent6 16" xfId="1164" xr:uid="{00000000-0005-0000-0000-000085020000}"/>
    <cellStyle name="40% - Accent6 17" xfId="1165" xr:uid="{00000000-0005-0000-0000-000086020000}"/>
    <cellStyle name="40% - Accent6 18" xfId="1166" xr:uid="{00000000-0005-0000-0000-000087020000}"/>
    <cellStyle name="40% - Accent6 19" xfId="1167" xr:uid="{00000000-0005-0000-0000-000088020000}"/>
    <cellStyle name="40% - Accent6 2" xfId="197" xr:uid="{00000000-0005-0000-0000-000089020000}"/>
    <cellStyle name="40% - Accent6 2 2" xfId="379" xr:uid="{00000000-0005-0000-0000-00008A020000}"/>
    <cellStyle name="40% - Accent6 2 2 2" xfId="571" xr:uid="{00000000-0005-0000-0000-00008B020000}"/>
    <cellStyle name="40% - Accent6 2 2 3" xfId="1169" xr:uid="{00000000-0005-0000-0000-00008C020000}"/>
    <cellStyle name="40% - Accent6 2 3" xfId="482" xr:uid="{00000000-0005-0000-0000-00008D020000}"/>
    <cellStyle name="40% - Accent6 2 3 2" xfId="1170" xr:uid="{00000000-0005-0000-0000-00008E020000}"/>
    <cellStyle name="40% - Accent6 2 4" xfId="1168" xr:uid="{00000000-0005-0000-0000-00008F020000}"/>
    <cellStyle name="40% - Accent6 2 5" xfId="37629" xr:uid="{00000000-0005-0000-0000-000090020000}"/>
    <cellStyle name="40% - Accent6 20" xfId="1171" xr:uid="{00000000-0005-0000-0000-000091020000}"/>
    <cellStyle name="40% - Accent6 21" xfId="1172" xr:uid="{00000000-0005-0000-0000-000092020000}"/>
    <cellStyle name="40% - Accent6 22" xfId="1173" xr:uid="{00000000-0005-0000-0000-000093020000}"/>
    <cellStyle name="40% - Accent6 3" xfId="345" xr:uid="{00000000-0005-0000-0000-000094020000}"/>
    <cellStyle name="40% - Accent6 3 2" xfId="535" xr:uid="{00000000-0005-0000-0000-000095020000}"/>
    <cellStyle name="40% - Accent6 3 2 2" xfId="1175" xr:uid="{00000000-0005-0000-0000-000096020000}"/>
    <cellStyle name="40% - Accent6 3 3" xfId="1176" xr:uid="{00000000-0005-0000-0000-000097020000}"/>
    <cellStyle name="40% - Accent6 3 4" xfId="1174" xr:uid="{00000000-0005-0000-0000-000098020000}"/>
    <cellStyle name="40% - Accent6 4" xfId="365" xr:uid="{00000000-0005-0000-0000-000099020000}"/>
    <cellStyle name="40% - Accent6 4 2" xfId="555" xr:uid="{00000000-0005-0000-0000-00009A020000}"/>
    <cellStyle name="40% - Accent6 4 2 2" xfId="1178" xr:uid="{00000000-0005-0000-0000-00009B020000}"/>
    <cellStyle name="40% - Accent6 4 3" xfId="1179" xr:uid="{00000000-0005-0000-0000-00009C020000}"/>
    <cellStyle name="40% - Accent6 4 4" xfId="1177" xr:uid="{00000000-0005-0000-0000-00009D020000}"/>
    <cellStyle name="40% - Accent6 4 5" xfId="37630" xr:uid="{00000000-0005-0000-0000-00009E020000}"/>
    <cellStyle name="40% - Accent6 5" xfId="428" xr:uid="{00000000-0005-0000-0000-00009F020000}"/>
    <cellStyle name="40% - Accent6 5 2" xfId="1180" xr:uid="{00000000-0005-0000-0000-0000A0020000}"/>
    <cellStyle name="40% - Accent6 5 3" xfId="1181" xr:uid="{00000000-0005-0000-0000-0000A1020000}"/>
    <cellStyle name="40% - Accent6 6" xfId="462" xr:uid="{00000000-0005-0000-0000-0000A2020000}"/>
    <cellStyle name="40% - Accent6 6 2" xfId="1182" xr:uid="{00000000-0005-0000-0000-0000A3020000}"/>
    <cellStyle name="40% - Accent6 6 3" xfId="1183" xr:uid="{00000000-0005-0000-0000-0000A4020000}"/>
    <cellStyle name="40% - Accent6 7" xfId="628" xr:uid="{00000000-0005-0000-0000-0000A5020000}"/>
    <cellStyle name="40% - Accent6 7 2" xfId="1184" xr:uid="{00000000-0005-0000-0000-0000A6020000}"/>
    <cellStyle name="40% - Accent6 7 3" xfId="1185" xr:uid="{00000000-0005-0000-0000-0000A7020000}"/>
    <cellStyle name="40% - Accent6 8 2" xfId="1186" xr:uid="{00000000-0005-0000-0000-0000A8020000}"/>
    <cellStyle name="40% - Accent6 8 3" xfId="1187" xr:uid="{00000000-0005-0000-0000-0000A9020000}"/>
    <cellStyle name="40% - Accent6 9 2" xfId="1188" xr:uid="{00000000-0005-0000-0000-0000AA020000}"/>
    <cellStyle name="40% - Accent6 9 3" xfId="1189" xr:uid="{00000000-0005-0000-0000-0000AB020000}"/>
    <cellStyle name="60% - Accent1" xfId="154" builtinId="32" customBuiltin="1"/>
    <cellStyle name="60% - Accent1 10 2" xfId="1190" xr:uid="{00000000-0005-0000-0000-0000AD020000}"/>
    <cellStyle name="60% - Accent1 10 3" xfId="1191" xr:uid="{00000000-0005-0000-0000-0000AE020000}"/>
    <cellStyle name="60% - Accent1 11 2" xfId="1192" xr:uid="{00000000-0005-0000-0000-0000AF020000}"/>
    <cellStyle name="60% - Accent1 11 3" xfId="1193" xr:uid="{00000000-0005-0000-0000-0000B0020000}"/>
    <cellStyle name="60% - Accent1 12 2" xfId="1194" xr:uid="{00000000-0005-0000-0000-0000B1020000}"/>
    <cellStyle name="60% - Accent1 12 3" xfId="1195" xr:uid="{00000000-0005-0000-0000-0000B2020000}"/>
    <cellStyle name="60% - Accent1 13 2" xfId="1196" xr:uid="{00000000-0005-0000-0000-0000B3020000}"/>
    <cellStyle name="60% - Accent1 13 3" xfId="1197" xr:uid="{00000000-0005-0000-0000-0000B4020000}"/>
    <cellStyle name="60% - Accent1 14 2" xfId="1198" xr:uid="{00000000-0005-0000-0000-0000B5020000}"/>
    <cellStyle name="60% - Accent1 14 3" xfId="1199" xr:uid="{00000000-0005-0000-0000-0000B6020000}"/>
    <cellStyle name="60% - Accent1 15" xfId="1200" xr:uid="{00000000-0005-0000-0000-0000B7020000}"/>
    <cellStyle name="60% - Accent1 15 2" xfId="1201" xr:uid="{00000000-0005-0000-0000-0000B8020000}"/>
    <cellStyle name="60% - Accent1 15 3" xfId="1202" xr:uid="{00000000-0005-0000-0000-0000B9020000}"/>
    <cellStyle name="60% - Accent1 15 4" xfId="1203" xr:uid="{00000000-0005-0000-0000-0000BA020000}"/>
    <cellStyle name="60% - Accent1 15 5" xfId="1204" xr:uid="{00000000-0005-0000-0000-0000BB020000}"/>
    <cellStyle name="60% - Accent1 15 6" xfId="1205" xr:uid="{00000000-0005-0000-0000-0000BC020000}"/>
    <cellStyle name="60% - Accent1 15 7" xfId="1206" xr:uid="{00000000-0005-0000-0000-0000BD020000}"/>
    <cellStyle name="60% - Accent1 16" xfId="1207" xr:uid="{00000000-0005-0000-0000-0000BE020000}"/>
    <cellStyle name="60% - Accent1 17" xfId="1208" xr:uid="{00000000-0005-0000-0000-0000BF020000}"/>
    <cellStyle name="60% - Accent1 18" xfId="1209" xr:uid="{00000000-0005-0000-0000-0000C0020000}"/>
    <cellStyle name="60% - Accent1 19" xfId="1210" xr:uid="{00000000-0005-0000-0000-0000C1020000}"/>
    <cellStyle name="60% - Accent1 2" xfId="409" xr:uid="{00000000-0005-0000-0000-0000C2020000}"/>
    <cellStyle name="60% - Accent1 2 2" xfId="506" xr:uid="{00000000-0005-0000-0000-0000C3020000}"/>
    <cellStyle name="60% - Accent1 2 2 2" xfId="1211" xr:uid="{00000000-0005-0000-0000-0000C4020000}"/>
    <cellStyle name="60% - Accent1 2 3" xfId="1212" xr:uid="{00000000-0005-0000-0000-0000C5020000}"/>
    <cellStyle name="60% - Accent1 20" xfId="1213" xr:uid="{00000000-0005-0000-0000-0000C6020000}"/>
    <cellStyle name="60% - Accent1 21" xfId="1214" xr:uid="{00000000-0005-0000-0000-0000C7020000}"/>
    <cellStyle name="60% - Accent1 22" xfId="1215" xr:uid="{00000000-0005-0000-0000-0000C8020000}"/>
    <cellStyle name="60% - Accent1 3" xfId="629" xr:uid="{00000000-0005-0000-0000-0000C9020000}"/>
    <cellStyle name="60% - Accent1 3 2" xfId="1216" xr:uid="{00000000-0005-0000-0000-0000CA020000}"/>
    <cellStyle name="60% - Accent1 3 3" xfId="1217" xr:uid="{00000000-0005-0000-0000-0000CB020000}"/>
    <cellStyle name="60% - Accent1 4 2" xfId="1218" xr:uid="{00000000-0005-0000-0000-0000CC020000}"/>
    <cellStyle name="60% - Accent1 4 3" xfId="1219" xr:uid="{00000000-0005-0000-0000-0000CD020000}"/>
    <cellStyle name="60% - Accent1 5 2" xfId="1220" xr:uid="{00000000-0005-0000-0000-0000CE020000}"/>
    <cellStyle name="60% - Accent1 5 3" xfId="1221" xr:uid="{00000000-0005-0000-0000-0000CF020000}"/>
    <cellStyle name="60% - Accent1 6 2" xfId="1222" xr:uid="{00000000-0005-0000-0000-0000D0020000}"/>
    <cellStyle name="60% - Accent1 6 3" xfId="1223" xr:uid="{00000000-0005-0000-0000-0000D1020000}"/>
    <cellStyle name="60% - Accent1 7 2" xfId="1224" xr:uid="{00000000-0005-0000-0000-0000D2020000}"/>
    <cellStyle name="60% - Accent1 7 3" xfId="1225" xr:uid="{00000000-0005-0000-0000-0000D3020000}"/>
    <cellStyle name="60% - Accent1 8 2" xfId="1226" xr:uid="{00000000-0005-0000-0000-0000D4020000}"/>
    <cellStyle name="60% - Accent1 8 3" xfId="1227" xr:uid="{00000000-0005-0000-0000-0000D5020000}"/>
    <cellStyle name="60% - Accent1 9 2" xfId="1228" xr:uid="{00000000-0005-0000-0000-0000D6020000}"/>
    <cellStyle name="60% - Accent1 9 3" xfId="1229" xr:uid="{00000000-0005-0000-0000-0000D7020000}"/>
    <cellStyle name="60% - Accent2" xfId="158" builtinId="36" customBuiltin="1"/>
    <cellStyle name="60% - Accent2 10 2" xfId="1230" xr:uid="{00000000-0005-0000-0000-0000D9020000}"/>
    <cellStyle name="60% - Accent2 10 3" xfId="1231" xr:uid="{00000000-0005-0000-0000-0000DA020000}"/>
    <cellStyle name="60% - Accent2 11 2" xfId="1232" xr:uid="{00000000-0005-0000-0000-0000DB020000}"/>
    <cellStyle name="60% - Accent2 11 3" xfId="1233" xr:uid="{00000000-0005-0000-0000-0000DC020000}"/>
    <cellStyle name="60% - Accent2 12 2" xfId="1234" xr:uid="{00000000-0005-0000-0000-0000DD020000}"/>
    <cellStyle name="60% - Accent2 12 3" xfId="1235" xr:uid="{00000000-0005-0000-0000-0000DE020000}"/>
    <cellStyle name="60% - Accent2 13 2" xfId="1236" xr:uid="{00000000-0005-0000-0000-0000DF020000}"/>
    <cellStyle name="60% - Accent2 13 3" xfId="1237" xr:uid="{00000000-0005-0000-0000-0000E0020000}"/>
    <cellStyle name="60% - Accent2 14 2" xfId="1238" xr:uid="{00000000-0005-0000-0000-0000E1020000}"/>
    <cellStyle name="60% - Accent2 14 3" xfId="1239" xr:uid="{00000000-0005-0000-0000-0000E2020000}"/>
    <cellStyle name="60% - Accent2 15" xfId="1240" xr:uid="{00000000-0005-0000-0000-0000E3020000}"/>
    <cellStyle name="60% - Accent2 15 2" xfId="1241" xr:uid="{00000000-0005-0000-0000-0000E4020000}"/>
    <cellStyle name="60% - Accent2 15 3" xfId="1242" xr:uid="{00000000-0005-0000-0000-0000E5020000}"/>
    <cellStyle name="60% - Accent2 15 4" xfId="1243" xr:uid="{00000000-0005-0000-0000-0000E6020000}"/>
    <cellStyle name="60% - Accent2 15 5" xfId="1244" xr:uid="{00000000-0005-0000-0000-0000E7020000}"/>
    <cellStyle name="60% - Accent2 15 6" xfId="1245" xr:uid="{00000000-0005-0000-0000-0000E8020000}"/>
    <cellStyle name="60% - Accent2 15 7" xfId="1246" xr:uid="{00000000-0005-0000-0000-0000E9020000}"/>
    <cellStyle name="60% - Accent2 16" xfId="1247" xr:uid="{00000000-0005-0000-0000-0000EA020000}"/>
    <cellStyle name="60% - Accent2 17" xfId="1248" xr:uid="{00000000-0005-0000-0000-0000EB020000}"/>
    <cellStyle name="60% - Accent2 18" xfId="1249" xr:uid="{00000000-0005-0000-0000-0000EC020000}"/>
    <cellStyle name="60% - Accent2 19" xfId="1250" xr:uid="{00000000-0005-0000-0000-0000ED020000}"/>
    <cellStyle name="60% - Accent2 2" xfId="413" xr:uid="{00000000-0005-0000-0000-0000EE020000}"/>
    <cellStyle name="60% - Accent2 2 2" xfId="457" xr:uid="{00000000-0005-0000-0000-0000EF020000}"/>
    <cellStyle name="60% - Accent2 2 2 2" xfId="1251" xr:uid="{00000000-0005-0000-0000-0000F0020000}"/>
    <cellStyle name="60% - Accent2 2 3" xfId="1252" xr:uid="{00000000-0005-0000-0000-0000F1020000}"/>
    <cellStyle name="60% - Accent2 20" xfId="1253" xr:uid="{00000000-0005-0000-0000-0000F2020000}"/>
    <cellStyle name="60% - Accent2 21" xfId="1254" xr:uid="{00000000-0005-0000-0000-0000F3020000}"/>
    <cellStyle name="60% - Accent2 22" xfId="1255" xr:uid="{00000000-0005-0000-0000-0000F4020000}"/>
    <cellStyle name="60% - Accent2 3" xfId="630" xr:uid="{00000000-0005-0000-0000-0000F5020000}"/>
    <cellStyle name="60% - Accent2 3 2" xfId="1256" xr:uid="{00000000-0005-0000-0000-0000F6020000}"/>
    <cellStyle name="60% - Accent2 3 3" xfId="1257" xr:uid="{00000000-0005-0000-0000-0000F7020000}"/>
    <cellStyle name="60% - Accent2 4 2" xfId="1258" xr:uid="{00000000-0005-0000-0000-0000F8020000}"/>
    <cellStyle name="60% - Accent2 4 3" xfId="1259" xr:uid="{00000000-0005-0000-0000-0000F9020000}"/>
    <cellStyle name="60% - Accent2 5 2" xfId="1260" xr:uid="{00000000-0005-0000-0000-0000FA020000}"/>
    <cellStyle name="60% - Accent2 5 3" xfId="1261" xr:uid="{00000000-0005-0000-0000-0000FB020000}"/>
    <cellStyle name="60% - Accent2 6 2" xfId="1262" xr:uid="{00000000-0005-0000-0000-0000FC020000}"/>
    <cellStyle name="60% - Accent2 6 3" xfId="1263" xr:uid="{00000000-0005-0000-0000-0000FD020000}"/>
    <cellStyle name="60% - Accent2 7 2" xfId="1264" xr:uid="{00000000-0005-0000-0000-0000FE020000}"/>
    <cellStyle name="60% - Accent2 7 3" xfId="1265" xr:uid="{00000000-0005-0000-0000-0000FF020000}"/>
    <cellStyle name="60% - Accent2 8 2" xfId="1266" xr:uid="{00000000-0005-0000-0000-000000030000}"/>
    <cellStyle name="60% - Accent2 8 3" xfId="1267" xr:uid="{00000000-0005-0000-0000-000001030000}"/>
    <cellStyle name="60% - Accent2 9 2" xfId="1268" xr:uid="{00000000-0005-0000-0000-000002030000}"/>
    <cellStyle name="60% - Accent2 9 3" xfId="1269" xr:uid="{00000000-0005-0000-0000-000003030000}"/>
    <cellStyle name="60% - Accent3" xfId="162" builtinId="40" customBuiltin="1"/>
    <cellStyle name="60% - Accent3 10 2" xfId="1270" xr:uid="{00000000-0005-0000-0000-000005030000}"/>
    <cellStyle name="60% - Accent3 10 3" xfId="1271" xr:uid="{00000000-0005-0000-0000-000006030000}"/>
    <cellStyle name="60% - Accent3 11 2" xfId="1272" xr:uid="{00000000-0005-0000-0000-000007030000}"/>
    <cellStyle name="60% - Accent3 11 3" xfId="1273" xr:uid="{00000000-0005-0000-0000-000008030000}"/>
    <cellStyle name="60% - Accent3 12 2" xfId="1274" xr:uid="{00000000-0005-0000-0000-000009030000}"/>
    <cellStyle name="60% - Accent3 12 3" xfId="1275" xr:uid="{00000000-0005-0000-0000-00000A030000}"/>
    <cellStyle name="60% - Accent3 13 2" xfId="1276" xr:uid="{00000000-0005-0000-0000-00000B030000}"/>
    <cellStyle name="60% - Accent3 13 3" xfId="1277" xr:uid="{00000000-0005-0000-0000-00000C030000}"/>
    <cellStyle name="60% - Accent3 14 2" xfId="1278" xr:uid="{00000000-0005-0000-0000-00000D030000}"/>
    <cellStyle name="60% - Accent3 14 3" xfId="1279" xr:uid="{00000000-0005-0000-0000-00000E030000}"/>
    <cellStyle name="60% - Accent3 15" xfId="1280" xr:uid="{00000000-0005-0000-0000-00000F030000}"/>
    <cellStyle name="60% - Accent3 15 2" xfId="1281" xr:uid="{00000000-0005-0000-0000-000010030000}"/>
    <cellStyle name="60% - Accent3 15 3" xfId="1282" xr:uid="{00000000-0005-0000-0000-000011030000}"/>
    <cellStyle name="60% - Accent3 15 4" xfId="1283" xr:uid="{00000000-0005-0000-0000-000012030000}"/>
    <cellStyle name="60% - Accent3 15 5" xfId="1284" xr:uid="{00000000-0005-0000-0000-000013030000}"/>
    <cellStyle name="60% - Accent3 15 6" xfId="1285" xr:uid="{00000000-0005-0000-0000-000014030000}"/>
    <cellStyle name="60% - Accent3 15 7" xfId="1286" xr:uid="{00000000-0005-0000-0000-000015030000}"/>
    <cellStyle name="60% - Accent3 16" xfId="1287" xr:uid="{00000000-0005-0000-0000-000016030000}"/>
    <cellStyle name="60% - Accent3 17" xfId="1288" xr:uid="{00000000-0005-0000-0000-000017030000}"/>
    <cellStyle name="60% - Accent3 18" xfId="1289" xr:uid="{00000000-0005-0000-0000-000018030000}"/>
    <cellStyle name="60% - Accent3 19" xfId="1290" xr:uid="{00000000-0005-0000-0000-000019030000}"/>
    <cellStyle name="60% - Accent3 2" xfId="417" xr:uid="{00000000-0005-0000-0000-00001A030000}"/>
    <cellStyle name="60% - Accent3 2 2" xfId="515" xr:uid="{00000000-0005-0000-0000-00001B030000}"/>
    <cellStyle name="60% - Accent3 2 2 2" xfId="1291" xr:uid="{00000000-0005-0000-0000-00001C030000}"/>
    <cellStyle name="60% - Accent3 2 3" xfId="1292" xr:uid="{00000000-0005-0000-0000-00001D030000}"/>
    <cellStyle name="60% - Accent3 20" xfId="1293" xr:uid="{00000000-0005-0000-0000-00001E030000}"/>
    <cellStyle name="60% - Accent3 21" xfId="1294" xr:uid="{00000000-0005-0000-0000-00001F030000}"/>
    <cellStyle name="60% - Accent3 22" xfId="1295" xr:uid="{00000000-0005-0000-0000-000020030000}"/>
    <cellStyle name="60% - Accent3 3" xfId="631" xr:uid="{00000000-0005-0000-0000-000021030000}"/>
    <cellStyle name="60% - Accent3 3 2" xfId="1296" xr:uid="{00000000-0005-0000-0000-000022030000}"/>
    <cellStyle name="60% - Accent3 3 3" xfId="1297" xr:uid="{00000000-0005-0000-0000-000023030000}"/>
    <cellStyle name="60% - Accent3 4 2" xfId="1298" xr:uid="{00000000-0005-0000-0000-000024030000}"/>
    <cellStyle name="60% - Accent3 4 3" xfId="1299" xr:uid="{00000000-0005-0000-0000-000025030000}"/>
    <cellStyle name="60% - Accent3 5 2" xfId="1300" xr:uid="{00000000-0005-0000-0000-000026030000}"/>
    <cellStyle name="60% - Accent3 5 3" xfId="1301" xr:uid="{00000000-0005-0000-0000-000027030000}"/>
    <cellStyle name="60% - Accent3 6 2" xfId="1302" xr:uid="{00000000-0005-0000-0000-000028030000}"/>
    <cellStyle name="60% - Accent3 6 3" xfId="1303" xr:uid="{00000000-0005-0000-0000-000029030000}"/>
    <cellStyle name="60% - Accent3 7 2" xfId="1304" xr:uid="{00000000-0005-0000-0000-00002A030000}"/>
    <cellStyle name="60% - Accent3 7 3" xfId="1305" xr:uid="{00000000-0005-0000-0000-00002B030000}"/>
    <cellStyle name="60% - Accent3 8 2" xfId="1306" xr:uid="{00000000-0005-0000-0000-00002C030000}"/>
    <cellStyle name="60% - Accent3 8 3" xfId="1307" xr:uid="{00000000-0005-0000-0000-00002D030000}"/>
    <cellStyle name="60% - Accent3 9 2" xfId="1308" xr:uid="{00000000-0005-0000-0000-00002E030000}"/>
    <cellStyle name="60% - Accent3 9 3" xfId="1309" xr:uid="{00000000-0005-0000-0000-00002F030000}"/>
    <cellStyle name="60% - Accent4" xfId="166" builtinId="44" customBuiltin="1"/>
    <cellStyle name="60% - Accent4 10 2" xfId="1310" xr:uid="{00000000-0005-0000-0000-000031030000}"/>
    <cellStyle name="60% - Accent4 10 3" xfId="1311" xr:uid="{00000000-0005-0000-0000-000032030000}"/>
    <cellStyle name="60% - Accent4 11 2" xfId="1312" xr:uid="{00000000-0005-0000-0000-000033030000}"/>
    <cellStyle name="60% - Accent4 11 3" xfId="1313" xr:uid="{00000000-0005-0000-0000-000034030000}"/>
    <cellStyle name="60% - Accent4 12 2" xfId="1314" xr:uid="{00000000-0005-0000-0000-000035030000}"/>
    <cellStyle name="60% - Accent4 12 3" xfId="1315" xr:uid="{00000000-0005-0000-0000-000036030000}"/>
    <cellStyle name="60% - Accent4 13 2" xfId="1316" xr:uid="{00000000-0005-0000-0000-000037030000}"/>
    <cellStyle name="60% - Accent4 13 3" xfId="1317" xr:uid="{00000000-0005-0000-0000-000038030000}"/>
    <cellStyle name="60% - Accent4 14 2" xfId="1318" xr:uid="{00000000-0005-0000-0000-000039030000}"/>
    <cellStyle name="60% - Accent4 14 3" xfId="1319" xr:uid="{00000000-0005-0000-0000-00003A030000}"/>
    <cellStyle name="60% - Accent4 15" xfId="1320" xr:uid="{00000000-0005-0000-0000-00003B030000}"/>
    <cellStyle name="60% - Accent4 15 2" xfId="1321" xr:uid="{00000000-0005-0000-0000-00003C030000}"/>
    <cellStyle name="60% - Accent4 15 3" xfId="1322" xr:uid="{00000000-0005-0000-0000-00003D030000}"/>
    <cellStyle name="60% - Accent4 15 4" xfId="1323" xr:uid="{00000000-0005-0000-0000-00003E030000}"/>
    <cellStyle name="60% - Accent4 15 5" xfId="1324" xr:uid="{00000000-0005-0000-0000-00003F030000}"/>
    <cellStyle name="60% - Accent4 15 6" xfId="1325" xr:uid="{00000000-0005-0000-0000-000040030000}"/>
    <cellStyle name="60% - Accent4 15 7" xfId="1326" xr:uid="{00000000-0005-0000-0000-000041030000}"/>
    <cellStyle name="60% - Accent4 16" xfId="1327" xr:uid="{00000000-0005-0000-0000-000042030000}"/>
    <cellStyle name="60% - Accent4 17" xfId="1328" xr:uid="{00000000-0005-0000-0000-000043030000}"/>
    <cellStyle name="60% - Accent4 18" xfId="1329" xr:uid="{00000000-0005-0000-0000-000044030000}"/>
    <cellStyle name="60% - Accent4 19" xfId="1330" xr:uid="{00000000-0005-0000-0000-000045030000}"/>
    <cellStyle name="60% - Accent4 2" xfId="421" xr:uid="{00000000-0005-0000-0000-000046030000}"/>
    <cellStyle name="60% - Accent4 2 2" xfId="486" xr:uid="{00000000-0005-0000-0000-000047030000}"/>
    <cellStyle name="60% - Accent4 2 2 2" xfId="1331" xr:uid="{00000000-0005-0000-0000-000048030000}"/>
    <cellStyle name="60% - Accent4 2 3" xfId="1332" xr:uid="{00000000-0005-0000-0000-000049030000}"/>
    <cellStyle name="60% - Accent4 20" xfId="1333" xr:uid="{00000000-0005-0000-0000-00004A030000}"/>
    <cellStyle name="60% - Accent4 21" xfId="1334" xr:uid="{00000000-0005-0000-0000-00004B030000}"/>
    <cellStyle name="60% - Accent4 22" xfId="1335" xr:uid="{00000000-0005-0000-0000-00004C030000}"/>
    <cellStyle name="60% - Accent4 3" xfId="632" xr:uid="{00000000-0005-0000-0000-00004D030000}"/>
    <cellStyle name="60% - Accent4 3 2" xfId="1336" xr:uid="{00000000-0005-0000-0000-00004E030000}"/>
    <cellStyle name="60% - Accent4 3 3" xfId="1337" xr:uid="{00000000-0005-0000-0000-00004F030000}"/>
    <cellStyle name="60% - Accent4 4 2" xfId="1338" xr:uid="{00000000-0005-0000-0000-000050030000}"/>
    <cellStyle name="60% - Accent4 4 3" xfId="1339" xr:uid="{00000000-0005-0000-0000-000051030000}"/>
    <cellStyle name="60% - Accent4 5 2" xfId="1340" xr:uid="{00000000-0005-0000-0000-000052030000}"/>
    <cellStyle name="60% - Accent4 5 3" xfId="1341" xr:uid="{00000000-0005-0000-0000-000053030000}"/>
    <cellStyle name="60% - Accent4 6 2" xfId="1342" xr:uid="{00000000-0005-0000-0000-000054030000}"/>
    <cellStyle name="60% - Accent4 6 3" xfId="1343" xr:uid="{00000000-0005-0000-0000-000055030000}"/>
    <cellStyle name="60% - Accent4 7 2" xfId="1344" xr:uid="{00000000-0005-0000-0000-000056030000}"/>
    <cellStyle name="60% - Accent4 7 3" xfId="1345" xr:uid="{00000000-0005-0000-0000-000057030000}"/>
    <cellStyle name="60% - Accent4 8 2" xfId="1346" xr:uid="{00000000-0005-0000-0000-000058030000}"/>
    <cellStyle name="60% - Accent4 8 3" xfId="1347" xr:uid="{00000000-0005-0000-0000-000059030000}"/>
    <cellStyle name="60% - Accent4 9 2" xfId="1348" xr:uid="{00000000-0005-0000-0000-00005A030000}"/>
    <cellStyle name="60% - Accent4 9 3" xfId="1349" xr:uid="{00000000-0005-0000-0000-00005B030000}"/>
    <cellStyle name="60% - Accent5" xfId="170" builtinId="48" customBuiltin="1"/>
    <cellStyle name="60% - Accent5 10 2" xfId="1350" xr:uid="{00000000-0005-0000-0000-00005D030000}"/>
    <cellStyle name="60% - Accent5 10 3" xfId="1351" xr:uid="{00000000-0005-0000-0000-00005E030000}"/>
    <cellStyle name="60% - Accent5 11 2" xfId="1352" xr:uid="{00000000-0005-0000-0000-00005F030000}"/>
    <cellStyle name="60% - Accent5 11 3" xfId="1353" xr:uid="{00000000-0005-0000-0000-000060030000}"/>
    <cellStyle name="60% - Accent5 12 2" xfId="1354" xr:uid="{00000000-0005-0000-0000-000061030000}"/>
    <cellStyle name="60% - Accent5 12 3" xfId="1355" xr:uid="{00000000-0005-0000-0000-000062030000}"/>
    <cellStyle name="60% - Accent5 13 2" xfId="1356" xr:uid="{00000000-0005-0000-0000-000063030000}"/>
    <cellStyle name="60% - Accent5 13 3" xfId="1357" xr:uid="{00000000-0005-0000-0000-000064030000}"/>
    <cellStyle name="60% - Accent5 14 2" xfId="1358" xr:uid="{00000000-0005-0000-0000-000065030000}"/>
    <cellStyle name="60% - Accent5 14 3" xfId="1359" xr:uid="{00000000-0005-0000-0000-000066030000}"/>
    <cellStyle name="60% - Accent5 15" xfId="1360" xr:uid="{00000000-0005-0000-0000-000067030000}"/>
    <cellStyle name="60% - Accent5 15 2" xfId="1361" xr:uid="{00000000-0005-0000-0000-000068030000}"/>
    <cellStyle name="60% - Accent5 15 3" xfId="1362" xr:uid="{00000000-0005-0000-0000-000069030000}"/>
    <cellStyle name="60% - Accent5 15 4" xfId="1363" xr:uid="{00000000-0005-0000-0000-00006A030000}"/>
    <cellStyle name="60% - Accent5 15 5" xfId="1364" xr:uid="{00000000-0005-0000-0000-00006B030000}"/>
    <cellStyle name="60% - Accent5 15 6" xfId="1365" xr:uid="{00000000-0005-0000-0000-00006C030000}"/>
    <cellStyle name="60% - Accent5 15 7" xfId="1366" xr:uid="{00000000-0005-0000-0000-00006D030000}"/>
    <cellStyle name="60% - Accent5 16" xfId="1367" xr:uid="{00000000-0005-0000-0000-00006E030000}"/>
    <cellStyle name="60% - Accent5 17" xfId="1368" xr:uid="{00000000-0005-0000-0000-00006F030000}"/>
    <cellStyle name="60% - Accent5 18" xfId="1369" xr:uid="{00000000-0005-0000-0000-000070030000}"/>
    <cellStyle name="60% - Accent5 19" xfId="1370" xr:uid="{00000000-0005-0000-0000-000071030000}"/>
    <cellStyle name="60% - Accent5 2" xfId="425" xr:uid="{00000000-0005-0000-0000-000072030000}"/>
    <cellStyle name="60% - Accent5 2 2" xfId="507" xr:uid="{00000000-0005-0000-0000-000073030000}"/>
    <cellStyle name="60% - Accent5 2 2 2" xfId="1371" xr:uid="{00000000-0005-0000-0000-000074030000}"/>
    <cellStyle name="60% - Accent5 2 3" xfId="1372" xr:uid="{00000000-0005-0000-0000-000075030000}"/>
    <cellStyle name="60% - Accent5 20" xfId="1373" xr:uid="{00000000-0005-0000-0000-000076030000}"/>
    <cellStyle name="60% - Accent5 21" xfId="1374" xr:uid="{00000000-0005-0000-0000-000077030000}"/>
    <cellStyle name="60% - Accent5 22" xfId="1375" xr:uid="{00000000-0005-0000-0000-000078030000}"/>
    <cellStyle name="60% - Accent5 3" xfId="633" xr:uid="{00000000-0005-0000-0000-000079030000}"/>
    <cellStyle name="60% - Accent5 3 2" xfId="1376" xr:uid="{00000000-0005-0000-0000-00007A030000}"/>
    <cellStyle name="60% - Accent5 3 3" xfId="1377" xr:uid="{00000000-0005-0000-0000-00007B030000}"/>
    <cellStyle name="60% - Accent5 4 2" xfId="1378" xr:uid="{00000000-0005-0000-0000-00007C030000}"/>
    <cellStyle name="60% - Accent5 4 3" xfId="1379" xr:uid="{00000000-0005-0000-0000-00007D030000}"/>
    <cellStyle name="60% - Accent5 5 2" xfId="1380" xr:uid="{00000000-0005-0000-0000-00007E030000}"/>
    <cellStyle name="60% - Accent5 5 3" xfId="1381" xr:uid="{00000000-0005-0000-0000-00007F030000}"/>
    <cellStyle name="60% - Accent5 6 2" xfId="1382" xr:uid="{00000000-0005-0000-0000-000080030000}"/>
    <cellStyle name="60% - Accent5 6 3" xfId="1383" xr:uid="{00000000-0005-0000-0000-000081030000}"/>
    <cellStyle name="60% - Accent5 7 2" xfId="1384" xr:uid="{00000000-0005-0000-0000-000082030000}"/>
    <cellStyle name="60% - Accent5 7 3" xfId="1385" xr:uid="{00000000-0005-0000-0000-000083030000}"/>
    <cellStyle name="60% - Accent5 8 2" xfId="1386" xr:uid="{00000000-0005-0000-0000-000084030000}"/>
    <cellStyle name="60% - Accent5 8 3" xfId="1387" xr:uid="{00000000-0005-0000-0000-000085030000}"/>
    <cellStyle name="60% - Accent5 9 2" xfId="1388" xr:uid="{00000000-0005-0000-0000-000086030000}"/>
    <cellStyle name="60% - Accent5 9 3" xfId="1389" xr:uid="{00000000-0005-0000-0000-000087030000}"/>
    <cellStyle name="60% - Accent6" xfId="174" builtinId="52" customBuiltin="1"/>
    <cellStyle name="60% - Accent6 10 2" xfId="1390" xr:uid="{00000000-0005-0000-0000-000089030000}"/>
    <cellStyle name="60% - Accent6 10 3" xfId="1391" xr:uid="{00000000-0005-0000-0000-00008A030000}"/>
    <cellStyle name="60% - Accent6 11 2" xfId="1392" xr:uid="{00000000-0005-0000-0000-00008B030000}"/>
    <cellStyle name="60% - Accent6 11 3" xfId="1393" xr:uid="{00000000-0005-0000-0000-00008C030000}"/>
    <cellStyle name="60% - Accent6 12 2" xfId="1394" xr:uid="{00000000-0005-0000-0000-00008D030000}"/>
    <cellStyle name="60% - Accent6 12 3" xfId="1395" xr:uid="{00000000-0005-0000-0000-00008E030000}"/>
    <cellStyle name="60% - Accent6 13 2" xfId="1396" xr:uid="{00000000-0005-0000-0000-00008F030000}"/>
    <cellStyle name="60% - Accent6 13 3" xfId="1397" xr:uid="{00000000-0005-0000-0000-000090030000}"/>
    <cellStyle name="60% - Accent6 14 2" xfId="1398" xr:uid="{00000000-0005-0000-0000-000091030000}"/>
    <cellStyle name="60% - Accent6 14 3" xfId="1399" xr:uid="{00000000-0005-0000-0000-000092030000}"/>
    <cellStyle name="60% - Accent6 15" xfId="1400" xr:uid="{00000000-0005-0000-0000-000093030000}"/>
    <cellStyle name="60% - Accent6 15 2" xfId="1401" xr:uid="{00000000-0005-0000-0000-000094030000}"/>
    <cellStyle name="60% - Accent6 15 3" xfId="1402" xr:uid="{00000000-0005-0000-0000-000095030000}"/>
    <cellStyle name="60% - Accent6 15 4" xfId="1403" xr:uid="{00000000-0005-0000-0000-000096030000}"/>
    <cellStyle name="60% - Accent6 15 5" xfId="1404" xr:uid="{00000000-0005-0000-0000-000097030000}"/>
    <cellStyle name="60% - Accent6 15 6" xfId="1405" xr:uid="{00000000-0005-0000-0000-000098030000}"/>
    <cellStyle name="60% - Accent6 15 7" xfId="1406" xr:uid="{00000000-0005-0000-0000-000099030000}"/>
    <cellStyle name="60% - Accent6 16" xfId="1407" xr:uid="{00000000-0005-0000-0000-00009A030000}"/>
    <cellStyle name="60% - Accent6 17" xfId="1408" xr:uid="{00000000-0005-0000-0000-00009B030000}"/>
    <cellStyle name="60% - Accent6 18" xfId="1409" xr:uid="{00000000-0005-0000-0000-00009C030000}"/>
    <cellStyle name="60% - Accent6 19" xfId="1410" xr:uid="{00000000-0005-0000-0000-00009D030000}"/>
    <cellStyle name="60% - Accent6 2" xfId="429" xr:uid="{00000000-0005-0000-0000-00009E030000}"/>
    <cellStyle name="60% - Accent6 2 2" xfId="485" xr:uid="{00000000-0005-0000-0000-00009F030000}"/>
    <cellStyle name="60% - Accent6 2 2 2" xfId="1411" xr:uid="{00000000-0005-0000-0000-0000A0030000}"/>
    <cellStyle name="60% - Accent6 2 3" xfId="1412" xr:uid="{00000000-0005-0000-0000-0000A1030000}"/>
    <cellStyle name="60% - Accent6 20" xfId="1413" xr:uid="{00000000-0005-0000-0000-0000A2030000}"/>
    <cellStyle name="60% - Accent6 21" xfId="1414" xr:uid="{00000000-0005-0000-0000-0000A3030000}"/>
    <cellStyle name="60% - Accent6 22" xfId="1415" xr:uid="{00000000-0005-0000-0000-0000A4030000}"/>
    <cellStyle name="60% - Accent6 3" xfId="634" xr:uid="{00000000-0005-0000-0000-0000A5030000}"/>
    <cellStyle name="60% - Accent6 3 2" xfId="1416" xr:uid="{00000000-0005-0000-0000-0000A6030000}"/>
    <cellStyle name="60% - Accent6 3 3" xfId="1417" xr:uid="{00000000-0005-0000-0000-0000A7030000}"/>
    <cellStyle name="60% - Accent6 4 2" xfId="1418" xr:uid="{00000000-0005-0000-0000-0000A8030000}"/>
    <cellStyle name="60% - Accent6 4 3" xfId="1419" xr:uid="{00000000-0005-0000-0000-0000A9030000}"/>
    <cellStyle name="60% - Accent6 5 2" xfId="1420" xr:uid="{00000000-0005-0000-0000-0000AA030000}"/>
    <cellStyle name="60% - Accent6 5 3" xfId="1421" xr:uid="{00000000-0005-0000-0000-0000AB030000}"/>
    <cellStyle name="60% - Accent6 6 2" xfId="1422" xr:uid="{00000000-0005-0000-0000-0000AC030000}"/>
    <cellStyle name="60% - Accent6 6 3" xfId="1423" xr:uid="{00000000-0005-0000-0000-0000AD030000}"/>
    <cellStyle name="60% - Accent6 7 2" xfId="1424" xr:uid="{00000000-0005-0000-0000-0000AE030000}"/>
    <cellStyle name="60% - Accent6 7 3" xfId="1425" xr:uid="{00000000-0005-0000-0000-0000AF030000}"/>
    <cellStyle name="60% - Accent6 8 2" xfId="1426" xr:uid="{00000000-0005-0000-0000-0000B0030000}"/>
    <cellStyle name="60% - Accent6 8 3" xfId="1427" xr:uid="{00000000-0005-0000-0000-0000B1030000}"/>
    <cellStyle name="60% - Accent6 9 2" xfId="1428" xr:uid="{00000000-0005-0000-0000-0000B2030000}"/>
    <cellStyle name="60% - Accent6 9 3" xfId="1429" xr:uid="{00000000-0005-0000-0000-0000B3030000}"/>
    <cellStyle name="Accent1" xfId="151" builtinId="29" customBuiltin="1"/>
    <cellStyle name="Accent1 10 2" xfId="1430" xr:uid="{00000000-0005-0000-0000-0000B5030000}"/>
    <cellStyle name="Accent1 10 3" xfId="1431" xr:uid="{00000000-0005-0000-0000-0000B6030000}"/>
    <cellStyle name="Accent1 11 2" xfId="1432" xr:uid="{00000000-0005-0000-0000-0000B7030000}"/>
    <cellStyle name="Accent1 11 3" xfId="1433" xr:uid="{00000000-0005-0000-0000-0000B8030000}"/>
    <cellStyle name="Accent1 12 2" xfId="1434" xr:uid="{00000000-0005-0000-0000-0000B9030000}"/>
    <cellStyle name="Accent1 12 3" xfId="1435" xr:uid="{00000000-0005-0000-0000-0000BA030000}"/>
    <cellStyle name="Accent1 13 2" xfId="1436" xr:uid="{00000000-0005-0000-0000-0000BB030000}"/>
    <cellStyle name="Accent1 13 3" xfId="1437" xr:uid="{00000000-0005-0000-0000-0000BC030000}"/>
    <cellStyle name="Accent1 14 2" xfId="1438" xr:uid="{00000000-0005-0000-0000-0000BD030000}"/>
    <cellStyle name="Accent1 14 3" xfId="1439" xr:uid="{00000000-0005-0000-0000-0000BE030000}"/>
    <cellStyle name="Accent1 15" xfId="1440" xr:uid="{00000000-0005-0000-0000-0000BF030000}"/>
    <cellStyle name="Accent1 15 2" xfId="1441" xr:uid="{00000000-0005-0000-0000-0000C0030000}"/>
    <cellStyle name="Accent1 15 3" xfId="1442" xr:uid="{00000000-0005-0000-0000-0000C1030000}"/>
    <cellStyle name="Accent1 15 4" xfId="1443" xr:uid="{00000000-0005-0000-0000-0000C2030000}"/>
    <cellStyle name="Accent1 15 5" xfId="1444" xr:uid="{00000000-0005-0000-0000-0000C3030000}"/>
    <cellStyle name="Accent1 15 6" xfId="1445" xr:uid="{00000000-0005-0000-0000-0000C4030000}"/>
    <cellStyle name="Accent1 15 7" xfId="1446" xr:uid="{00000000-0005-0000-0000-0000C5030000}"/>
    <cellStyle name="Accent1 16" xfId="1447" xr:uid="{00000000-0005-0000-0000-0000C6030000}"/>
    <cellStyle name="Accent1 17" xfId="1448" xr:uid="{00000000-0005-0000-0000-0000C7030000}"/>
    <cellStyle name="Accent1 18" xfId="1449" xr:uid="{00000000-0005-0000-0000-0000C8030000}"/>
    <cellStyle name="Accent1 19" xfId="1450" xr:uid="{00000000-0005-0000-0000-0000C9030000}"/>
    <cellStyle name="Accent1 2" xfId="406" xr:uid="{00000000-0005-0000-0000-0000CA030000}"/>
    <cellStyle name="Accent1 2 2" xfId="493" xr:uid="{00000000-0005-0000-0000-0000CB030000}"/>
    <cellStyle name="Accent1 2 2 2" xfId="1451" xr:uid="{00000000-0005-0000-0000-0000CC030000}"/>
    <cellStyle name="Accent1 2 3" xfId="1452" xr:uid="{00000000-0005-0000-0000-0000CD030000}"/>
    <cellStyle name="Accent1 20" xfId="1453" xr:uid="{00000000-0005-0000-0000-0000CE030000}"/>
    <cellStyle name="Accent1 21" xfId="1454" xr:uid="{00000000-0005-0000-0000-0000CF030000}"/>
    <cellStyle name="Accent1 22" xfId="1455" xr:uid="{00000000-0005-0000-0000-0000D0030000}"/>
    <cellStyle name="Accent1 3" xfId="635" xr:uid="{00000000-0005-0000-0000-0000D1030000}"/>
    <cellStyle name="Accent1 3 2" xfId="1456" xr:uid="{00000000-0005-0000-0000-0000D2030000}"/>
    <cellStyle name="Accent1 3 3" xfId="1457" xr:uid="{00000000-0005-0000-0000-0000D3030000}"/>
    <cellStyle name="Accent1 4 2" xfId="1458" xr:uid="{00000000-0005-0000-0000-0000D4030000}"/>
    <cellStyle name="Accent1 4 3" xfId="1459" xr:uid="{00000000-0005-0000-0000-0000D5030000}"/>
    <cellStyle name="Accent1 5 2" xfId="1460" xr:uid="{00000000-0005-0000-0000-0000D6030000}"/>
    <cellStyle name="Accent1 5 3" xfId="1461" xr:uid="{00000000-0005-0000-0000-0000D7030000}"/>
    <cellStyle name="Accent1 6 2" xfId="1462" xr:uid="{00000000-0005-0000-0000-0000D8030000}"/>
    <cellStyle name="Accent1 6 3" xfId="1463" xr:uid="{00000000-0005-0000-0000-0000D9030000}"/>
    <cellStyle name="Accent1 7 2" xfId="1464" xr:uid="{00000000-0005-0000-0000-0000DA030000}"/>
    <cellStyle name="Accent1 7 3" xfId="1465" xr:uid="{00000000-0005-0000-0000-0000DB030000}"/>
    <cellStyle name="Accent1 8 2" xfId="1466" xr:uid="{00000000-0005-0000-0000-0000DC030000}"/>
    <cellStyle name="Accent1 8 3" xfId="1467" xr:uid="{00000000-0005-0000-0000-0000DD030000}"/>
    <cellStyle name="Accent1 9 2" xfId="1468" xr:uid="{00000000-0005-0000-0000-0000DE030000}"/>
    <cellStyle name="Accent1 9 3" xfId="1469" xr:uid="{00000000-0005-0000-0000-0000DF030000}"/>
    <cellStyle name="Accent2" xfId="155" builtinId="33" customBuiltin="1"/>
    <cellStyle name="Accent2 10 2" xfId="1470" xr:uid="{00000000-0005-0000-0000-0000E1030000}"/>
    <cellStyle name="Accent2 10 3" xfId="1471" xr:uid="{00000000-0005-0000-0000-0000E2030000}"/>
    <cellStyle name="Accent2 11 2" xfId="1472" xr:uid="{00000000-0005-0000-0000-0000E3030000}"/>
    <cellStyle name="Accent2 11 3" xfId="1473" xr:uid="{00000000-0005-0000-0000-0000E4030000}"/>
    <cellStyle name="Accent2 12 2" xfId="1474" xr:uid="{00000000-0005-0000-0000-0000E5030000}"/>
    <cellStyle name="Accent2 12 3" xfId="1475" xr:uid="{00000000-0005-0000-0000-0000E6030000}"/>
    <cellStyle name="Accent2 13 2" xfId="1476" xr:uid="{00000000-0005-0000-0000-0000E7030000}"/>
    <cellStyle name="Accent2 13 3" xfId="1477" xr:uid="{00000000-0005-0000-0000-0000E8030000}"/>
    <cellStyle name="Accent2 14 2" xfId="1478" xr:uid="{00000000-0005-0000-0000-0000E9030000}"/>
    <cellStyle name="Accent2 14 3" xfId="1479" xr:uid="{00000000-0005-0000-0000-0000EA030000}"/>
    <cellStyle name="Accent2 15" xfId="1480" xr:uid="{00000000-0005-0000-0000-0000EB030000}"/>
    <cellStyle name="Accent2 15 2" xfId="1481" xr:uid="{00000000-0005-0000-0000-0000EC030000}"/>
    <cellStyle name="Accent2 15 3" xfId="1482" xr:uid="{00000000-0005-0000-0000-0000ED030000}"/>
    <cellStyle name="Accent2 15 4" xfId="1483" xr:uid="{00000000-0005-0000-0000-0000EE030000}"/>
    <cellStyle name="Accent2 15 5" xfId="1484" xr:uid="{00000000-0005-0000-0000-0000EF030000}"/>
    <cellStyle name="Accent2 15 6" xfId="1485" xr:uid="{00000000-0005-0000-0000-0000F0030000}"/>
    <cellStyle name="Accent2 15 7" xfId="1486" xr:uid="{00000000-0005-0000-0000-0000F1030000}"/>
    <cellStyle name="Accent2 16" xfId="1487" xr:uid="{00000000-0005-0000-0000-0000F2030000}"/>
    <cellStyle name="Accent2 17" xfId="1488" xr:uid="{00000000-0005-0000-0000-0000F3030000}"/>
    <cellStyle name="Accent2 18" xfId="1489" xr:uid="{00000000-0005-0000-0000-0000F4030000}"/>
    <cellStyle name="Accent2 19" xfId="1490" xr:uid="{00000000-0005-0000-0000-0000F5030000}"/>
    <cellStyle name="Accent2 2" xfId="410" xr:uid="{00000000-0005-0000-0000-0000F6030000}"/>
    <cellStyle name="Accent2 2 2" xfId="509" xr:uid="{00000000-0005-0000-0000-0000F7030000}"/>
    <cellStyle name="Accent2 2 2 2" xfId="1491" xr:uid="{00000000-0005-0000-0000-0000F8030000}"/>
    <cellStyle name="Accent2 2 3" xfId="1492" xr:uid="{00000000-0005-0000-0000-0000F9030000}"/>
    <cellStyle name="Accent2 20" xfId="1493" xr:uid="{00000000-0005-0000-0000-0000FA030000}"/>
    <cellStyle name="Accent2 21" xfId="1494" xr:uid="{00000000-0005-0000-0000-0000FB030000}"/>
    <cellStyle name="Accent2 22" xfId="1495" xr:uid="{00000000-0005-0000-0000-0000FC030000}"/>
    <cellStyle name="Accent2 3" xfId="636" xr:uid="{00000000-0005-0000-0000-0000FD030000}"/>
    <cellStyle name="Accent2 3 2" xfId="1496" xr:uid="{00000000-0005-0000-0000-0000FE030000}"/>
    <cellStyle name="Accent2 3 3" xfId="1497" xr:uid="{00000000-0005-0000-0000-0000FF030000}"/>
    <cellStyle name="Accent2 4 2" xfId="1498" xr:uid="{00000000-0005-0000-0000-000000040000}"/>
    <cellStyle name="Accent2 4 3" xfId="1499" xr:uid="{00000000-0005-0000-0000-000001040000}"/>
    <cellStyle name="Accent2 5 2" xfId="1500" xr:uid="{00000000-0005-0000-0000-000002040000}"/>
    <cellStyle name="Accent2 5 3" xfId="1501" xr:uid="{00000000-0005-0000-0000-000003040000}"/>
    <cellStyle name="Accent2 6 2" xfId="1502" xr:uid="{00000000-0005-0000-0000-000004040000}"/>
    <cellStyle name="Accent2 6 3" xfId="1503" xr:uid="{00000000-0005-0000-0000-000005040000}"/>
    <cellStyle name="Accent2 7 2" xfId="1504" xr:uid="{00000000-0005-0000-0000-000006040000}"/>
    <cellStyle name="Accent2 7 3" xfId="1505" xr:uid="{00000000-0005-0000-0000-000007040000}"/>
    <cellStyle name="Accent2 8 2" xfId="1506" xr:uid="{00000000-0005-0000-0000-000008040000}"/>
    <cellStyle name="Accent2 8 3" xfId="1507" xr:uid="{00000000-0005-0000-0000-000009040000}"/>
    <cellStyle name="Accent2 9 2" xfId="1508" xr:uid="{00000000-0005-0000-0000-00000A040000}"/>
    <cellStyle name="Accent2 9 3" xfId="1509" xr:uid="{00000000-0005-0000-0000-00000B040000}"/>
    <cellStyle name="Accent3" xfId="159" builtinId="37" customBuiltin="1"/>
    <cellStyle name="Accent3 10 2" xfId="1510" xr:uid="{00000000-0005-0000-0000-00000D040000}"/>
    <cellStyle name="Accent3 10 3" xfId="1511" xr:uid="{00000000-0005-0000-0000-00000E040000}"/>
    <cellStyle name="Accent3 11 2" xfId="1512" xr:uid="{00000000-0005-0000-0000-00000F040000}"/>
    <cellStyle name="Accent3 11 3" xfId="1513" xr:uid="{00000000-0005-0000-0000-000010040000}"/>
    <cellStyle name="Accent3 12 2" xfId="1514" xr:uid="{00000000-0005-0000-0000-000011040000}"/>
    <cellStyle name="Accent3 12 3" xfId="1515" xr:uid="{00000000-0005-0000-0000-000012040000}"/>
    <cellStyle name="Accent3 13 2" xfId="1516" xr:uid="{00000000-0005-0000-0000-000013040000}"/>
    <cellStyle name="Accent3 13 3" xfId="1517" xr:uid="{00000000-0005-0000-0000-000014040000}"/>
    <cellStyle name="Accent3 14 2" xfId="1518" xr:uid="{00000000-0005-0000-0000-000015040000}"/>
    <cellStyle name="Accent3 14 3" xfId="1519" xr:uid="{00000000-0005-0000-0000-000016040000}"/>
    <cellStyle name="Accent3 15" xfId="1520" xr:uid="{00000000-0005-0000-0000-000017040000}"/>
    <cellStyle name="Accent3 15 2" xfId="1521" xr:uid="{00000000-0005-0000-0000-000018040000}"/>
    <cellStyle name="Accent3 15 3" xfId="1522" xr:uid="{00000000-0005-0000-0000-000019040000}"/>
    <cellStyle name="Accent3 15 4" xfId="1523" xr:uid="{00000000-0005-0000-0000-00001A040000}"/>
    <cellStyle name="Accent3 15 5" xfId="1524" xr:uid="{00000000-0005-0000-0000-00001B040000}"/>
    <cellStyle name="Accent3 15 6" xfId="1525" xr:uid="{00000000-0005-0000-0000-00001C040000}"/>
    <cellStyle name="Accent3 15 7" xfId="1526" xr:uid="{00000000-0005-0000-0000-00001D040000}"/>
    <cellStyle name="Accent3 16" xfId="1527" xr:uid="{00000000-0005-0000-0000-00001E040000}"/>
    <cellStyle name="Accent3 17" xfId="1528" xr:uid="{00000000-0005-0000-0000-00001F040000}"/>
    <cellStyle name="Accent3 18" xfId="1529" xr:uid="{00000000-0005-0000-0000-000020040000}"/>
    <cellStyle name="Accent3 19" xfId="1530" xr:uid="{00000000-0005-0000-0000-000021040000}"/>
    <cellStyle name="Accent3 2" xfId="414" xr:uid="{00000000-0005-0000-0000-000022040000}"/>
    <cellStyle name="Accent3 2 2" xfId="447" xr:uid="{00000000-0005-0000-0000-000023040000}"/>
    <cellStyle name="Accent3 2 2 2" xfId="1531" xr:uid="{00000000-0005-0000-0000-000024040000}"/>
    <cellStyle name="Accent3 2 3" xfId="1532" xr:uid="{00000000-0005-0000-0000-000025040000}"/>
    <cellStyle name="Accent3 20" xfId="1533" xr:uid="{00000000-0005-0000-0000-000026040000}"/>
    <cellStyle name="Accent3 21" xfId="1534" xr:uid="{00000000-0005-0000-0000-000027040000}"/>
    <cellStyle name="Accent3 22" xfId="1535" xr:uid="{00000000-0005-0000-0000-000028040000}"/>
    <cellStyle name="Accent3 3" xfId="637" xr:uid="{00000000-0005-0000-0000-000029040000}"/>
    <cellStyle name="Accent3 3 2" xfId="1536" xr:uid="{00000000-0005-0000-0000-00002A040000}"/>
    <cellStyle name="Accent3 3 3" xfId="1537" xr:uid="{00000000-0005-0000-0000-00002B040000}"/>
    <cellStyle name="Accent3 4 2" xfId="1538" xr:uid="{00000000-0005-0000-0000-00002C040000}"/>
    <cellStyle name="Accent3 4 3" xfId="1539" xr:uid="{00000000-0005-0000-0000-00002D040000}"/>
    <cellStyle name="Accent3 5 2" xfId="1540" xr:uid="{00000000-0005-0000-0000-00002E040000}"/>
    <cellStyle name="Accent3 5 3" xfId="1541" xr:uid="{00000000-0005-0000-0000-00002F040000}"/>
    <cellStyle name="Accent3 6 2" xfId="1542" xr:uid="{00000000-0005-0000-0000-000030040000}"/>
    <cellStyle name="Accent3 6 3" xfId="1543" xr:uid="{00000000-0005-0000-0000-000031040000}"/>
    <cellStyle name="Accent3 7 2" xfId="1544" xr:uid="{00000000-0005-0000-0000-000032040000}"/>
    <cellStyle name="Accent3 7 3" xfId="1545" xr:uid="{00000000-0005-0000-0000-000033040000}"/>
    <cellStyle name="Accent3 8 2" xfId="1546" xr:uid="{00000000-0005-0000-0000-000034040000}"/>
    <cellStyle name="Accent3 8 3" xfId="1547" xr:uid="{00000000-0005-0000-0000-000035040000}"/>
    <cellStyle name="Accent3 9 2" xfId="1548" xr:uid="{00000000-0005-0000-0000-000036040000}"/>
    <cellStyle name="Accent3 9 3" xfId="1549" xr:uid="{00000000-0005-0000-0000-000037040000}"/>
    <cellStyle name="Accent4" xfId="163" builtinId="41" customBuiltin="1"/>
    <cellStyle name="Accent4 10 2" xfId="1550" xr:uid="{00000000-0005-0000-0000-000039040000}"/>
    <cellStyle name="Accent4 10 3" xfId="1551" xr:uid="{00000000-0005-0000-0000-00003A040000}"/>
    <cellStyle name="Accent4 11 2" xfId="1552" xr:uid="{00000000-0005-0000-0000-00003B040000}"/>
    <cellStyle name="Accent4 11 3" xfId="1553" xr:uid="{00000000-0005-0000-0000-00003C040000}"/>
    <cellStyle name="Accent4 12 2" xfId="1554" xr:uid="{00000000-0005-0000-0000-00003D040000}"/>
    <cellStyle name="Accent4 12 3" xfId="1555" xr:uid="{00000000-0005-0000-0000-00003E040000}"/>
    <cellStyle name="Accent4 13 2" xfId="1556" xr:uid="{00000000-0005-0000-0000-00003F040000}"/>
    <cellStyle name="Accent4 13 3" xfId="1557" xr:uid="{00000000-0005-0000-0000-000040040000}"/>
    <cellStyle name="Accent4 14 2" xfId="1558" xr:uid="{00000000-0005-0000-0000-000041040000}"/>
    <cellStyle name="Accent4 14 3" xfId="1559" xr:uid="{00000000-0005-0000-0000-000042040000}"/>
    <cellStyle name="Accent4 15" xfId="1560" xr:uid="{00000000-0005-0000-0000-000043040000}"/>
    <cellStyle name="Accent4 15 2" xfId="1561" xr:uid="{00000000-0005-0000-0000-000044040000}"/>
    <cellStyle name="Accent4 15 3" xfId="1562" xr:uid="{00000000-0005-0000-0000-000045040000}"/>
    <cellStyle name="Accent4 15 4" xfId="1563" xr:uid="{00000000-0005-0000-0000-000046040000}"/>
    <cellStyle name="Accent4 15 5" xfId="1564" xr:uid="{00000000-0005-0000-0000-000047040000}"/>
    <cellStyle name="Accent4 15 6" xfId="1565" xr:uid="{00000000-0005-0000-0000-000048040000}"/>
    <cellStyle name="Accent4 15 7" xfId="1566" xr:uid="{00000000-0005-0000-0000-000049040000}"/>
    <cellStyle name="Accent4 16" xfId="1567" xr:uid="{00000000-0005-0000-0000-00004A040000}"/>
    <cellStyle name="Accent4 17" xfId="1568" xr:uid="{00000000-0005-0000-0000-00004B040000}"/>
    <cellStyle name="Accent4 18" xfId="1569" xr:uid="{00000000-0005-0000-0000-00004C040000}"/>
    <cellStyle name="Accent4 19" xfId="1570" xr:uid="{00000000-0005-0000-0000-00004D040000}"/>
    <cellStyle name="Accent4 2" xfId="418" xr:uid="{00000000-0005-0000-0000-00004E040000}"/>
    <cellStyle name="Accent4 2 2" xfId="512" xr:uid="{00000000-0005-0000-0000-00004F040000}"/>
    <cellStyle name="Accent4 2 2 2" xfId="1571" xr:uid="{00000000-0005-0000-0000-000050040000}"/>
    <cellStyle name="Accent4 2 3" xfId="1572" xr:uid="{00000000-0005-0000-0000-000051040000}"/>
    <cellStyle name="Accent4 20" xfId="1573" xr:uid="{00000000-0005-0000-0000-000052040000}"/>
    <cellStyle name="Accent4 21" xfId="1574" xr:uid="{00000000-0005-0000-0000-000053040000}"/>
    <cellStyle name="Accent4 22" xfId="1575" xr:uid="{00000000-0005-0000-0000-000054040000}"/>
    <cellStyle name="Accent4 3" xfId="638" xr:uid="{00000000-0005-0000-0000-000055040000}"/>
    <cellStyle name="Accent4 3 2" xfId="1576" xr:uid="{00000000-0005-0000-0000-000056040000}"/>
    <cellStyle name="Accent4 3 3" xfId="1577" xr:uid="{00000000-0005-0000-0000-000057040000}"/>
    <cellStyle name="Accent4 4 2" xfId="1578" xr:uid="{00000000-0005-0000-0000-000058040000}"/>
    <cellStyle name="Accent4 4 3" xfId="1579" xr:uid="{00000000-0005-0000-0000-000059040000}"/>
    <cellStyle name="Accent4 5 2" xfId="1580" xr:uid="{00000000-0005-0000-0000-00005A040000}"/>
    <cellStyle name="Accent4 5 3" xfId="1581" xr:uid="{00000000-0005-0000-0000-00005B040000}"/>
    <cellStyle name="Accent4 6 2" xfId="1582" xr:uid="{00000000-0005-0000-0000-00005C040000}"/>
    <cellStyle name="Accent4 6 3" xfId="1583" xr:uid="{00000000-0005-0000-0000-00005D040000}"/>
    <cellStyle name="Accent4 7 2" xfId="1584" xr:uid="{00000000-0005-0000-0000-00005E040000}"/>
    <cellStyle name="Accent4 7 3" xfId="1585" xr:uid="{00000000-0005-0000-0000-00005F040000}"/>
    <cellStyle name="Accent4 8 2" xfId="1586" xr:uid="{00000000-0005-0000-0000-000060040000}"/>
    <cellStyle name="Accent4 8 3" xfId="1587" xr:uid="{00000000-0005-0000-0000-000061040000}"/>
    <cellStyle name="Accent4 9 2" xfId="1588" xr:uid="{00000000-0005-0000-0000-000062040000}"/>
    <cellStyle name="Accent4 9 3" xfId="1589" xr:uid="{00000000-0005-0000-0000-000063040000}"/>
    <cellStyle name="Accent5" xfId="167" builtinId="45" customBuiltin="1"/>
    <cellStyle name="Accent5 10 2" xfId="1590" xr:uid="{00000000-0005-0000-0000-000065040000}"/>
    <cellStyle name="Accent5 10 3" xfId="1591" xr:uid="{00000000-0005-0000-0000-000066040000}"/>
    <cellStyle name="Accent5 11 2" xfId="1592" xr:uid="{00000000-0005-0000-0000-000067040000}"/>
    <cellStyle name="Accent5 11 3" xfId="1593" xr:uid="{00000000-0005-0000-0000-000068040000}"/>
    <cellStyle name="Accent5 12 2" xfId="1594" xr:uid="{00000000-0005-0000-0000-000069040000}"/>
    <cellStyle name="Accent5 12 3" xfId="1595" xr:uid="{00000000-0005-0000-0000-00006A040000}"/>
    <cellStyle name="Accent5 13 2" xfId="1596" xr:uid="{00000000-0005-0000-0000-00006B040000}"/>
    <cellStyle name="Accent5 13 3" xfId="1597" xr:uid="{00000000-0005-0000-0000-00006C040000}"/>
    <cellStyle name="Accent5 14 2" xfId="1598" xr:uid="{00000000-0005-0000-0000-00006D040000}"/>
    <cellStyle name="Accent5 14 3" xfId="1599" xr:uid="{00000000-0005-0000-0000-00006E040000}"/>
    <cellStyle name="Accent5 15" xfId="1600" xr:uid="{00000000-0005-0000-0000-00006F040000}"/>
    <cellStyle name="Accent5 15 2" xfId="1601" xr:uid="{00000000-0005-0000-0000-000070040000}"/>
    <cellStyle name="Accent5 15 3" xfId="1602" xr:uid="{00000000-0005-0000-0000-000071040000}"/>
    <cellStyle name="Accent5 15 4" xfId="1603" xr:uid="{00000000-0005-0000-0000-000072040000}"/>
    <cellStyle name="Accent5 15 5" xfId="1604" xr:uid="{00000000-0005-0000-0000-000073040000}"/>
    <cellStyle name="Accent5 15 6" xfId="1605" xr:uid="{00000000-0005-0000-0000-000074040000}"/>
    <cellStyle name="Accent5 15 7" xfId="1606" xr:uid="{00000000-0005-0000-0000-000075040000}"/>
    <cellStyle name="Accent5 16" xfId="1607" xr:uid="{00000000-0005-0000-0000-000076040000}"/>
    <cellStyle name="Accent5 17" xfId="1608" xr:uid="{00000000-0005-0000-0000-000077040000}"/>
    <cellStyle name="Accent5 18" xfId="1609" xr:uid="{00000000-0005-0000-0000-000078040000}"/>
    <cellStyle name="Accent5 19" xfId="1610" xr:uid="{00000000-0005-0000-0000-000079040000}"/>
    <cellStyle name="Accent5 2" xfId="422" xr:uid="{00000000-0005-0000-0000-00007A040000}"/>
    <cellStyle name="Accent5 2 2" xfId="503" xr:uid="{00000000-0005-0000-0000-00007B040000}"/>
    <cellStyle name="Accent5 2 2 2" xfId="1611" xr:uid="{00000000-0005-0000-0000-00007C040000}"/>
    <cellStyle name="Accent5 2 3" xfId="1612" xr:uid="{00000000-0005-0000-0000-00007D040000}"/>
    <cellStyle name="Accent5 20" xfId="1613" xr:uid="{00000000-0005-0000-0000-00007E040000}"/>
    <cellStyle name="Accent5 21" xfId="1614" xr:uid="{00000000-0005-0000-0000-00007F040000}"/>
    <cellStyle name="Accent5 22" xfId="1615" xr:uid="{00000000-0005-0000-0000-000080040000}"/>
    <cellStyle name="Accent5 3" xfId="639" xr:uid="{00000000-0005-0000-0000-000081040000}"/>
    <cellStyle name="Accent5 3 2" xfId="1616" xr:uid="{00000000-0005-0000-0000-000082040000}"/>
    <cellStyle name="Accent5 3 3" xfId="1617" xr:uid="{00000000-0005-0000-0000-000083040000}"/>
    <cellStyle name="Accent5 4 2" xfId="1618" xr:uid="{00000000-0005-0000-0000-000084040000}"/>
    <cellStyle name="Accent5 4 3" xfId="1619" xr:uid="{00000000-0005-0000-0000-000085040000}"/>
    <cellStyle name="Accent5 5 2" xfId="1620" xr:uid="{00000000-0005-0000-0000-000086040000}"/>
    <cellStyle name="Accent5 5 3" xfId="1621" xr:uid="{00000000-0005-0000-0000-000087040000}"/>
    <cellStyle name="Accent5 6 2" xfId="1622" xr:uid="{00000000-0005-0000-0000-000088040000}"/>
    <cellStyle name="Accent5 6 3" xfId="1623" xr:uid="{00000000-0005-0000-0000-000089040000}"/>
    <cellStyle name="Accent5 7 2" xfId="1624" xr:uid="{00000000-0005-0000-0000-00008A040000}"/>
    <cellStyle name="Accent5 7 3" xfId="1625" xr:uid="{00000000-0005-0000-0000-00008B040000}"/>
    <cellStyle name="Accent5 8 2" xfId="1626" xr:uid="{00000000-0005-0000-0000-00008C040000}"/>
    <cellStyle name="Accent5 8 3" xfId="1627" xr:uid="{00000000-0005-0000-0000-00008D040000}"/>
    <cellStyle name="Accent5 9 2" xfId="1628" xr:uid="{00000000-0005-0000-0000-00008E040000}"/>
    <cellStyle name="Accent5 9 3" xfId="1629" xr:uid="{00000000-0005-0000-0000-00008F040000}"/>
    <cellStyle name="Accent6" xfId="171" builtinId="49" customBuiltin="1"/>
    <cellStyle name="Accent6 10 2" xfId="1630" xr:uid="{00000000-0005-0000-0000-000091040000}"/>
    <cellStyle name="Accent6 10 3" xfId="1631" xr:uid="{00000000-0005-0000-0000-000092040000}"/>
    <cellStyle name="Accent6 11 2" xfId="1632" xr:uid="{00000000-0005-0000-0000-000093040000}"/>
    <cellStyle name="Accent6 11 3" xfId="1633" xr:uid="{00000000-0005-0000-0000-000094040000}"/>
    <cellStyle name="Accent6 12 2" xfId="1634" xr:uid="{00000000-0005-0000-0000-000095040000}"/>
    <cellStyle name="Accent6 12 3" xfId="1635" xr:uid="{00000000-0005-0000-0000-000096040000}"/>
    <cellStyle name="Accent6 13 2" xfId="1636" xr:uid="{00000000-0005-0000-0000-000097040000}"/>
    <cellStyle name="Accent6 13 3" xfId="1637" xr:uid="{00000000-0005-0000-0000-000098040000}"/>
    <cellStyle name="Accent6 14 2" xfId="1638" xr:uid="{00000000-0005-0000-0000-000099040000}"/>
    <cellStyle name="Accent6 14 3" xfId="1639" xr:uid="{00000000-0005-0000-0000-00009A040000}"/>
    <cellStyle name="Accent6 15" xfId="1640" xr:uid="{00000000-0005-0000-0000-00009B040000}"/>
    <cellStyle name="Accent6 15 2" xfId="1641" xr:uid="{00000000-0005-0000-0000-00009C040000}"/>
    <cellStyle name="Accent6 15 3" xfId="1642" xr:uid="{00000000-0005-0000-0000-00009D040000}"/>
    <cellStyle name="Accent6 15 4" xfId="1643" xr:uid="{00000000-0005-0000-0000-00009E040000}"/>
    <cellStyle name="Accent6 15 5" xfId="1644" xr:uid="{00000000-0005-0000-0000-00009F040000}"/>
    <cellStyle name="Accent6 15 6" xfId="1645" xr:uid="{00000000-0005-0000-0000-0000A0040000}"/>
    <cellStyle name="Accent6 15 7" xfId="1646" xr:uid="{00000000-0005-0000-0000-0000A1040000}"/>
    <cellStyle name="Accent6 16" xfId="1647" xr:uid="{00000000-0005-0000-0000-0000A2040000}"/>
    <cellStyle name="Accent6 17" xfId="1648" xr:uid="{00000000-0005-0000-0000-0000A3040000}"/>
    <cellStyle name="Accent6 18" xfId="1649" xr:uid="{00000000-0005-0000-0000-0000A4040000}"/>
    <cellStyle name="Accent6 19" xfId="1650" xr:uid="{00000000-0005-0000-0000-0000A5040000}"/>
    <cellStyle name="Accent6 2" xfId="426" xr:uid="{00000000-0005-0000-0000-0000A6040000}"/>
    <cellStyle name="Accent6 2 2" xfId="504" xr:uid="{00000000-0005-0000-0000-0000A7040000}"/>
    <cellStyle name="Accent6 2 2 2" xfId="1651" xr:uid="{00000000-0005-0000-0000-0000A8040000}"/>
    <cellStyle name="Accent6 2 3" xfId="1652" xr:uid="{00000000-0005-0000-0000-0000A9040000}"/>
    <cellStyle name="Accent6 20" xfId="1653" xr:uid="{00000000-0005-0000-0000-0000AA040000}"/>
    <cellStyle name="Accent6 21" xfId="1654" xr:uid="{00000000-0005-0000-0000-0000AB040000}"/>
    <cellStyle name="Accent6 22" xfId="1655" xr:uid="{00000000-0005-0000-0000-0000AC040000}"/>
    <cellStyle name="Accent6 3" xfId="640" xr:uid="{00000000-0005-0000-0000-0000AD040000}"/>
    <cellStyle name="Accent6 3 2" xfId="1656" xr:uid="{00000000-0005-0000-0000-0000AE040000}"/>
    <cellStyle name="Accent6 3 3" xfId="1657" xr:uid="{00000000-0005-0000-0000-0000AF040000}"/>
    <cellStyle name="Accent6 4 2" xfId="1658" xr:uid="{00000000-0005-0000-0000-0000B0040000}"/>
    <cellStyle name="Accent6 4 3" xfId="1659" xr:uid="{00000000-0005-0000-0000-0000B1040000}"/>
    <cellStyle name="Accent6 5 2" xfId="1660" xr:uid="{00000000-0005-0000-0000-0000B2040000}"/>
    <cellStyle name="Accent6 5 3" xfId="1661" xr:uid="{00000000-0005-0000-0000-0000B3040000}"/>
    <cellStyle name="Accent6 6 2" xfId="1662" xr:uid="{00000000-0005-0000-0000-0000B4040000}"/>
    <cellStyle name="Accent6 6 3" xfId="1663" xr:uid="{00000000-0005-0000-0000-0000B5040000}"/>
    <cellStyle name="Accent6 7 2" xfId="1664" xr:uid="{00000000-0005-0000-0000-0000B6040000}"/>
    <cellStyle name="Accent6 7 3" xfId="1665" xr:uid="{00000000-0005-0000-0000-0000B7040000}"/>
    <cellStyle name="Accent6 8 2" xfId="1666" xr:uid="{00000000-0005-0000-0000-0000B8040000}"/>
    <cellStyle name="Accent6 8 3" xfId="1667" xr:uid="{00000000-0005-0000-0000-0000B9040000}"/>
    <cellStyle name="Accent6 9 2" xfId="1668" xr:uid="{00000000-0005-0000-0000-0000BA040000}"/>
    <cellStyle name="Accent6 9 3" xfId="1669" xr:uid="{00000000-0005-0000-0000-0000BB040000}"/>
    <cellStyle name="Bad" xfId="143" builtinId="27" customBuiltin="1"/>
    <cellStyle name="Bad 10 2" xfId="1670" xr:uid="{00000000-0005-0000-0000-0000BD040000}"/>
    <cellStyle name="Bad 10 3" xfId="1671" xr:uid="{00000000-0005-0000-0000-0000BE040000}"/>
    <cellStyle name="Bad 11 2" xfId="1672" xr:uid="{00000000-0005-0000-0000-0000BF040000}"/>
    <cellStyle name="Bad 11 3" xfId="1673" xr:uid="{00000000-0005-0000-0000-0000C0040000}"/>
    <cellStyle name="Bad 12 2" xfId="1674" xr:uid="{00000000-0005-0000-0000-0000C1040000}"/>
    <cellStyle name="Bad 12 3" xfId="1675" xr:uid="{00000000-0005-0000-0000-0000C2040000}"/>
    <cellStyle name="Bad 13 2" xfId="1676" xr:uid="{00000000-0005-0000-0000-0000C3040000}"/>
    <cellStyle name="Bad 13 3" xfId="1677" xr:uid="{00000000-0005-0000-0000-0000C4040000}"/>
    <cellStyle name="Bad 14 2" xfId="1678" xr:uid="{00000000-0005-0000-0000-0000C5040000}"/>
    <cellStyle name="Bad 14 3" xfId="1679" xr:uid="{00000000-0005-0000-0000-0000C6040000}"/>
    <cellStyle name="Bad 15" xfId="1680" xr:uid="{00000000-0005-0000-0000-0000C7040000}"/>
    <cellStyle name="Bad 15 2" xfId="1681" xr:uid="{00000000-0005-0000-0000-0000C8040000}"/>
    <cellStyle name="Bad 15 3" xfId="1682" xr:uid="{00000000-0005-0000-0000-0000C9040000}"/>
    <cellStyle name="Bad 15 4" xfId="1683" xr:uid="{00000000-0005-0000-0000-0000CA040000}"/>
    <cellStyle name="Bad 15 5" xfId="1684" xr:uid="{00000000-0005-0000-0000-0000CB040000}"/>
    <cellStyle name="Bad 15 6" xfId="1685" xr:uid="{00000000-0005-0000-0000-0000CC040000}"/>
    <cellStyle name="Bad 15 7" xfId="1686" xr:uid="{00000000-0005-0000-0000-0000CD040000}"/>
    <cellStyle name="Bad 16" xfId="1687" xr:uid="{00000000-0005-0000-0000-0000CE040000}"/>
    <cellStyle name="Bad 17" xfId="1688" xr:uid="{00000000-0005-0000-0000-0000CF040000}"/>
    <cellStyle name="Bad 18" xfId="1689" xr:uid="{00000000-0005-0000-0000-0000D0040000}"/>
    <cellStyle name="Bad 19" xfId="1690" xr:uid="{00000000-0005-0000-0000-0000D1040000}"/>
    <cellStyle name="Bad 2" xfId="395" xr:uid="{00000000-0005-0000-0000-0000D2040000}"/>
    <cellStyle name="Bad 2 2" xfId="582" xr:uid="{00000000-0005-0000-0000-0000D3040000}"/>
    <cellStyle name="Bad 2 2 2" xfId="1691" xr:uid="{00000000-0005-0000-0000-0000D4040000}"/>
    <cellStyle name="Bad 2 3" xfId="1692" xr:uid="{00000000-0005-0000-0000-0000D5040000}"/>
    <cellStyle name="Bad 20" xfId="1693" xr:uid="{00000000-0005-0000-0000-0000D6040000}"/>
    <cellStyle name="Bad 21" xfId="1694" xr:uid="{00000000-0005-0000-0000-0000D7040000}"/>
    <cellStyle name="Bad 22" xfId="1695" xr:uid="{00000000-0005-0000-0000-0000D8040000}"/>
    <cellStyle name="Bad 3" xfId="641" xr:uid="{00000000-0005-0000-0000-0000D9040000}"/>
    <cellStyle name="Bad 3 2" xfId="1696" xr:uid="{00000000-0005-0000-0000-0000DA040000}"/>
    <cellStyle name="Bad 3 3" xfId="1697" xr:uid="{00000000-0005-0000-0000-0000DB040000}"/>
    <cellStyle name="Bad 4 2" xfId="1698" xr:uid="{00000000-0005-0000-0000-0000DC040000}"/>
    <cellStyle name="Bad 4 3" xfId="1699" xr:uid="{00000000-0005-0000-0000-0000DD040000}"/>
    <cellStyle name="Bad 5 2" xfId="1700" xr:uid="{00000000-0005-0000-0000-0000DE040000}"/>
    <cellStyle name="Bad 5 3" xfId="1701" xr:uid="{00000000-0005-0000-0000-0000DF040000}"/>
    <cellStyle name="Bad 6 2" xfId="1702" xr:uid="{00000000-0005-0000-0000-0000E0040000}"/>
    <cellStyle name="Bad 6 3" xfId="1703" xr:uid="{00000000-0005-0000-0000-0000E1040000}"/>
    <cellStyle name="Bad 7 2" xfId="1704" xr:uid="{00000000-0005-0000-0000-0000E2040000}"/>
    <cellStyle name="Bad 7 3" xfId="1705" xr:uid="{00000000-0005-0000-0000-0000E3040000}"/>
    <cellStyle name="Bad 8 2" xfId="1706" xr:uid="{00000000-0005-0000-0000-0000E4040000}"/>
    <cellStyle name="Bad 8 3" xfId="1707" xr:uid="{00000000-0005-0000-0000-0000E5040000}"/>
    <cellStyle name="Bad 9 2" xfId="1708" xr:uid="{00000000-0005-0000-0000-0000E6040000}"/>
    <cellStyle name="Bad 9 3" xfId="1709" xr:uid="{00000000-0005-0000-0000-0000E7040000}"/>
    <cellStyle name="Calculation" xfId="2" builtinId="22" customBuiltin="1"/>
    <cellStyle name="Calculation 10 2" xfId="1710" xr:uid="{00000000-0005-0000-0000-0000E9040000}"/>
    <cellStyle name="Calculation 10 3" xfId="1711" xr:uid="{00000000-0005-0000-0000-0000EA040000}"/>
    <cellStyle name="Calculation 11 2" xfId="1712" xr:uid="{00000000-0005-0000-0000-0000EB040000}"/>
    <cellStyle name="Calculation 11 3" xfId="1713" xr:uid="{00000000-0005-0000-0000-0000EC040000}"/>
    <cellStyle name="Calculation 12 2" xfId="1714" xr:uid="{00000000-0005-0000-0000-0000ED040000}"/>
    <cellStyle name="Calculation 12 3" xfId="1715" xr:uid="{00000000-0005-0000-0000-0000EE040000}"/>
    <cellStyle name="Calculation 13 2" xfId="1716" xr:uid="{00000000-0005-0000-0000-0000EF040000}"/>
    <cellStyle name="Calculation 13 3" xfId="1717" xr:uid="{00000000-0005-0000-0000-0000F0040000}"/>
    <cellStyle name="Calculation 14 2" xfId="1718" xr:uid="{00000000-0005-0000-0000-0000F1040000}"/>
    <cellStyle name="Calculation 14 3" xfId="1719" xr:uid="{00000000-0005-0000-0000-0000F2040000}"/>
    <cellStyle name="Calculation 15" xfId="1720" xr:uid="{00000000-0005-0000-0000-0000F3040000}"/>
    <cellStyle name="Calculation 15 2" xfId="1721" xr:uid="{00000000-0005-0000-0000-0000F4040000}"/>
    <cellStyle name="Calculation 15 3" xfId="1722" xr:uid="{00000000-0005-0000-0000-0000F5040000}"/>
    <cellStyle name="Calculation 15 4" xfId="1723" xr:uid="{00000000-0005-0000-0000-0000F6040000}"/>
    <cellStyle name="Calculation 15 5" xfId="1724" xr:uid="{00000000-0005-0000-0000-0000F7040000}"/>
    <cellStyle name="Calculation 15 6" xfId="1725" xr:uid="{00000000-0005-0000-0000-0000F8040000}"/>
    <cellStyle name="Calculation 15 7" xfId="1726" xr:uid="{00000000-0005-0000-0000-0000F9040000}"/>
    <cellStyle name="Calculation 16" xfId="1727" xr:uid="{00000000-0005-0000-0000-0000FA040000}"/>
    <cellStyle name="Calculation 17" xfId="1728" xr:uid="{00000000-0005-0000-0000-0000FB040000}"/>
    <cellStyle name="Calculation 18" xfId="1729" xr:uid="{00000000-0005-0000-0000-0000FC040000}"/>
    <cellStyle name="Calculation 19" xfId="1730" xr:uid="{00000000-0005-0000-0000-0000FD040000}"/>
    <cellStyle name="Calculation 2" xfId="399" xr:uid="{00000000-0005-0000-0000-0000FE040000}"/>
    <cellStyle name="Calculation 2 2" xfId="599" xr:uid="{00000000-0005-0000-0000-0000FF040000}"/>
    <cellStyle name="Calculation 2 2 2" xfId="1731" xr:uid="{00000000-0005-0000-0000-000000050000}"/>
    <cellStyle name="Calculation 2 3" xfId="1732" xr:uid="{00000000-0005-0000-0000-000001050000}"/>
    <cellStyle name="Calculation 20" xfId="1733" xr:uid="{00000000-0005-0000-0000-000002050000}"/>
    <cellStyle name="Calculation 21" xfId="1734" xr:uid="{00000000-0005-0000-0000-000003050000}"/>
    <cellStyle name="Calculation 22" xfId="1735" xr:uid="{00000000-0005-0000-0000-000004050000}"/>
    <cellStyle name="Calculation 3" xfId="642" xr:uid="{00000000-0005-0000-0000-000005050000}"/>
    <cellStyle name="Calculation 3 2" xfId="1736" xr:uid="{00000000-0005-0000-0000-000006050000}"/>
    <cellStyle name="Calculation 3 3" xfId="1737" xr:uid="{00000000-0005-0000-0000-000007050000}"/>
    <cellStyle name="Calculation 4 2" xfId="1738" xr:uid="{00000000-0005-0000-0000-000008050000}"/>
    <cellStyle name="Calculation 4 3" xfId="1739" xr:uid="{00000000-0005-0000-0000-000009050000}"/>
    <cellStyle name="Calculation 5 2" xfId="1740" xr:uid="{00000000-0005-0000-0000-00000A050000}"/>
    <cellStyle name="Calculation 5 3" xfId="1741" xr:uid="{00000000-0005-0000-0000-00000B050000}"/>
    <cellStyle name="Calculation 6 2" xfId="1742" xr:uid="{00000000-0005-0000-0000-00000C050000}"/>
    <cellStyle name="Calculation 6 3" xfId="1743" xr:uid="{00000000-0005-0000-0000-00000D050000}"/>
    <cellStyle name="Calculation 7 2" xfId="1744" xr:uid="{00000000-0005-0000-0000-00000E050000}"/>
    <cellStyle name="Calculation 7 3" xfId="1745" xr:uid="{00000000-0005-0000-0000-00000F050000}"/>
    <cellStyle name="Calculation 8 2" xfId="1746" xr:uid="{00000000-0005-0000-0000-000010050000}"/>
    <cellStyle name="Calculation 8 3" xfId="1747" xr:uid="{00000000-0005-0000-0000-000011050000}"/>
    <cellStyle name="Calculation 9 2" xfId="1748" xr:uid="{00000000-0005-0000-0000-000012050000}"/>
    <cellStyle name="Calculation 9 3" xfId="1749" xr:uid="{00000000-0005-0000-0000-000013050000}"/>
    <cellStyle name="Check Cell" xfId="147" builtinId="23" customBuiltin="1"/>
    <cellStyle name="Check Cell 10 2" xfId="1750" xr:uid="{00000000-0005-0000-0000-000015050000}"/>
    <cellStyle name="Check Cell 10 3" xfId="1751" xr:uid="{00000000-0005-0000-0000-000016050000}"/>
    <cellStyle name="Check Cell 11 2" xfId="1752" xr:uid="{00000000-0005-0000-0000-000017050000}"/>
    <cellStyle name="Check Cell 11 3" xfId="1753" xr:uid="{00000000-0005-0000-0000-000018050000}"/>
    <cellStyle name="Check Cell 12 2" xfId="1754" xr:uid="{00000000-0005-0000-0000-000019050000}"/>
    <cellStyle name="Check Cell 12 3" xfId="1755" xr:uid="{00000000-0005-0000-0000-00001A050000}"/>
    <cellStyle name="Check Cell 13 2" xfId="1756" xr:uid="{00000000-0005-0000-0000-00001B050000}"/>
    <cellStyle name="Check Cell 13 3" xfId="1757" xr:uid="{00000000-0005-0000-0000-00001C050000}"/>
    <cellStyle name="Check Cell 14 2" xfId="1758" xr:uid="{00000000-0005-0000-0000-00001D050000}"/>
    <cellStyle name="Check Cell 14 3" xfId="1759" xr:uid="{00000000-0005-0000-0000-00001E050000}"/>
    <cellStyle name="Check Cell 15" xfId="1760" xr:uid="{00000000-0005-0000-0000-00001F050000}"/>
    <cellStyle name="Check Cell 15 2" xfId="1761" xr:uid="{00000000-0005-0000-0000-000020050000}"/>
    <cellStyle name="Check Cell 15 3" xfId="1762" xr:uid="{00000000-0005-0000-0000-000021050000}"/>
    <cellStyle name="Check Cell 15 4" xfId="1763" xr:uid="{00000000-0005-0000-0000-000022050000}"/>
    <cellStyle name="Check Cell 15 5" xfId="1764" xr:uid="{00000000-0005-0000-0000-000023050000}"/>
    <cellStyle name="Check Cell 15 6" xfId="1765" xr:uid="{00000000-0005-0000-0000-000024050000}"/>
    <cellStyle name="Check Cell 15 7" xfId="1766" xr:uid="{00000000-0005-0000-0000-000025050000}"/>
    <cellStyle name="Check Cell 16" xfId="1767" xr:uid="{00000000-0005-0000-0000-000026050000}"/>
    <cellStyle name="Check Cell 17" xfId="1768" xr:uid="{00000000-0005-0000-0000-000027050000}"/>
    <cellStyle name="Check Cell 18" xfId="1769" xr:uid="{00000000-0005-0000-0000-000028050000}"/>
    <cellStyle name="Check Cell 19" xfId="1770" xr:uid="{00000000-0005-0000-0000-000029050000}"/>
    <cellStyle name="Check Cell 2" xfId="401" xr:uid="{00000000-0005-0000-0000-00002A050000}"/>
    <cellStyle name="Check Cell 2 2" xfId="584" xr:uid="{00000000-0005-0000-0000-00002B050000}"/>
    <cellStyle name="Check Cell 2 2 2" xfId="1771" xr:uid="{00000000-0005-0000-0000-00002C050000}"/>
    <cellStyle name="Check Cell 2 3" xfId="1772" xr:uid="{00000000-0005-0000-0000-00002D050000}"/>
    <cellStyle name="Check Cell 20" xfId="1773" xr:uid="{00000000-0005-0000-0000-00002E050000}"/>
    <cellStyle name="Check Cell 21" xfId="1774" xr:uid="{00000000-0005-0000-0000-00002F050000}"/>
    <cellStyle name="Check Cell 22" xfId="1775" xr:uid="{00000000-0005-0000-0000-000030050000}"/>
    <cellStyle name="Check Cell 3" xfId="643" xr:uid="{00000000-0005-0000-0000-000031050000}"/>
    <cellStyle name="Check Cell 3 2" xfId="1776" xr:uid="{00000000-0005-0000-0000-000032050000}"/>
    <cellStyle name="Check Cell 3 3" xfId="1777" xr:uid="{00000000-0005-0000-0000-000033050000}"/>
    <cellStyle name="Check Cell 4 2" xfId="1778" xr:uid="{00000000-0005-0000-0000-000034050000}"/>
    <cellStyle name="Check Cell 4 3" xfId="1779" xr:uid="{00000000-0005-0000-0000-000035050000}"/>
    <cellStyle name="Check Cell 5 2" xfId="1780" xr:uid="{00000000-0005-0000-0000-000036050000}"/>
    <cellStyle name="Check Cell 5 3" xfId="1781" xr:uid="{00000000-0005-0000-0000-000037050000}"/>
    <cellStyle name="Check Cell 6 2" xfId="1782" xr:uid="{00000000-0005-0000-0000-000038050000}"/>
    <cellStyle name="Check Cell 6 3" xfId="1783" xr:uid="{00000000-0005-0000-0000-000039050000}"/>
    <cellStyle name="Check Cell 7 2" xfId="1784" xr:uid="{00000000-0005-0000-0000-00003A050000}"/>
    <cellStyle name="Check Cell 7 3" xfId="1785" xr:uid="{00000000-0005-0000-0000-00003B050000}"/>
    <cellStyle name="Check Cell 8 2" xfId="1786" xr:uid="{00000000-0005-0000-0000-00003C050000}"/>
    <cellStyle name="Check Cell 8 3" xfId="1787" xr:uid="{00000000-0005-0000-0000-00003D050000}"/>
    <cellStyle name="Check Cell 9 2" xfId="1788" xr:uid="{00000000-0005-0000-0000-00003E050000}"/>
    <cellStyle name="Check Cell 9 3" xfId="1789" xr:uid="{00000000-0005-0000-0000-00003F050000}"/>
    <cellStyle name="Comma" xfId="4" builtinId="3"/>
    <cellStyle name="Comma 10" xfId="436" xr:uid="{00000000-0005-0000-0000-000041050000}"/>
    <cellStyle name="Comma 10 10" xfId="1791" xr:uid="{00000000-0005-0000-0000-000042050000}"/>
    <cellStyle name="Comma 10 10 2" xfId="602" xr:uid="{00000000-0005-0000-0000-000043050000}"/>
    <cellStyle name="Comma 10 11" xfId="1792" xr:uid="{00000000-0005-0000-0000-000044050000}"/>
    <cellStyle name="Comma 10 12" xfId="1793" xr:uid="{00000000-0005-0000-0000-000045050000}"/>
    <cellStyle name="Comma 10 13" xfId="1794" xr:uid="{00000000-0005-0000-0000-000046050000}"/>
    <cellStyle name="Comma 10 14" xfId="1795" xr:uid="{00000000-0005-0000-0000-000047050000}"/>
    <cellStyle name="Comma 10 15" xfId="1796" xr:uid="{00000000-0005-0000-0000-000048050000}"/>
    <cellStyle name="Comma 10 16" xfId="1797" xr:uid="{00000000-0005-0000-0000-000049050000}"/>
    <cellStyle name="Comma 10 17" xfId="1798" xr:uid="{00000000-0005-0000-0000-00004A050000}"/>
    <cellStyle name="Comma 10 18" xfId="1790" xr:uid="{00000000-0005-0000-0000-00004B050000}"/>
    <cellStyle name="Comma 10 19" xfId="37631" xr:uid="{00000000-0005-0000-0000-00004C050000}"/>
    <cellStyle name="Comma 10 2" xfId="594" xr:uid="{00000000-0005-0000-0000-00004D050000}"/>
    <cellStyle name="Comma 10 2 2" xfId="1800" xr:uid="{00000000-0005-0000-0000-00004E050000}"/>
    <cellStyle name="Comma 10 2 3" xfId="1799" xr:uid="{00000000-0005-0000-0000-00004F050000}"/>
    <cellStyle name="Comma 10 3" xfId="1801" xr:uid="{00000000-0005-0000-0000-000050050000}"/>
    <cellStyle name="Comma 10 3 2" xfId="1802" xr:uid="{00000000-0005-0000-0000-000051050000}"/>
    <cellStyle name="Comma 10 4" xfId="1803" xr:uid="{00000000-0005-0000-0000-000052050000}"/>
    <cellStyle name="Comma 10 4 2" xfId="1804" xr:uid="{00000000-0005-0000-0000-000053050000}"/>
    <cellStyle name="Comma 10 5" xfId="1805" xr:uid="{00000000-0005-0000-0000-000054050000}"/>
    <cellStyle name="Comma 10 5 2" xfId="1806" xr:uid="{00000000-0005-0000-0000-000055050000}"/>
    <cellStyle name="Comma 10 6" xfId="1807" xr:uid="{00000000-0005-0000-0000-000056050000}"/>
    <cellStyle name="Comma 10 7" xfId="1808" xr:uid="{00000000-0005-0000-0000-000057050000}"/>
    <cellStyle name="Comma 10 8" xfId="1809" xr:uid="{00000000-0005-0000-0000-000058050000}"/>
    <cellStyle name="Comma 10 9" xfId="1810" xr:uid="{00000000-0005-0000-0000-000059050000}"/>
    <cellStyle name="Comma 11" xfId="440" xr:uid="{00000000-0005-0000-0000-00005A050000}"/>
    <cellStyle name="Comma 11 2" xfId="1812" xr:uid="{00000000-0005-0000-0000-00005B050000}"/>
    <cellStyle name="Comma 11 2 10" xfId="1813" xr:uid="{00000000-0005-0000-0000-00005C050000}"/>
    <cellStyle name="Comma 11 2 2" xfId="1814" xr:uid="{00000000-0005-0000-0000-00005D050000}"/>
    <cellStyle name="Comma 11 2 3" xfId="1815" xr:uid="{00000000-0005-0000-0000-00005E050000}"/>
    <cellStyle name="Comma 11 2 4" xfId="1816" xr:uid="{00000000-0005-0000-0000-00005F050000}"/>
    <cellStyle name="Comma 11 2 5" xfId="1817" xr:uid="{00000000-0005-0000-0000-000060050000}"/>
    <cellStyle name="Comma 11 2 6" xfId="1818" xr:uid="{00000000-0005-0000-0000-000061050000}"/>
    <cellStyle name="Comma 11 2 7" xfId="1819" xr:uid="{00000000-0005-0000-0000-000062050000}"/>
    <cellStyle name="Comma 11 2 8" xfId="1820" xr:uid="{00000000-0005-0000-0000-000063050000}"/>
    <cellStyle name="Comma 11 2 9" xfId="1821" xr:uid="{00000000-0005-0000-0000-000064050000}"/>
    <cellStyle name="Comma 11 3" xfId="1822" xr:uid="{00000000-0005-0000-0000-000065050000}"/>
    <cellStyle name="Comma 11 3 10" xfId="1823" xr:uid="{00000000-0005-0000-0000-000066050000}"/>
    <cellStyle name="Comma 11 3 2" xfId="1824" xr:uid="{00000000-0005-0000-0000-000067050000}"/>
    <cellStyle name="Comma 11 3 3" xfId="1825" xr:uid="{00000000-0005-0000-0000-000068050000}"/>
    <cellStyle name="Comma 11 3 4" xfId="1826" xr:uid="{00000000-0005-0000-0000-000069050000}"/>
    <cellStyle name="Comma 11 3 5" xfId="1827" xr:uid="{00000000-0005-0000-0000-00006A050000}"/>
    <cellStyle name="Comma 11 3 6" xfId="1828" xr:uid="{00000000-0005-0000-0000-00006B050000}"/>
    <cellStyle name="Comma 11 3 7" xfId="1829" xr:uid="{00000000-0005-0000-0000-00006C050000}"/>
    <cellStyle name="Comma 11 3 8" xfId="1830" xr:uid="{00000000-0005-0000-0000-00006D050000}"/>
    <cellStyle name="Comma 11 3 9" xfId="1831" xr:uid="{00000000-0005-0000-0000-00006E050000}"/>
    <cellStyle name="Comma 11 4" xfId="1832" xr:uid="{00000000-0005-0000-0000-00006F050000}"/>
    <cellStyle name="Comma 11 4 10" xfId="1833" xr:uid="{00000000-0005-0000-0000-000070050000}"/>
    <cellStyle name="Comma 11 4 2" xfId="1834" xr:uid="{00000000-0005-0000-0000-000071050000}"/>
    <cellStyle name="Comma 11 4 3" xfId="1835" xr:uid="{00000000-0005-0000-0000-000072050000}"/>
    <cellStyle name="Comma 11 4 4" xfId="1836" xr:uid="{00000000-0005-0000-0000-000073050000}"/>
    <cellStyle name="Comma 11 4 5" xfId="1837" xr:uid="{00000000-0005-0000-0000-000074050000}"/>
    <cellStyle name="Comma 11 4 6" xfId="1838" xr:uid="{00000000-0005-0000-0000-000075050000}"/>
    <cellStyle name="Comma 11 4 7" xfId="1839" xr:uid="{00000000-0005-0000-0000-000076050000}"/>
    <cellStyle name="Comma 11 4 8" xfId="1840" xr:uid="{00000000-0005-0000-0000-000077050000}"/>
    <cellStyle name="Comma 11 4 9" xfId="1841" xr:uid="{00000000-0005-0000-0000-000078050000}"/>
    <cellStyle name="Comma 11 5" xfId="1842" xr:uid="{00000000-0005-0000-0000-000079050000}"/>
    <cellStyle name="Comma 11 5 10" xfId="1843" xr:uid="{00000000-0005-0000-0000-00007A050000}"/>
    <cellStyle name="Comma 11 5 2" xfId="1844" xr:uid="{00000000-0005-0000-0000-00007B050000}"/>
    <cellStyle name="Comma 11 5 3" xfId="1845" xr:uid="{00000000-0005-0000-0000-00007C050000}"/>
    <cellStyle name="Comma 11 5 4" xfId="1846" xr:uid="{00000000-0005-0000-0000-00007D050000}"/>
    <cellStyle name="Comma 11 5 5" xfId="1847" xr:uid="{00000000-0005-0000-0000-00007E050000}"/>
    <cellStyle name="Comma 11 5 6" xfId="1848" xr:uid="{00000000-0005-0000-0000-00007F050000}"/>
    <cellStyle name="Comma 11 5 7" xfId="1849" xr:uid="{00000000-0005-0000-0000-000080050000}"/>
    <cellStyle name="Comma 11 5 8" xfId="1850" xr:uid="{00000000-0005-0000-0000-000081050000}"/>
    <cellStyle name="Comma 11 5 9" xfId="1851" xr:uid="{00000000-0005-0000-0000-000082050000}"/>
    <cellStyle name="Comma 11 6" xfId="1852" xr:uid="{00000000-0005-0000-0000-000083050000}"/>
    <cellStyle name="Comma 11 6 10" xfId="1853" xr:uid="{00000000-0005-0000-0000-000084050000}"/>
    <cellStyle name="Comma 11 6 2" xfId="1854" xr:uid="{00000000-0005-0000-0000-000085050000}"/>
    <cellStyle name="Comma 11 6 3" xfId="1855" xr:uid="{00000000-0005-0000-0000-000086050000}"/>
    <cellStyle name="Comma 11 6 4" xfId="1856" xr:uid="{00000000-0005-0000-0000-000087050000}"/>
    <cellStyle name="Comma 11 6 5" xfId="1857" xr:uid="{00000000-0005-0000-0000-000088050000}"/>
    <cellStyle name="Comma 11 6 6" xfId="1858" xr:uid="{00000000-0005-0000-0000-000089050000}"/>
    <cellStyle name="Comma 11 6 7" xfId="1859" xr:uid="{00000000-0005-0000-0000-00008A050000}"/>
    <cellStyle name="Comma 11 6 8" xfId="1860" xr:uid="{00000000-0005-0000-0000-00008B050000}"/>
    <cellStyle name="Comma 11 6 9" xfId="1861" xr:uid="{00000000-0005-0000-0000-00008C050000}"/>
    <cellStyle name="Comma 11 7" xfId="1862" xr:uid="{00000000-0005-0000-0000-00008D050000}"/>
    <cellStyle name="Comma 11 7 10" xfId="1863" xr:uid="{00000000-0005-0000-0000-00008E050000}"/>
    <cellStyle name="Comma 11 7 2" xfId="1864" xr:uid="{00000000-0005-0000-0000-00008F050000}"/>
    <cellStyle name="Comma 11 7 3" xfId="1865" xr:uid="{00000000-0005-0000-0000-000090050000}"/>
    <cellStyle name="Comma 11 7 4" xfId="1866" xr:uid="{00000000-0005-0000-0000-000091050000}"/>
    <cellStyle name="Comma 11 7 5" xfId="1867" xr:uid="{00000000-0005-0000-0000-000092050000}"/>
    <cellStyle name="Comma 11 7 6" xfId="1868" xr:uid="{00000000-0005-0000-0000-000093050000}"/>
    <cellStyle name="Comma 11 7 7" xfId="1869" xr:uid="{00000000-0005-0000-0000-000094050000}"/>
    <cellStyle name="Comma 11 7 8" xfId="1870" xr:uid="{00000000-0005-0000-0000-000095050000}"/>
    <cellStyle name="Comma 11 7 9" xfId="1871" xr:uid="{00000000-0005-0000-0000-000096050000}"/>
    <cellStyle name="Comma 11 8" xfId="1872" xr:uid="{00000000-0005-0000-0000-000097050000}"/>
    <cellStyle name="Comma 11 9" xfId="1811" xr:uid="{00000000-0005-0000-0000-000098050000}"/>
    <cellStyle name="Comma 12" xfId="644" xr:uid="{00000000-0005-0000-0000-000099050000}"/>
    <cellStyle name="Comma 12 2" xfId="1874" xr:uid="{00000000-0005-0000-0000-00009A050000}"/>
    <cellStyle name="Comma 12 3" xfId="1873" xr:uid="{00000000-0005-0000-0000-00009B050000}"/>
    <cellStyle name="Comma 13" xfId="663" xr:uid="{00000000-0005-0000-0000-00009C050000}"/>
    <cellStyle name="Comma 13 2" xfId="1876" xr:uid="{00000000-0005-0000-0000-00009D050000}"/>
    <cellStyle name="Comma 13 3" xfId="1875" xr:uid="{00000000-0005-0000-0000-00009E050000}"/>
    <cellStyle name="Comma 14" xfId="669" xr:uid="{00000000-0005-0000-0000-00009F050000}"/>
    <cellStyle name="Comma 14 2" xfId="1878" xr:uid="{00000000-0005-0000-0000-0000A0050000}"/>
    <cellStyle name="Comma 14 3" xfId="1877" xr:uid="{00000000-0005-0000-0000-0000A1050000}"/>
    <cellStyle name="Comma 15" xfId="1879" xr:uid="{00000000-0005-0000-0000-0000A2050000}"/>
    <cellStyle name="Comma 15 2" xfId="1880" xr:uid="{00000000-0005-0000-0000-0000A3050000}"/>
    <cellStyle name="Comma 16" xfId="1881" xr:uid="{00000000-0005-0000-0000-0000A4050000}"/>
    <cellStyle name="Comma 16 2" xfId="1882" xr:uid="{00000000-0005-0000-0000-0000A5050000}"/>
    <cellStyle name="Comma 17" xfId="1883" xr:uid="{00000000-0005-0000-0000-0000A6050000}"/>
    <cellStyle name="Comma 17 2" xfId="1884" xr:uid="{00000000-0005-0000-0000-0000A7050000}"/>
    <cellStyle name="Comma 18" xfId="1885" xr:uid="{00000000-0005-0000-0000-0000A8050000}"/>
    <cellStyle name="Comma 18 2" xfId="1886" xr:uid="{00000000-0005-0000-0000-0000A9050000}"/>
    <cellStyle name="Comma 19" xfId="1887" xr:uid="{00000000-0005-0000-0000-0000AA050000}"/>
    <cellStyle name="Comma 19 2" xfId="1888" xr:uid="{00000000-0005-0000-0000-0000AB050000}"/>
    <cellStyle name="Comma 2" xfId="8" xr:uid="{00000000-0005-0000-0000-0000AC050000}"/>
    <cellStyle name="Comma 2 10" xfId="1890" xr:uid="{00000000-0005-0000-0000-0000AD050000}"/>
    <cellStyle name="Comma 2 11" xfId="1891" xr:uid="{00000000-0005-0000-0000-0000AE050000}"/>
    <cellStyle name="Comma 2 12" xfId="1892" xr:uid="{00000000-0005-0000-0000-0000AF050000}"/>
    <cellStyle name="Comma 2 13" xfId="1893" xr:uid="{00000000-0005-0000-0000-0000B0050000}"/>
    <cellStyle name="Comma 2 14" xfId="1894" xr:uid="{00000000-0005-0000-0000-0000B1050000}"/>
    <cellStyle name="Comma 2 15" xfId="1895" xr:uid="{00000000-0005-0000-0000-0000B2050000}"/>
    <cellStyle name="Comma 2 16" xfId="1896" xr:uid="{00000000-0005-0000-0000-0000B3050000}"/>
    <cellStyle name="Comma 2 17" xfId="1897" xr:uid="{00000000-0005-0000-0000-0000B4050000}"/>
    <cellStyle name="Comma 2 18" xfId="1898" xr:uid="{00000000-0005-0000-0000-0000B5050000}"/>
    <cellStyle name="Comma 2 19" xfId="1899" xr:uid="{00000000-0005-0000-0000-0000B6050000}"/>
    <cellStyle name="Comma 2 2" xfId="286" xr:uid="{00000000-0005-0000-0000-0000B7050000}"/>
    <cellStyle name="Comma 2 2 10" xfId="1901" xr:uid="{00000000-0005-0000-0000-0000B8050000}"/>
    <cellStyle name="Comma 2 2 11" xfId="1902" xr:uid="{00000000-0005-0000-0000-0000B9050000}"/>
    <cellStyle name="Comma 2 2 12" xfId="1903" xr:uid="{00000000-0005-0000-0000-0000BA050000}"/>
    <cellStyle name="Comma 2 2 13" xfId="1904" xr:uid="{00000000-0005-0000-0000-0000BB050000}"/>
    <cellStyle name="Comma 2 2 14" xfId="1905" xr:uid="{00000000-0005-0000-0000-0000BC050000}"/>
    <cellStyle name="Comma 2 2 15" xfId="1906" xr:uid="{00000000-0005-0000-0000-0000BD050000}"/>
    <cellStyle name="Comma 2 2 16" xfId="1907" xr:uid="{00000000-0005-0000-0000-0000BE050000}"/>
    <cellStyle name="Comma 2 2 17" xfId="1908" xr:uid="{00000000-0005-0000-0000-0000BF050000}"/>
    <cellStyle name="Comma 2 2 18" xfId="1909" xr:uid="{00000000-0005-0000-0000-0000C0050000}"/>
    <cellStyle name="Comma 2 2 19" xfId="1910" xr:uid="{00000000-0005-0000-0000-0000C1050000}"/>
    <cellStyle name="Comma 2 2 2" xfId="178" xr:uid="{00000000-0005-0000-0000-0000C2050000}"/>
    <cellStyle name="Comma 2 2 2 2" xfId="1912" xr:uid="{00000000-0005-0000-0000-0000C3050000}"/>
    <cellStyle name="Comma 2 2 2 3" xfId="1913" xr:uid="{00000000-0005-0000-0000-0000C4050000}"/>
    <cellStyle name="Comma 2 2 2 4" xfId="1914" xr:uid="{00000000-0005-0000-0000-0000C5050000}"/>
    <cellStyle name="Comma 2 2 2 5" xfId="1911" xr:uid="{00000000-0005-0000-0000-0000C6050000}"/>
    <cellStyle name="Comma 2 2 2 6" xfId="605" xr:uid="{00000000-0005-0000-0000-0000C7050000}"/>
    <cellStyle name="Comma 2 2 20" xfId="1915" xr:uid="{00000000-0005-0000-0000-0000C8050000}"/>
    <cellStyle name="Comma 2 2 21" xfId="1916" xr:uid="{00000000-0005-0000-0000-0000C9050000}"/>
    <cellStyle name="Comma 2 2 22" xfId="1917" xr:uid="{00000000-0005-0000-0000-0000CA050000}"/>
    <cellStyle name="Comma 2 2 23" xfId="1918" xr:uid="{00000000-0005-0000-0000-0000CB050000}"/>
    <cellStyle name="Comma 2 2 24" xfId="1919" xr:uid="{00000000-0005-0000-0000-0000CC050000}"/>
    <cellStyle name="Comma 2 2 25" xfId="1920" xr:uid="{00000000-0005-0000-0000-0000CD050000}"/>
    <cellStyle name="Comma 2 2 26" xfId="1921" xr:uid="{00000000-0005-0000-0000-0000CE050000}"/>
    <cellStyle name="Comma 2 2 27" xfId="1922" xr:uid="{00000000-0005-0000-0000-0000CF050000}"/>
    <cellStyle name="Comma 2 2 28" xfId="1923" xr:uid="{00000000-0005-0000-0000-0000D0050000}"/>
    <cellStyle name="Comma 2 2 29" xfId="1924" xr:uid="{00000000-0005-0000-0000-0000D1050000}"/>
    <cellStyle name="Comma 2 2 3" xfId="1925" xr:uid="{00000000-0005-0000-0000-0000D2050000}"/>
    <cellStyle name="Comma 2 2 30" xfId="1926" xr:uid="{00000000-0005-0000-0000-0000D3050000}"/>
    <cellStyle name="Comma 2 2 31" xfId="1927" xr:uid="{00000000-0005-0000-0000-0000D4050000}"/>
    <cellStyle name="Comma 2 2 32" xfId="1900" xr:uid="{00000000-0005-0000-0000-0000D5050000}"/>
    <cellStyle name="Comma 2 2 4" xfId="1928" xr:uid="{00000000-0005-0000-0000-0000D6050000}"/>
    <cellStyle name="Comma 2 2 5" xfId="1929" xr:uid="{00000000-0005-0000-0000-0000D7050000}"/>
    <cellStyle name="Comma 2 2 6" xfId="1930" xr:uid="{00000000-0005-0000-0000-0000D8050000}"/>
    <cellStyle name="Comma 2 2 7" xfId="1931" xr:uid="{00000000-0005-0000-0000-0000D9050000}"/>
    <cellStyle name="Comma 2 2 8" xfId="1932" xr:uid="{00000000-0005-0000-0000-0000DA050000}"/>
    <cellStyle name="Comma 2 2 9" xfId="1933" xr:uid="{00000000-0005-0000-0000-0000DB050000}"/>
    <cellStyle name="Comma 2 20" xfId="1934" xr:uid="{00000000-0005-0000-0000-0000DC050000}"/>
    <cellStyle name="Comma 2 21" xfId="1935" xr:uid="{00000000-0005-0000-0000-0000DD050000}"/>
    <cellStyle name="Comma 2 22" xfId="1936" xr:uid="{00000000-0005-0000-0000-0000DE050000}"/>
    <cellStyle name="Comma 2 23" xfId="1937" xr:uid="{00000000-0005-0000-0000-0000DF050000}"/>
    <cellStyle name="Comma 2 24" xfId="1938" xr:uid="{00000000-0005-0000-0000-0000E0050000}"/>
    <cellStyle name="Comma 2 25" xfId="1939" xr:uid="{00000000-0005-0000-0000-0000E1050000}"/>
    <cellStyle name="Comma 2 26" xfId="1940" xr:uid="{00000000-0005-0000-0000-0000E2050000}"/>
    <cellStyle name="Comma 2 27" xfId="1941" xr:uid="{00000000-0005-0000-0000-0000E3050000}"/>
    <cellStyle name="Comma 2 28" xfId="1942" xr:uid="{00000000-0005-0000-0000-0000E4050000}"/>
    <cellStyle name="Comma 2 29" xfId="1943" xr:uid="{00000000-0005-0000-0000-0000E5050000}"/>
    <cellStyle name="Comma 2 3" xfId="326" xr:uid="{00000000-0005-0000-0000-0000E6050000}"/>
    <cellStyle name="Comma 2 3 10" xfId="1944" xr:uid="{00000000-0005-0000-0000-0000E7050000}"/>
    <cellStyle name="Comma 2 3 11" xfId="1945" xr:uid="{00000000-0005-0000-0000-0000E8050000}"/>
    <cellStyle name="Comma 2 3 12" xfId="1946" xr:uid="{00000000-0005-0000-0000-0000E9050000}"/>
    <cellStyle name="Comma 2 3 13" xfId="380" xr:uid="{00000000-0005-0000-0000-0000EA050000}"/>
    <cellStyle name="Comma 2 3 2" xfId="572" xr:uid="{00000000-0005-0000-0000-0000EB050000}"/>
    <cellStyle name="Comma 2 3 2 2" xfId="1948" xr:uid="{00000000-0005-0000-0000-0000EC050000}"/>
    <cellStyle name="Comma 2 3 2 3" xfId="1949" xr:uid="{00000000-0005-0000-0000-0000ED050000}"/>
    <cellStyle name="Comma 2 3 2 4" xfId="1950" xr:uid="{00000000-0005-0000-0000-0000EE050000}"/>
    <cellStyle name="Comma 2 3 2 5" xfId="1947" xr:uid="{00000000-0005-0000-0000-0000EF050000}"/>
    <cellStyle name="Comma 2 3 3" xfId="453" xr:uid="{00000000-0005-0000-0000-0000F0050000}"/>
    <cellStyle name="Comma 2 3 3 2" xfId="597" xr:uid="{00000000-0005-0000-0000-0000F1050000}"/>
    <cellStyle name="Comma 2 3 4" xfId="1951" xr:uid="{00000000-0005-0000-0000-0000F2050000}"/>
    <cellStyle name="Comma 2 3 5" xfId="1952" xr:uid="{00000000-0005-0000-0000-0000F3050000}"/>
    <cellStyle name="Comma 2 3 6" xfId="1953" xr:uid="{00000000-0005-0000-0000-0000F4050000}"/>
    <cellStyle name="Comma 2 3 7" xfId="1954" xr:uid="{00000000-0005-0000-0000-0000F5050000}"/>
    <cellStyle name="Comma 2 3 8" xfId="1955" xr:uid="{00000000-0005-0000-0000-0000F6050000}"/>
    <cellStyle name="Comma 2 3 9" xfId="1956" xr:uid="{00000000-0005-0000-0000-0000F7050000}"/>
    <cellStyle name="Comma 2 30" xfId="1957" xr:uid="{00000000-0005-0000-0000-0000F8050000}"/>
    <cellStyle name="Comma 2 31" xfId="1958" xr:uid="{00000000-0005-0000-0000-0000F9050000}"/>
    <cellStyle name="Comma 2 32" xfId="1959" xr:uid="{00000000-0005-0000-0000-0000FA050000}"/>
    <cellStyle name="Comma 2 33" xfId="1960" xr:uid="{00000000-0005-0000-0000-0000FB050000}"/>
    <cellStyle name="Comma 2 34" xfId="1961" xr:uid="{00000000-0005-0000-0000-0000FC050000}"/>
    <cellStyle name="Comma 2 35" xfId="1962" xr:uid="{00000000-0005-0000-0000-0000FD050000}"/>
    <cellStyle name="Comma 2 36" xfId="1963" xr:uid="{00000000-0005-0000-0000-0000FE050000}"/>
    <cellStyle name="Comma 2 37" xfId="1964" xr:uid="{00000000-0005-0000-0000-0000FF050000}"/>
    <cellStyle name="Comma 2 38" xfId="1965" xr:uid="{00000000-0005-0000-0000-000000060000}"/>
    <cellStyle name="Comma 2 39" xfId="1966" xr:uid="{00000000-0005-0000-0000-000001060000}"/>
    <cellStyle name="Comma 2 4" xfId="483" xr:uid="{00000000-0005-0000-0000-000002060000}"/>
    <cellStyle name="Comma 2 4 2" xfId="1967" xr:uid="{00000000-0005-0000-0000-000003060000}"/>
    <cellStyle name="Comma 2 40" xfId="1968" xr:uid="{00000000-0005-0000-0000-000004060000}"/>
    <cellStyle name="Comma 2 41" xfId="1969" xr:uid="{00000000-0005-0000-0000-000005060000}"/>
    <cellStyle name="Comma 2 42" xfId="1970" xr:uid="{00000000-0005-0000-0000-000006060000}"/>
    <cellStyle name="Comma 2 43" xfId="1971" xr:uid="{00000000-0005-0000-0000-000007060000}"/>
    <cellStyle name="Comma 2 43 2" xfId="21159" xr:uid="{00000000-0005-0000-0000-000008060000}"/>
    <cellStyle name="Comma 2 44" xfId="1972" xr:uid="{00000000-0005-0000-0000-000009060000}"/>
    <cellStyle name="Comma 2 44 2" xfId="21160" xr:uid="{00000000-0005-0000-0000-00000A060000}"/>
    <cellStyle name="Comma 2 45" xfId="1973" xr:uid="{00000000-0005-0000-0000-00000B060000}"/>
    <cellStyle name="Comma 2 45 2" xfId="21161" xr:uid="{00000000-0005-0000-0000-00000C060000}"/>
    <cellStyle name="Comma 2 46" xfId="1974" xr:uid="{00000000-0005-0000-0000-00000D060000}"/>
    <cellStyle name="Comma 2 46 2" xfId="21162" xr:uid="{00000000-0005-0000-0000-00000E060000}"/>
    <cellStyle name="Comma 2 47" xfId="1975" xr:uid="{00000000-0005-0000-0000-00000F060000}"/>
    <cellStyle name="Comma 2 47 2" xfId="21163" xr:uid="{00000000-0005-0000-0000-000010060000}"/>
    <cellStyle name="Comma 2 48" xfId="1976" xr:uid="{00000000-0005-0000-0000-000011060000}"/>
    <cellStyle name="Comma 2 48 2" xfId="21164" xr:uid="{00000000-0005-0000-0000-000012060000}"/>
    <cellStyle name="Comma 2 49" xfId="1977" xr:uid="{00000000-0005-0000-0000-000013060000}"/>
    <cellStyle name="Comma 2 49 2" xfId="21165" xr:uid="{00000000-0005-0000-0000-000014060000}"/>
    <cellStyle name="Comma 2 5" xfId="1978" xr:uid="{00000000-0005-0000-0000-000015060000}"/>
    <cellStyle name="Comma 2 50" xfId="1979" xr:uid="{00000000-0005-0000-0000-000016060000}"/>
    <cellStyle name="Comma 2 50 2" xfId="21166" xr:uid="{00000000-0005-0000-0000-000017060000}"/>
    <cellStyle name="Comma 2 51" xfId="1980" xr:uid="{00000000-0005-0000-0000-000018060000}"/>
    <cellStyle name="Comma 2 51 2" xfId="21167" xr:uid="{00000000-0005-0000-0000-000019060000}"/>
    <cellStyle name="Comma 2 52" xfId="1981" xr:uid="{00000000-0005-0000-0000-00001A060000}"/>
    <cellStyle name="Comma 2 52 2" xfId="21168" xr:uid="{00000000-0005-0000-0000-00001B060000}"/>
    <cellStyle name="Comma 2 53" xfId="1982" xr:uid="{00000000-0005-0000-0000-00001C060000}"/>
    <cellStyle name="Comma 2 53 2" xfId="21169" xr:uid="{00000000-0005-0000-0000-00001D060000}"/>
    <cellStyle name="Comma 2 54" xfId="1983" xr:uid="{00000000-0005-0000-0000-00001E060000}"/>
    <cellStyle name="Comma 2 54 2" xfId="21170" xr:uid="{00000000-0005-0000-0000-00001F060000}"/>
    <cellStyle name="Comma 2 55" xfId="1984" xr:uid="{00000000-0005-0000-0000-000020060000}"/>
    <cellStyle name="Comma 2 55 2" xfId="21171" xr:uid="{00000000-0005-0000-0000-000021060000}"/>
    <cellStyle name="Comma 2 56" xfId="1889" xr:uid="{00000000-0005-0000-0000-000022060000}"/>
    <cellStyle name="Comma 2 56 2" xfId="37632" xr:uid="{00000000-0005-0000-0000-000023060000}"/>
    <cellStyle name="Comma 2 57" xfId="21158" xr:uid="{00000000-0005-0000-0000-000024060000}"/>
    <cellStyle name="Comma 2 6" xfId="1985" xr:uid="{00000000-0005-0000-0000-000025060000}"/>
    <cellStyle name="Comma 2 7" xfId="1986" xr:uid="{00000000-0005-0000-0000-000026060000}"/>
    <cellStyle name="Comma 2 8" xfId="1987" xr:uid="{00000000-0005-0000-0000-000027060000}"/>
    <cellStyle name="Comma 2 9" xfId="1988" xr:uid="{00000000-0005-0000-0000-000028060000}"/>
    <cellStyle name="Comma 20" xfId="1989" xr:uid="{00000000-0005-0000-0000-000029060000}"/>
    <cellStyle name="Comma 20 2" xfId="1990" xr:uid="{00000000-0005-0000-0000-00002A060000}"/>
    <cellStyle name="Comma 21" xfId="1991" xr:uid="{00000000-0005-0000-0000-00002B060000}"/>
    <cellStyle name="Comma 21 2" xfId="1992" xr:uid="{00000000-0005-0000-0000-00002C060000}"/>
    <cellStyle name="Comma 22" xfId="1993" xr:uid="{00000000-0005-0000-0000-00002D060000}"/>
    <cellStyle name="Comma 22 2" xfId="1994" xr:uid="{00000000-0005-0000-0000-00002E060000}"/>
    <cellStyle name="Comma 23" xfId="1995" xr:uid="{00000000-0005-0000-0000-00002F060000}"/>
    <cellStyle name="Comma 24" xfId="1996" xr:uid="{00000000-0005-0000-0000-000030060000}"/>
    <cellStyle name="Comma 25" xfId="1997" xr:uid="{00000000-0005-0000-0000-000031060000}"/>
    <cellStyle name="Comma 26" xfId="1998" xr:uid="{00000000-0005-0000-0000-000032060000}"/>
    <cellStyle name="Comma 27" xfId="1999" xr:uid="{00000000-0005-0000-0000-000033060000}"/>
    <cellStyle name="Comma 28" xfId="2000" xr:uid="{00000000-0005-0000-0000-000034060000}"/>
    <cellStyle name="Comma 29" xfId="2001" xr:uid="{00000000-0005-0000-0000-000035060000}"/>
    <cellStyle name="Comma 3" xfId="9" xr:uid="{00000000-0005-0000-0000-000036060000}"/>
    <cellStyle name="Comma 3 10" xfId="2002" xr:uid="{00000000-0005-0000-0000-000037060000}"/>
    <cellStyle name="Comma 3 11" xfId="2003" xr:uid="{00000000-0005-0000-0000-000038060000}"/>
    <cellStyle name="Comma 3 12" xfId="2004" xr:uid="{00000000-0005-0000-0000-000039060000}"/>
    <cellStyle name="Comma 3 13" xfId="2005" xr:uid="{00000000-0005-0000-0000-00003A060000}"/>
    <cellStyle name="Comma 3 14" xfId="2006" xr:uid="{00000000-0005-0000-0000-00003B060000}"/>
    <cellStyle name="Comma 3 15" xfId="2007" xr:uid="{00000000-0005-0000-0000-00003C060000}"/>
    <cellStyle name="Comma 3 16" xfId="2008" xr:uid="{00000000-0005-0000-0000-00003D060000}"/>
    <cellStyle name="Comma 3 17" xfId="2009" xr:uid="{00000000-0005-0000-0000-00003E060000}"/>
    <cellStyle name="Comma 3 18" xfId="2010" xr:uid="{00000000-0005-0000-0000-00003F060000}"/>
    <cellStyle name="Comma 3 19" xfId="2011" xr:uid="{00000000-0005-0000-0000-000040060000}"/>
    <cellStyle name="Comma 3 2" xfId="175" xr:uid="{00000000-0005-0000-0000-000041060000}"/>
    <cellStyle name="Comma 3 20" xfId="2012" xr:uid="{00000000-0005-0000-0000-000042060000}"/>
    <cellStyle name="Comma 3 21" xfId="2013" xr:uid="{00000000-0005-0000-0000-000043060000}"/>
    <cellStyle name="Comma 3 22" xfId="2014" xr:uid="{00000000-0005-0000-0000-000044060000}"/>
    <cellStyle name="Comma 3 23" xfId="2015" xr:uid="{00000000-0005-0000-0000-000045060000}"/>
    <cellStyle name="Comma 3 24" xfId="2016" xr:uid="{00000000-0005-0000-0000-000046060000}"/>
    <cellStyle name="Comma 3 25" xfId="2017" xr:uid="{00000000-0005-0000-0000-000047060000}"/>
    <cellStyle name="Comma 3 26" xfId="2018" xr:uid="{00000000-0005-0000-0000-000048060000}"/>
    <cellStyle name="Comma 3 27" xfId="2019" xr:uid="{00000000-0005-0000-0000-000049060000}"/>
    <cellStyle name="Comma 3 28" xfId="2020" xr:uid="{00000000-0005-0000-0000-00004A060000}"/>
    <cellStyle name="Comma 3 29" xfId="2021" xr:uid="{00000000-0005-0000-0000-00004B060000}"/>
    <cellStyle name="Comma 3 3" xfId="323" xr:uid="{00000000-0005-0000-0000-00004C060000}"/>
    <cellStyle name="Comma 3 3 2" xfId="2022" xr:uid="{00000000-0005-0000-0000-00004D060000}"/>
    <cellStyle name="Comma 3 30" xfId="2023" xr:uid="{00000000-0005-0000-0000-00004E060000}"/>
    <cellStyle name="Comma 3 30 2" xfId="21173" xr:uid="{00000000-0005-0000-0000-00004F060000}"/>
    <cellStyle name="Comma 3 31" xfId="2024" xr:uid="{00000000-0005-0000-0000-000050060000}"/>
    <cellStyle name="Comma 3 31 2" xfId="21174" xr:uid="{00000000-0005-0000-0000-000051060000}"/>
    <cellStyle name="Comma 3 32" xfId="2025" xr:uid="{00000000-0005-0000-0000-000052060000}"/>
    <cellStyle name="Comma 3 32 2" xfId="21175" xr:uid="{00000000-0005-0000-0000-000053060000}"/>
    <cellStyle name="Comma 3 33" xfId="2026" xr:uid="{00000000-0005-0000-0000-000054060000}"/>
    <cellStyle name="Comma 3 33 2" xfId="21176" xr:uid="{00000000-0005-0000-0000-000055060000}"/>
    <cellStyle name="Comma 3 34" xfId="2027" xr:uid="{00000000-0005-0000-0000-000056060000}"/>
    <cellStyle name="Comma 3 34 2" xfId="21177" xr:uid="{00000000-0005-0000-0000-000057060000}"/>
    <cellStyle name="Comma 3 35" xfId="2028" xr:uid="{00000000-0005-0000-0000-000058060000}"/>
    <cellStyle name="Comma 3 35 2" xfId="21178" xr:uid="{00000000-0005-0000-0000-000059060000}"/>
    <cellStyle name="Comma 3 36" xfId="2029" xr:uid="{00000000-0005-0000-0000-00005A060000}"/>
    <cellStyle name="Comma 3 36 2" xfId="21179" xr:uid="{00000000-0005-0000-0000-00005B060000}"/>
    <cellStyle name="Comma 3 37" xfId="2030" xr:uid="{00000000-0005-0000-0000-00005C060000}"/>
    <cellStyle name="Comma 3 37 2" xfId="21180" xr:uid="{00000000-0005-0000-0000-00005D060000}"/>
    <cellStyle name="Comma 3 38" xfId="2031" xr:uid="{00000000-0005-0000-0000-00005E060000}"/>
    <cellStyle name="Comma 3 38 2" xfId="21181" xr:uid="{00000000-0005-0000-0000-00005F060000}"/>
    <cellStyle name="Comma 3 39" xfId="2032" xr:uid="{00000000-0005-0000-0000-000060060000}"/>
    <cellStyle name="Comma 3 39 2" xfId="21182" xr:uid="{00000000-0005-0000-0000-000061060000}"/>
    <cellStyle name="Comma 3 4" xfId="2033" xr:uid="{00000000-0005-0000-0000-000062060000}"/>
    <cellStyle name="Comma 3 40" xfId="2034" xr:uid="{00000000-0005-0000-0000-000063060000}"/>
    <cellStyle name="Comma 3 40 2" xfId="21183" xr:uid="{00000000-0005-0000-0000-000064060000}"/>
    <cellStyle name="Comma 3 41" xfId="2035" xr:uid="{00000000-0005-0000-0000-000065060000}"/>
    <cellStyle name="Comma 3 41 2" xfId="21184" xr:uid="{00000000-0005-0000-0000-000066060000}"/>
    <cellStyle name="Comma 3 42" xfId="2036" xr:uid="{00000000-0005-0000-0000-000067060000}"/>
    <cellStyle name="Comma 3 42 2" xfId="21185" xr:uid="{00000000-0005-0000-0000-000068060000}"/>
    <cellStyle name="Comma 3 43" xfId="37633" xr:uid="{00000000-0005-0000-0000-000069060000}"/>
    <cellStyle name="Comma 3 44" xfId="21172" xr:uid="{00000000-0005-0000-0000-00006A060000}"/>
    <cellStyle name="Comma 3 5" xfId="2037" xr:uid="{00000000-0005-0000-0000-00006B060000}"/>
    <cellStyle name="Comma 3 6" xfId="2038" xr:uid="{00000000-0005-0000-0000-00006C060000}"/>
    <cellStyle name="Comma 3 7" xfId="2039" xr:uid="{00000000-0005-0000-0000-00006D060000}"/>
    <cellStyle name="Comma 3 8" xfId="2040" xr:uid="{00000000-0005-0000-0000-00006E060000}"/>
    <cellStyle name="Comma 3 9" xfId="2041" xr:uid="{00000000-0005-0000-0000-00006F060000}"/>
    <cellStyle name="Comma 30" xfId="2042" xr:uid="{00000000-0005-0000-0000-000070060000}"/>
    <cellStyle name="Comma 31" xfId="2043" xr:uid="{00000000-0005-0000-0000-000071060000}"/>
    <cellStyle name="Comma 31 2" xfId="2044" xr:uid="{00000000-0005-0000-0000-000072060000}"/>
    <cellStyle name="Comma 31 3" xfId="2045" xr:uid="{00000000-0005-0000-0000-000073060000}"/>
    <cellStyle name="Comma 31 4" xfId="2046" xr:uid="{00000000-0005-0000-0000-000074060000}"/>
    <cellStyle name="Comma 31 5" xfId="2047" xr:uid="{00000000-0005-0000-0000-000075060000}"/>
    <cellStyle name="Comma 31 6" xfId="2048" xr:uid="{00000000-0005-0000-0000-000076060000}"/>
    <cellStyle name="Comma 31 7" xfId="2049" xr:uid="{00000000-0005-0000-0000-000077060000}"/>
    <cellStyle name="Comma 32" xfId="2050" xr:uid="{00000000-0005-0000-0000-000078060000}"/>
    <cellStyle name="Comma 33" xfId="2051" xr:uid="{00000000-0005-0000-0000-000079060000}"/>
    <cellStyle name="Comma 34" xfId="2052" xr:uid="{00000000-0005-0000-0000-00007A060000}"/>
    <cellStyle name="Comma 35" xfId="2053" xr:uid="{00000000-0005-0000-0000-00007B060000}"/>
    <cellStyle name="Comma 36" xfId="2054" xr:uid="{00000000-0005-0000-0000-00007C060000}"/>
    <cellStyle name="Comma 37" xfId="2055" xr:uid="{00000000-0005-0000-0000-00007D060000}"/>
    <cellStyle name="Comma 38" xfId="2056" xr:uid="{00000000-0005-0000-0000-00007E060000}"/>
    <cellStyle name="Comma 39" xfId="2057" xr:uid="{00000000-0005-0000-0000-00007F060000}"/>
    <cellStyle name="Comma 39 2" xfId="2058" xr:uid="{00000000-0005-0000-0000-000080060000}"/>
    <cellStyle name="Comma 4" xfId="10" xr:uid="{00000000-0005-0000-0000-000081060000}"/>
    <cellStyle name="Comma 4 2" xfId="322" xr:uid="{00000000-0005-0000-0000-000082060000}"/>
    <cellStyle name="Comma 4 2 2" xfId="2059" xr:uid="{00000000-0005-0000-0000-000083060000}"/>
    <cellStyle name="Comma 4 3" xfId="309" xr:uid="{00000000-0005-0000-0000-000084060000}"/>
    <cellStyle name="Comma 4 4" xfId="2060" xr:uid="{00000000-0005-0000-0000-000085060000}"/>
    <cellStyle name="Comma 4 5" xfId="2061" xr:uid="{00000000-0005-0000-0000-000086060000}"/>
    <cellStyle name="Comma 4 6" xfId="21147" xr:uid="{00000000-0005-0000-0000-000087060000}"/>
    <cellStyle name="Comma 4 7" xfId="37601" xr:uid="{00000000-0005-0000-0000-000088060000}"/>
    <cellStyle name="Comma 40" xfId="2062" xr:uid="{00000000-0005-0000-0000-000089060000}"/>
    <cellStyle name="Comma 40 2" xfId="2063" xr:uid="{00000000-0005-0000-0000-00008A060000}"/>
    <cellStyle name="Comma 41" xfId="2064" xr:uid="{00000000-0005-0000-0000-00008B060000}"/>
    <cellStyle name="Comma 41 2" xfId="2065" xr:uid="{00000000-0005-0000-0000-00008C060000}"/>
    <cellStyle name="Comma 42" xfId="2066" xr:uid="{00000000-0005-0000-0000-00008D060000}"/>
    <cellStyle name="Comma 42 2" xfId="2067" xr:uid="{00000000-0005-0000-0000-00008E060000}"/>
    <cellStyle name="Comma 43" xfId="2068" xr:uid="{00000000-0005-0000-0000-00008F060000}"/>
    <cellStyle name="Comma 43 10" xfId="2069" xr:uid="{00000000-0005-0000-0000-000090060000}"/>
    <cellStyle name="Comma 43 2" xfId="2070" xr:uid="{00000000-0005-0000-0000-000091060000}"/>
    <cellStyle name="Comma 43 3" xfId="2071" xr:uid="{00000000-0005-0000-0000-000092060000}"/>
    <cellStyle name="Comma 43 4" xfId="2072" xr:uid="{00000000-0005-0000-0000-000093060000}"/>
    <cellStyle name="Comma 43 5" xfId="2073" xr:uid="{00000000-0005-0000-0000-000094060000}"/>
    <cellStyle name="Comma 43 6" xfId="2074" xr:uid="{00000000-0005-0000-0000-000095060000}"/>
    <cellStyle name="Comma 43 7" xfId="2075" xr:uid="{00000000-0005-0000-0000-000096060000}"/>
    <cellStyle name="Comma 43 8" xfId="2076" xr:uid="{00000000-0005-0000-0000-000097060000}"/>
    <cellStyle name="Comma 43 9" xfId="2077" xr:uid="{00000000-0005-0000-0000-000098060000}"/>
    <cellStyle name="Comma 44" xfId="2078" xr:uid="{00000000-0005-0000-0000-000099060000}"/>
    <cellStyle name="Comma 44 10" xfId="2079" xr:uid="{00000000-0005-0000-0000-00009A060000}"/>
    <cellStyle name="Comma 44 2" xfId="2080" xr:uid="{00000000-0005-0000-0000-00009B060000}"/>
    <cellStyle name="Comma 44 3" xfId="2081" xr:uid="{00000000-0005-0000-0000-00009C060000}"/>
    <cellStyle name="Comma 44 4" xfId="2082" xr:uid="{00000000-0005-0000-0000-00009D060000}"/>
    <cellStyle name="Comma 44 5" xfId="2083" xr:uid="{00000000-0005-0000-0000-00009E060000}"/>
    <cellStyle name="Comma 44 6" xfId="2084" xr:uid="{00000000-0005-0000-0000-00009F060000}"/>
    <cellStyle name="Comma 44 7" xfId="2085" xr:uid="{00000000-0005-0000-0000-0000A0060000}"/>
    <cellStyle name="Comma 44 8" xfId="2086" xr:uid="{00000000-0005-0000-0000-0000A1060000}"/>
    <cellStyle name="Comma 44 9" xfId="2087" xr:uid="{00000000-0005-0000-0000-0000A2060000}"/>
    <cellStyle name="Comma 45" xfId="2088" xr:uid="{00000000-0005-0000-0000-0000A3060000}"/>
    <cellStyle name="Comma 45 10" xfId="2089" xr:uid="{00000000-0005-0000-0000-0000A4060000}"/>
    <cellStyle name="Comma 45 2" xfId="2090" xr:uid="{00000000-0005-0000-0000-0000A5060000}"/>
    <cellStyle name="Comma 45 3" xfId="2091" xr:uid="{00000000-0005-0000-0000-0000A6060000}"/>
    <cellStyle name="Comma 45 4" xfId="2092" xr:uid="{00000000-0005-0000-0000-0000A7060000}"/>
    <cellStyle name="Comma 45 5" xfId="2093" xr:uid="{00000000-0005-0000-0000-0000A8060000}"/>
    <cellStyle name="Comma 45 6" xfId="2094" xr:uid="{00000000-0005-0000-0000-0000A9060000}"/>
    <cellStyle name="Comma 45 7" xfId="2095" xr:uid="{00000000-0005-0000-0000-0000AA060000}"/>
    <cellStyle name="Comma 45 8" xfId="2096" xr:uid="{00000000-0005-0000-0000-0000AB060000}"/>
    <cellStyle name="Comma 45 9" xfId="2097" xr:uid="{00000000-0005-0000-0000-0000AC060000}"/>
    <cellStyle name="Comma 46" xfId="2098" xr:uid="{00000000-0005-0000-0000-0000AD060000}"/>
    <cellStyle name="Comma 46 10" xfId="2099" xr:uid="{00000000-0005-0000-0000-0000AE060000}"/>
    <cellStyle name="Comma 46 2" xfId="2100" xr:uid="{00000000-0005-0000-0000-0000AF060000}"/>
    <cellStyle name="Comma 46 3" xfId="2101" xr:uid="{00000000-0005-0000-0000-0000B0060000}"/>
    <cellStyle name="Comma 46 4" xfId="2102" xr:uid="{00000000-0005-0000-0000-0000B1060000}"/>
    <cellStyle name="Comma 46 5" xfId="2103" xr:uid="{00000000-0005-0000-0000-0000B2060000}"/>
    <cellStyle name="Comma 46 6" xfId="2104" xr:uid="{00000000-0005-0000-0000-0000B3060000}"/>
    <cellStyle name="Comma 46 7" xfId="2105" xr:uid="{00000000-0005-0000-0000-0000B4060000}"/>
    <cellStyle name="Comma 46 8" xfId="2106" xr:uid="{00000000-0005-0000-0000-0000B5060000}"/>
    <cellStyle name="Comma 46 9" xfId="2107" xr:uid="{00000000-0005-0000-0000-0000B6060000}"/>
    <cellStyle name="Comma 47" xfId="2108" xr:uid="{00000000-0005-0000-0000-0000B7060000}"/>
    <cellStyle name="Comma 47 10" xfId="2109" xr:uid="{00000000-0005-0000-0000-0000B8060000}"/>
    <cellStyle name="Comma 47 2" xfId="2110" xr:uid="{00000000-0005-0000-0000-0000B9060000}"/>
    <cellStyle name="Comma 47 3" xfId="2111" xr:uid="{00000000-0005-0000-0000-0000BA060000}"/>
    <cellStyle name="Comma 47 4" xfId="2112" xr:uid="{00000000-0005-0000-0000-0000BB060000}"/>
    <cellStyle name="Comma 47 5" xfId="2113" xr:uid="{00000000-0005-0000-0000-0000BC060000}"/>
    <cellStyle name="Comma 47 6" xfId="2114" xr:uid="{00000000-0005-0000-0000-0000BD060000}"/>
    <cellStyle name="Comma 47 7" xfId="2115" xr:uid="{00000000-0005-0000-0000-0000BE060000}"/>
    <cellStyle name="Comma 47 8" xfId="2116" xr:uid="{00000000-0005-0000-0000-0000BF060000}"/>
    <cellStyle name="Comma 47 9" xfId="2117" xr:uid="{00000000-0005-0000-0000-0000C0060000}"/>
    <cellStyle name="Comma 48" xfId="2118" xr:uid="{00000000-0005-0000-0000-0000C1060000}"/>
    <cellStyle name="Comma 48 10" xfId="2119" xr:uid="{00000000-0005-0000-0000-0000C2060000}"/>
    <cellStyle name="Comma 48 2" xfId="2120" xr:uid="{00000000-0005-0000-0000-0000C3060000}"/>
    <cellStyle name="Comma 48 3" xfId="2121" xr:uid="{00000000-0005-0000-0000-0000C4060000}"/>
    <cellStyle name="Comma 48 4" xfId="2122" xr:uid="{00000000-0005-0000-0000-0000C5060000}"/>
    <cellStyle name="Comma 48 5" xfId="2123" xr:uid="{00000000-0005-0000-0000-0000C6060000}"/>
    <cellStyle name="Comma 48 6" xfId="2124" xr:uid="{00000000-0005-0000-0000-0000C7060000}"/>
    <cellStyle name="Comma 48 7" xfId="2125" xr:uid="{00000000-0005-0000-0000-0000C8060000}"/>
    <cellStyle name="Comma 48 8" xfId="2126" xr:uid="{00000000-0005-0000-0000-0000C9060000}"/>
    <cellStyle name="Comma 48 9" xfId="2127" xr:uid="{00000000-0005-0000-0000-0000CA060000}"/>
    <cellStyle name="Comma 49" xfId="671" xr:uid="{00000000-0005-0000-0000-0000CB060000}"/>
    <cellStyle name="Comma 49 2" xfId="2128" xr:uid="{00000000-0005-0000-0000-0000CC060000}"/>
    <cellStyle name="Comma 5" xfId="184" xr:uid="{00000000-0005-0000-0000-0000CD060000}"/>
    <cellStyle name="Comma 5 10" xfId="2130" xr:uid="{00000000-0005-0000-0000-0000CE060000}"/>
    <cellStyle name="Comma 5 10 2" xfId="2131" xr:uid="{00000000-0005-0000-0000-0000CF060000}"/>
    <cellStyle name="Comma 5 11" xfId="2132" xr:uid="{00000000-0005-0000-0000-0000D0060000}"/>
    <cellStyle name="Comma 5 11 2" xfId="2133" xr:uid="{00000000-0005-0000-0000-0000D1060000}"/>
    <cellStyle name="Comma 5 12" xfId="2134" xr:uid="{00000000-0005-0000-0000-0000D2060000}"/>
    <cellStyle name="Comma 5 12 2" xfId="2135" xr:uid="{00000000-0005-0000-0000-0000D3060000}"/>
    <cellStyle name="Comma 5 13" xfId="2136" xr:uid="{00000000-0005-0000-0000-0000D4060000}"/>
    <cellStyle name="Comma 5 13 2" xfId="2137" xr:uid="{00000000-0005-0000-0000-0000D5060000}"/>
    <cellStyle name="Comma 5 14" xfId="2138" xr:uid="{00000000-0005-0000-0000-0000D6060000}"/>
    <cellStyle name="Comma 5 14 2" xfId="2139" xr:uid="{00000000-0005-0000-0000-0000D7060000}"/>
    <cellStyle name="Comma 5 15" xfId="2140" xr:uid="{00000000-0005-0000-0000-0000D8060000}"/>
    <cellStyle name="Comma 5 15 2" xfId="2141" xr:uid="{00000000-0005-0000-0000-0000D9060000}"/>
    <cellStyle name="Comma 5 16" xfId="2142" xr:uid="{00000000-0005-0000-0000-0000DA060000}"/>
    <cellStyle name="Comma 5 16 2" xfId="2143" xr:uid="{00000000-0005-0000-0000-0000DB060000}"/>
    <cellStyle name="Comma 5 17" xfId="2144" xr:uid="{00000000-0005-0000-0000-0000DC060000}"/>
    <cellStyle name="Comma 5 17 2" xfId="2145" xr:uid="{00000000-0005-0000-0000-0000DD060000}"/>
    <cellStyle name="Comma 5 18" xfId="2146" xr:uid="{00000000-0005-0000-0000-0000DE060000}"/>
    <cellStyle name="Comma 5 19" xfId="2147" xr:uid="{00000000-0005-0000-0000-0000DF060000}"/>
    <cellStyle name="Comma 5 2" xfId="308" xr:uid="{00000000-0005-0000-0000-0000E0060000}"/>
    <cellStyle name="Comma 5 2 2" xfId="558" xr:uid="{00000000-0005-0000-0000-0000E1060000}"/>
    <cellStyle name="Comma 5 2 2 2" xfId="2149" xr:uid="{00000000-0005-0000-0000-0000E2060000}"/>
    <cellStyle name="Comma 5 2 3" xfId="2148" xr:uid="{00000000-0005-0000-0000-0000E3060000}"/>
    <cellStyle name="Comma 5 2 4" xfId="366" xr:uid="{00000000-0005-0000-0000-0000E4060000}"/>
    <cellStyle name="Comma 5 20" xfId="2150" xr:uid="{00000000-0005-0000-0000-0000E5060000}"/>
    <cellStyle name="Comma 5 21" xfId="2151" xr:uid="{00000000-0005-0000-0000-0000E6060000}"/>
    <cellStyle name="Comma 5 22" xfId="2152" xr:uid="{00000000-0005-0000-0000-0000E7060000}"/>
    <cellStyle name="Comma 5 23" xfId="2153" xr:uid="{00000000-0005-0000-0000-0000E8060000}"/>
    <cellStyle name="Comma 5 24" xfId="2129" xr:uid="{00000000-0005-0000-0000-0000E9060000}"/>
    <cellStyle name="Comma 5 3" xfId="469" xr:uid="{00000000-0005-0000-0000-0000EA060000}"/>
    <cellStyle name="Comma 5 3 2" xfId="2155" xr:uid="{00000000-0005-0000-0000-0000EB060000}"/>
    <cellStyle name="Comma 5 3 3" xfId="2154" xr:uid="{00000000-0005-0000-0000-0000EC060000}"/>
    <cellStyle name="Comma 5 4" xfId="2156" xr:uid="{00000000-0005-0000-0000-0000ED060000}"/>
    <cellStyle name="Comma 5 4 2" xfId="2157" xr:uid="{00000000-0005-0000-0000-0000EE060000}"/>
    <cellStyle name="Comma 5 5" xfId="2158" xr:uid="{00000000-0005-0000-0000-0000EF060000}"/>
    <cellStyle name="Comma 5 5 2" xfId="2159" xr:uid="{00000000-0005-0000-0000-0000F0060000}"/>
    <cellStyle name="Comma 5 6" xfId="2160" xr:uid="{00000000-0005-0000-0000-0000F1060000}"/>
    <cellStyle name="Comma 5 6 2" xfId="2161" xr:uid="{00000000-0005-0000-0000-0000F2060000}"/>
    <cellStyle name="Comma 5 7" xfId="2162" xr:uid="{00000000-0005-0000-0000-0000F3060000}"/>
    <cellStyle name="Comma 5 7 2" xfId="2163" xr:uid="{00000000-0005-0000-0000-0000F4060000}"/>
    <cellStyle name="Comma 5 8" xfId="2164" xr:uid="{00000000-0005-0000-0000-0000F5060000}"/>
    <cellStyle name="Comma 5 8 2" xfId="2165" xr:uid="{00000000-0005-0000-0000-0000F6060000}"/>
    <cellStyle name="Comma 5 9" xfId="2166" xr:uid="{00000000-0005-0000-0000-0000F7060000}"/>
    <cellStyle name="Comma 5 9 2" xfId="2167" xr:uid="{00000000-0005-0000-0000-0000F8060000}"/>
    <cellStyle name="Comma 50" xfId="21151" xr:uid="{00000000-0005-0000-0000-0000F9060000}"/>
    <cellStyle name="Comma 50 2" xfId="2168" xr:uid="{00000000-0005-0000-0000-0000FA060000}"/>
    <cellStyle name="Comma 51" xfId="21152" xr:uid="{00000000-0005-0000-0000-0000FB060000}"/>
    <cellStyle name="Comma 51 2" xfId="21154" xr:uid="{00000000-0005-0000-0000-0000FC060000}"/>
    <cellStyle name="Comma 52" xfId="2169" xr:uid="{00000000-0005-0000-0000-0000FD060000}"/>
    <cellStyle name="Comma 53" xfId="2170" xr:uid="{00000000-0005-0000-0000-0000FE060000}"/>
    <cellStyle name="Comma 59 2" xfId="2171" xr:uid="{00000000-0005-0000-0000-0000FF060000}"/>
    <cellStyle name="Comma 59 3" xfId="2172" xr:uid="{00000000-0005-0000-0000-000000070000}"/>
    <cellStyle name="Comma 6" xfId="313" xr:uid="{00000000-0005-0000-0000-000001070000}"/>
    <cellStyle name="Comma 6 10" xfId="2174" xr:uid="{00000000-0005-0000-0000-000002070000}"/>
    <cellStyle name="Comma 6 11" xfId="2175" xr:uid="{00000000-0005-0000-0000-000003070000}"/>
    <cellStyle name="Comma 6 12" xfId="2173" xr:uid="{00000000-0005-0000-0000-000004070000}"/>
    <cellStyle name="Comma 6 12 2" xfId="37634" xr:uid="{00000000-0005-0000-0000-000005070000}"/>
    <cellStyle name="Comma 6 13" xfId="330" xr:uid="{00000000-0005-0000-0000-000006070000}"/>
    <cellStyle name="Comma 6 2" xfId="464" xr:uid="{00000000-0005-0000-0000-000007070000}"/>
    <cellStyle name="Comma 6 2 2" xfId="2177" xr:uid="{00000000-0005-0000-0000-000008070000}"/>
    <cellStyle name="Comma 6 2 3" xfId="2176" xr:uid="{00000000-0005-0000-0000-000009070000}"/>
    <cellStyle name="Comma 6 3" xfId="2178" xr:uid="{00000000-0005-0000-0000-00000A070000}"/>
    <cellStyle name="Comma 6 3 2" xfId="2179" xr:uid="{00000000-0005-0000-0000-00000B070000}"/>
    <cellStyle name="Comma 6 4" xfId="2180" xr:uid="{00000000-0005-0000-0000-00000C070000}"/>
    <cellStyle name="Comma 6 4 2" xfId="2181" xr:uid="{00000000-0005-0000-0000-00000D070000}"/>
    <cellStyle name="Comma 6 5" xfId="2182" xr:uid="{00000000-0005-0000-0000-00000E070000}"/>
    <cellStyle name="Comma 6 5 2" xfId="2183" xr:uid="{00000000-0005-0000-0000-00000F070000}"/>
    <cellStyle name="Comma 6 6" xfId="2184" xr:uid="{00000000-0005-0000-0000-000010070000}"/>
    <cellStyle name="Comma 6 7" xfId="2185" xr:uid="{00000000-0005-0000-0000-000011070000}"/>
    <cellStyle name="Comma 6 8" xfId="2186" xr:uid="{00000000-0005-0000-0000-000012070000}"/>
    <cellStyle name="Comma 6 9" xfId="2187" xr:uid="{00000000-0005-0000-0000-000013070000}"/>
    <cellStyle name="Comma 60 2" xfId="2188" xr:uid="{00000000-0005-0000-0000-000014070000}"/>
    <cellStyle name="Comma 60 3" xfId="2189" xr:uid="{00000000-0005-0000-0000-000015070000}"/>
    <cellStyle name="Comma 7" xfId="319" xr:uid="{00000000-0005-0000-0000-000016070000}"/>
    <cellStyle name="Comma 7 10" xfId="2191" xr:uid="{00000000-0005-0000-0000-000017070000}"/>
    <cellStyle name="Comma 7 11" xfId="2192" xr:uid="{00000000-0005-0000-0000-000018070000}"/>
    <cellStyle name="Comma 7 12" xfId="2190" xr:uid="{00000000-0005-0000-0000-000019070000}"/>
    <cellStyle name="Comma 7 13" xfId="346" xr:uid="{00000000-0005-0000-0000-00001A070000}"/>
    <cellStyle name="Comma 7 2" xfId="536" xr:uid="{00000000-0005-0000-0000-00001B070000}"/>
    <cellStyle name="Comma 7 2 2" xfId="2194" xr:uid="{00000000-0005-0000-0000-00001C070000}"/>
    <cellStyle name="Comma 7 2 3" xfId="2193" xr:uid="{00000000-0005-0000-0000-00001D070000}"/>
    <cellStyle name="Comma 7 3" xfId="2195" xr:uid="{00000000-0005-0000-0000-00001E070000}"/>
    <cellStyle name="Comma 7 3 2" xfId="2196" xr:uid="{00000000-0005-0000-0000-00001F070000}"/>
    <cellStyle name="Comma 7 4" xfId="2197" xr:uid="{00000000-0005-0000-0000-000020070000}"/>
    <cellStyle name="Comma 7 4 2" xfId="2198" xr:uid="{00000000-0005-0000-0000-000021070000}"/>
    <cellStyle name="Comma 7 5" xfId="2199" xr:uid="{00000000-0005-0000-0000-000022070000}"/>
    <cellStyle name="Comma 7 5 2" xfId="2200" xr:uid="{00000000-0005-0000-0000-000023070000}"/>
    <cellStyle name="Comma 7 6" xfId="2201" xr:uid="{00000000-0005-0000-0000-000024070000}"/>
    <cellStyle name="Comma 7 7" xfId="2202" xr:uid="{00000000-0005-0000-0000-000025070000}"/>
    <cellStyle name="Comma 7 8" xfId="2203" xr:uid="{00000000-0005-0000-0000-000026070000}"/>
    <cellStyle name="Comma 7 9" xfId="2204" xr:uid="{00000000-0005-0000-0000-000027070000}"/>
    <cellStyle name="Comma 8" xfId="307" xr:uid="{00000000-0005-0000-0000-000028070000}"/>
    <cellStyle name="Comma 8 10" xfId="2206" xr:uid="{00000000-0005-0000-0000-000029070000}"/>
    <cellStyle name="Comma 8 11" xfId="2207" xr:uid="{00000000-0005-0000-0000-00002A070000}"/>
    <cellStyle name="Comma 8 12" xfId="2205" xr:uid="{00000000-0005-0000-0000-00002B070000}"/>
    <cellStyle name="Comma 8 13" xfId="349" xr:uid="{00000000-0005-0000-0000-00002C070000}"/>
    <cellStyle name="Comma 8 2" xfId="539" xr:uid="{00000000-0005-0000-0000-00002D070000}"/>
    <cellStyle name="Comma 8 2 2" xfId="2209" xr:uid="{00000000-0005-0000-0000-00002E070000}"/>
    <cellStyle name="Comma 8 2 3" xfId="2208" xr:uid="{00000000-0005-0000-0000-00002F070000}"/>
    <cellStyle name="Comma 8 3" xfId="2210" xr:uid="{00000000-0005-0000-0000-000030070000}"/>
    <cellStyle name="Comma 8 3 2" xfId="2211" xr:uid="{00000000-0005-0000-0000-000031070000}"/>
    <cellStyle name="Comma 8 4" xfId="2212" xr:uid="{00000000-0005-0000-0000-000032070000}"/>
    <cellStyle name="Comma 8 4 2" xfId="2213" xr:uid="{00000000-0005-0000-0000-000033070000}"/>
    <cellStyle name="Comma 8 5" xfId="2214" xr:uid="{00000000-0005-0000-0000-000034070000}"/>
    <cellStyle name="Comma 8 5 2" xfId="2215" xr:uid="{00000000-0005-0000-0000-000035070000}"/>
    <cellStyle name="Comma 8 6" xfId="2216" xr:uid="{00000000-0005-0000-0000-000036070000}"/>
    <cellStyle name="Comma 8 7" xfId="2217" xr:uid="{00000000-0005-0000-0000-000037070000}"/>
    <cellStyle name="Comma 8 8" xfId="2218" xr:uid="{00000000-0005-0000-0000-000038070000}"/>
    <cellStyle name="Comma 8 9" xfId="2219" xr:uid="{00000000-0005-0000-0000-000039070000}"/>
    <cellStyle name="Comma 9" xfId="312" xr:uid="{00000000-0005-0000-0000-00003A070000}"/>
    <cellStyle name="Comma 9 2" xfId="589" xr:uid="{00000000-0005-0000-0000-00003B070000}"/>
    <cellStyle name="Comma 9 2 2" xfId="2221" xr:uid="{00000000-0005-0000-0000-00003C070000}"/>
    <cellStyle name="Comma 9 3" xfId="2222" xr:uid="{00000000-0005-0000-0000-00003D070000}"/>
    <cellStyle name="Comma 9 4" xfId="2223" xr:uid="{00000000-0005-0000-0000-00003E070000}"/>
    <cellStyle name="Comma 9 5" xfId="2224" xr:uid="{00000000-0005-0000-0000-00003F070000}"/>
    <cellStyle name="Comma 9 6" xfId="2220" xr:uid="{00000000-0005-0000-0000-000040070000}"/>
    <cellStyle name="Comma 9 7" xfId="37635" xr:uid="{00000000-0005-0000-0000-000041070000}"/>
    <cellStyle name="Currency" xfId="37697" builtinId="4"/>
    <cellStyle name="Currency [0] 2" xfId="11" xr:uid="{00000000-0005-0000-0000-000043070000}"/>
    <cellStyle name="Currency [0] 2 2" xfId="207" xr:uid="{00000000-0005-0000-0000-000044070000}"/>
    <cellStyle name="Currency 10" xfId="12" xr:uid="{00000000-0005-0000-0000-000045070000}"/>
    <cellStyle name="Currency 11" xfId="199" xr:uid="{00000000-0005-0000-0000-000046070000}"/>
    <cellStyle name="Currency 11 2" xfId="384" xr:uid="{00000000-0005-0000-0000-000047070000}"/>
    <cellStyle name="Currency 11 2 2" xfId="576" xr:uid="{00000000-0005-0000-0000-000048070000}"/>
    <cellStyle name="Currency 11 2 3" xfId="2226" xr:uid="{00000000-0005-0000-0000-000049070000}"/>
    <cellStyle name="Currency 11 2 4" xfId="37637" xr:uid="{00000000-0005-0000-0000-00004A070000}"/>
    <cellStyle name="Currency 11 3" xfId="491" xr:uid="{00000000-0005-0000-0000-00004B070000}"/>
    <cellStyle name="Currency 11 3 2" xfId="2227" xr:uid="{00000000-0005-0000-0000-00004C070000}"/>
    <cellStyle name="Currency 11 3 3" xfId="37638" xr:uid="{00000000-0005-0000-0000-00004D070000}"/>
    <cellStyle name="Currency 11 4" xfId="2225" xr:uid="{00000000-0005-0000-0000-00004E070000}"/>
    <cellStyle name="Currency 11 5" xfId="37636" xr:uid="{00000000-0005-0000-0000-00004F070000}"/>
    <cellStyle name="Currency 12" xfId="201" xr:uid="{00000000-0005-0000-0000-000050070000}"/>
    <cellStyle name="Currency 12 2" xfId="386" xr:uid="{00000000-0005-0000-0000-000051070000}"/>
    <cellStyle name="Currency 12 2 2" xfId="578" xr:uid="{00000000-0005-0000-0000-000052070000}"/>
    <cellStyle name="Currency 12 2 3" xfId="2229" xr:uid="{00000000-0005-0000-0000-000053070000}"/>
    <cellStyle name="Currency 12 2 4" xfId="37640" xr:uid="{00000000-0005-0000-0000-000054070000}"/>
    <cellStyle name="Currency 12 3" xfId="505" xr:uid="{00000000-0005-0000-0000-000055070000}"/>
    <cellStyle name="Currency 12 3 2" xfId="2230" xr:uid="{00000000-0005-0000-0000-000056070000}"/>
    <cellStyle name="Currency 12 3 3" xfId="37641" xr:uid="{00000000-0005-0000-0000-000057070000}"/>
    <cellStyle name="Currency 12 4" xfId="2228" xr:uid="{00000000-0005-0000-0000-000058070000}"/>
    <cellStyle name="Currency 12 5" xfId="37639" xr:uid="{00000000-0005-0000-0000-000059070000}"/>
    <cellStyle name="Currency 13" xfId="182" xr:uid="{00000000-0005-0000-0000-00005A070000}"/>
    <cellStyle name="Currency 13 2" xfId="292" xr:uid="{00000000-0005-0000-0000-00005B070000}"/>
    <cellStyle name="Currency 14" xfId="289" xr:uid="{00000000-0005-0000-0000-00005C070000}"/>
    <cellStyle name="Currency 15" xfId="293" xr:uid="{00000000-0005-0000-0000-00005D070000}"/>
    <cellStyle name="Currency 16" xfId="295" xr:uid="{00000000-0005-0000-0000-00005E070000}"/>
    <cellStyle name="Currency 17" xfId="296" xr:uid="{00000000-0005-0000-0000-00005F070000}"/>
    <cellStyle name="Currency 18" xfId="297" xr:uid="{00000000-0005-0000-0000-000060070000}"/>
    <cellStyle name="Currency 19" xfId="298" xr:uid="{00000000-0005-0000-0000-000061070000}"/>
    <cellStyle name="Currency 2" xfId="13" xr:uid="{00000000-0005-0000-0000-000062070000}"/>
    <cellStyle name="Currency 2 10" xfId="2232" xr:uid="{00000000-0005-0000-0000-000063070000}"/>
    <cellStyle name="Currency 2 10 2" xfId="2233" xr:uid="{00000000-0005-0000-0000-000064070000}"/>
    <cellStyle name="Currency 2 10 2 2" xfId="2234" xr:uid="{00000000-0005-0000-0000-000065070000}"/>
    <cellStyle name="Currency 2 10 2 2 2" xfId="2235" xr:uid="{00000000-0005-0000-0000-000066070000}"/>
    <cellStyle name="Currency 2 10 2 2 3" xfId="2236" xr:uid="{00000000-0005-0000-0000-000067070000}"/>
    <cellStyle name="Currency 2 10 2 2 4" xfId="2237" xr:uid="{00000000-0005-0000-0000-000068070000}"/>
    <cellStyle name="Currency 2 10 2 3" xfId="2238" xr:uid="{00000000-0005-0000-0000-000069070000}"/>
    <cellStyle name="Currency 2 10 2 4" xfId="2239" xr:uid="{00000000-0005-0000-0000-00006A070000}"/>
    <cellStyle name="Currency 2 10 2 5" xfId="2240" xr:uid="{00000000-0005-0000-0000-00006B070000}"/>
    <cellStyle name="Currency 2 10 3" xfId="2241" xr:uid="{00000000-0005-0000-0000-00006C070000}"/>
    <cellStyle name="Currency 2 10 3 2" xfId="2242" xr:uid="{00000000-0005-0000-0000-00006D070000}"/>
    <cellStyle name="Currency 2 10 3 3" xfId="2243" xr:uid="{00000000-0005-0000-0000-00006E070000}"/>
    <cellStyle name="Currency 2 10 3 4" xfId="2244" xr:uid="{00000000-0005-0000-0000-00006F070000}"/>
    <cellStyle name="Currency 2 10 4" xfId="2245" xr:uid="{00000000-0005-0000-0000-000070070000}"/>
    <cellStyle name="Currency 2 10 5" xfId="2246" xr:uid="{00000000-0005-0000-0000-000071070000}"/>
    <cellStyle name="Currency 2 10 6" xfId="2247" xr:uid="{00000000-0005-0000-0000-000072070000}"/>
    <cellStyle name="Currency 2 11" xfId="2248" xr:uid="{00000000-0005-0000-0000-000073070000}"/>
    <cellStyle name="Currency 2 11 2" xfId="2249" xr:uid="{00000000-0005-0000-0000-000074070000}"/>
    <cellStyle name="Currency 2 11 2 2" xfId="2250" xr:uid="{00000000-0005-0000-0000-000075070000}"/>
    <cellStyle name="Currency 2 11 2 2 2" xfId="2251" xr:uid="{00000000-0005-0000-0000-000076070000}"/>
    <cellStyle name="Currency 2 11 2 2 3" xfId="2252" xr:uid="{00000000-0005-0000-0000-000077070000}"/>
    <cellStyle name="Currency 2 11 2 2 4" xfId="2253" xr:uid="{00000000-0005-0000-0000-000078070000}"/>
    <cellStyle name="Currency 2 11 2 3" xfId="2254" xr:uid="{00000000-0005-0000-0000-000079070000}"/>
    <cellStyle name="Currency 2 11 2 4" xfId="2255" xr:uid="{00000000-0005-0000-0000-00007A070000}"/>
    <cellStyle name="Currency 2 11 2 5" xfId="2256" xr:uid="{00000000-0005-0000-0000-00007B070000}"/>
    <cellStyle name="Currency 2 11 3" xfId="2257" xr:uid="{00000000-0005-0000-0000-00007C070000}"/>
    <cellStyle name="Currency 2 11 3 2" xfId="2258" xr:uid="{00000000-0005-0000-0000-00007D070000}"/>
    <cellStyle name="Currency 2 11 3 3" xfId="2259" xr:uid="{00000000-0005-0000-0000-00007E070000}"/>
    <cellStyle name="Currency 2 11 3 4" xfId="2260" xr:uid="{00000000-0005-0000-0000-00007F070000}"/>
    <cellStyle name="Currency 2 11 4" xfId="2261" xr:uid="{00000000-0005-0000-0000-000080070000}"/>
    <cellStyle name="Currency 2 11 5" xfId="2262" xr:uid="{00000000-0005-0000-0000-000081070000}"/>
    <cellStyle name="Currency 2 11 6" xfId="2263" xr:uid="{00000000-0005-0000-0000-000082070000}"/>
    <cellStyle name="Currency 2 12" xfId="2264" xr:uid="{00000000-0005-0000-0000-000083070000}"/>
    <cellStyle name="Currency 2 12 2" xfId="2265" xr:uid="{00000000-0005-0000-0000-000084070000}"/>
    <cellStyle name="Currency 2 12 2 2" xfId="2266" xr:uid="{00000000-0005-0000-0000-000085070000}"/>
    <cellStyle name="Currency 2 12 2 2 2" xfId="2267" xr:uid="{00000000-0005-0000-0000-000086070000}"/>
    <cellStyle name="Currency 2 12 2 2 3" xfId="2268" xr:uid="{00000000-0005-0000-0000-000087070000}"/>
    <cellStyle name="Currency 2 12 2 2 4" xfId="2269" xr:uid="{00000000-0005-0000-0000-000088070000}"/>
    <cellStyle name="Currency 2 12 2 3" xfId="2270" xr:uid="{00000000-0005-0000-0000-000089070000}"/>
    <cellStyle name="Currency 2 12 2 4" xfId="2271" xr:uid="{00000000-0005-0000-0000-00008A070000}"/>
    <cellStyle name="Currency 2 12 2 5" xfId="2272" xr:uid="{00000000-0005-0000-0000-00008B070000}"/>
    <cellStyle name="Currency 2 12 3" xfId="2273" xr:uid="{00000000-0005-0000-0000-00008C070000}"/>
    <cellStyle name="Currency 2 12 3 2" xfId="2274" xr:uid="{00000000-0005-0000-0000-00008D070000}"/>
    <cellStyle name="Currency 2 12 3 3" xfId="2275" xr:uid="{00000000-0005-0000-0000-00008E070000}"/>
    <cellStyle name="Currency 2 12 3 4" xfId="2276" xr:uid="{00000000-0005-0000-0000-00008F070000}"/>
    <cellStyle name="Currency 2 12 4" xfId="2277" xr:uid="{00000000-0005-0000-0000-000090070000}"/>
    <cellStyle name="Currency 2 12 5" xfId="2278" xr:uid="{00000000-0005-0000-0000-000091070000}"/>
    <cellStyle name="Currency 2 12 6" xfId="2279" xr:uid="{00000000-0005-0000-0000-000092070000}"/>
    <cellStyle name="Currency 2 13" xfId="2280" xr:uid="{00000000-0005-0000-0000-000093070000}"/>
    <cellStyle name="Currency 2 14" xfId="2281" xr:uid="{00000000-0005-0000-0000-000094070000}"/>
    <cellStyle name="Currency 2 15" xfId="2282" xr:uid="{00000000-0005-0000-0000-000095070000}"/>
    <cellStyle name="Currency 2 16" xfId="2283" xr:uid="{00000000-0005-0000-0000-000096070000}"/>
    <cellStyle name="Currency 2 17" xfId="2284" xr:uid="{00000000-0005-0000-0000-000097070000}"/>
    <cellStyle name="Currency 2 18" xfId="2285" xr:uid="{00000000-0005-0000-0000-000098070000}"/>
    <cellStyle name="Currency 2 19" xfId="2286" xr:uid="{00000000-0005-0000-0000-000099070000}"/>
    <cellStyle name="Currency 2 2" xfId="14" xr:uid="{00000000-0005-0000-0000-00009A070000}"/>
    <cellStyle name="Currency 2 2 10" xfId="2287" xr:uid="{00000000-0005-0000-0000-00009B070000}"/>
    <cellStyle name="Currency 2 2 11" xfId="2288" xr:uid="{00000000-0005-0000-0000-00009C070000}"/>
    <cellStyle name="Currency 2 2 12" xfId="2289" xr:uid="{00000000-0005-0000-0000-00009D070000}"/>
    <cellStyle name="Currency 2 2 13" xfId="2290" xr:uid="{00000000-0005-0000-0000-00009E070000}"/>
    <cellStyle name="Currency 2 2 14" xfId="2291" xr:uid="{00000000-0005-0000-0000-00009F070000}"/>
    <cellStyle name="Currency 2 2 15" xfId="2292" xr:uid="{00000000-0005-0000-0000-0000A0070000}"/>
    <cellStyle name="Currency 2 2 16" xfId="2293" xr:uid="{00000000-0005-0000-0000-0000A1070000}"/>
    <cellStyle name="Currency 2 2 17" xfId="2294" xr:uid="{00000000-0005-0000-0000-0000A2070000}"/>
    <cellStyle name="Currency 2 2 18" xfId="2295" xr:uid="{00000000-0005-0000-0000-0000A3070000}"/>
    <cellStyle name="Currency 2 2 19" xfId="2296" xr:uid="{00000000-0005-0000-0000-0000A4070000}"/>
    <cellStyle name="Currency 2 2 2" xfId="206" xr:uid="{00000000-0005-0000-0000-0000A5070000}"/>
    <cellStyle name="Currency 2 2 2 2" xfId="2298" xr:uid="{00000000-0005-0000-0000-0000A6070000}"/>
    <cellStyle name="Currency 2 2 2 3" xfId="2299" xr:uid="{00000000-0005-0000-0000-0000A7070000}"/>
    <cellStyle name="Currency 2 2 2 4" xfId="2300" xr:uid="{00000000-0005-0000-0000-0000A8070000}"/>
    <cellStyle name="Currency 2 2 2 5" xfId="2297" xr:uid="{00000000-0005-0000-0000-0000A9070000}"/>
    <cellStyle name="Currency 2 2 20" xfId="2301" xr:uid="{00000000-0005-0000-0000-0000AA070000}"/>
    <cellStyle name="Currency 2 2 21" xfId="2302" xr:uid="{00000000-0005-0000-0000-0000AB070000}"/>
    <cellStyle name="Currency 2 2 22" xfId="2303" xr:uid="{00000000-0005-0000-0000-0000AC070000}"/>
    <cellStyle name="Currency 2 2 23" xfId="2304" xr:uid="{00000000-0005-0000-0000-0000AD070000}"/>
    <cellStyle name="Currency 2 2 24" xfId="2305" xr:uid="{00000000-0005-0000-0000-0000AE070000}"/>
    <cellStyle name="Currency 2 2 25" xfId="2306" xr:uid="{00000000-0005-0000-0000-0000AF070000}"/>
    <cellStyle name="Currency 2 2 26" xfId="2307" xr:uid="{00000000-0005-0000-0000-0000B0070000}"/>
    <cellStyle name="Currency 2 2 27" xfId="2308" xr:uid="{00000000-0005-0000-0000-0000B1070000}"/>
    <cellStyle name="Currency 2 2 28" xfId="2309" xr:uid="{00000000-0005-0000-0000-0000B2070000}"/>
    <cellStyle name="Currency 2 2 29" xfId="2310" xr:uid="{00000000-0005-0000-0000-0000B3070000}"/>
    <cellStyle name="Currency 2 2 3" xfId="2311" xr:uid="{00000000-0005-0000-0000-0000B4070000}"/>
    <cellStyle name="Currency 2 2 30" xfId="2312" xr:uid="{00000000-0005-0000-0000-0000B5070000}"/>
    <cellStyle name="Currency 2 2 31" xfId="2313" xr:uid="{00000000-0005-0000-0000-0000B6070000}"/>
    <cellStyle name="Currency 2 2 4" xfId="2314" xr:uid="{00000000-0005-0000-0000-0000B7070000}"/>
    <cellStyle name="Currency 2 2 5" xfId="2315" xr:uid="{00000000-0005-0000-0000-0000B8070000}"/>
    <cellStyle name="Currency 2 2 6" xfId="2316" xr:uid="{00000000-0005-0000-0000-0000B9070000}"/>
    <cellStyle name="Currency 2 2 7" xfId="2317" xr:uid="{00000000-0005-0000-0000-0000BA070000}"/>
    <cellStyle name="Currency 2 2 8" xfId="2318" xr:uid="{00000000-0005-0000-0000-0000BB070000}"/>
    <cellStyle name="Currency 2 2 9" xfId="2319" xr:uid="{00000000-0005-0000-0000-0000BC070000}"/>
    <cellStyle name="Currency 2 20" xfId="2320" xr:uid="{00000000-0005-0000-0000-0000BD070000}"/>
    <cellStyle name="Currency 2 21" xfId="2321" xr:uid="{00000000-0005-0000-0000-0000BE070000}"/>
    <cellStyle name="Currency 2 22" xfId="2322" xr:uid="{00000000-0005-0000-0000-0000BF070000}"/>
    <cellStyle name="Currency 2 23" xfId="2323" xr:uid="{00000000-0005-0000-0000-0000C0070000}"/>
    <cellStyle name="Currency 2 24" xfId="2324" xr:uid="{00000000-0005-0000-0000-0000C1070000}"/>
    <cellStyle name="Currency 2 25" xfId="2325" xr:uid="{00000000-0005-0000-0000-0000C2070000}"/>
    <cellStyle name="Currency 2 26" xfId="2326" xr:uid="{00000000-0005-0000-0000-0000C3070000}"/>
    <cellStyle name="Currency 2 27" xfId="2327" xr:uid="{00000000-0005-0000-0000-0000C4070000}"/>
    <cellStyle name="Currency 2 28" xfId="2328" xr:uid="{00000000-0005-0000-0000-0000C5070000}"/>
    <cellStyle name="Currency 2 29" xfId="2329" xr:uid="{00000000-0005-0000-0000-0000C6070000}"/>
    <cellStyle name="Currency 2 3" xfId="284" xr:uid="{00000000-0005-0000-0000-0000C7070000}"/>
    <cellStyle name="Currency 2 3 10" xfId="2331" xr:uid="{00000000-0005-0000-0000-0000C8070000}"/>
    <cellStyle name="Currency 2 3 11" xfId="2332" xr:uid="{00000000-0005-0000-0000-0000C9070000}"/>
    <cellStyle name="Currency 2 3 12" xfId="2333" xr:uid="{00000000-0005-0000-0000-0000CA070000}"/>
    <cellStyle name="Currency 2 3 13" xfId="2334" xr:uid="{00000000-0005-0000-0000-0000CB070000}"/>
    <cellStyle name="Currency 2 3 14" xfId="2335" xr:uid="{00000000-0005-0000-0000-0000CC070000}"/>
    <cellStyle name="Currency 2 3 15" xfId="2336" xr:uid="{00000000-0005-0000-0000-0000CD070000}"/>
    <cellStyle name="Currency 2 3 16" xfId="2337" xr:uid="{00000000-0005-0000-0000-0000CE070000}"/>
    <cellStyle name="Currency 2 3 17" xfId="2338" xr:uid="{00000000-0005-0000-0000-0000CF070000}"/>
    <cellStyle name="Currency 2 3 18" xfId="2339" xr:uid="{00000000-0005-0000-0000-0000D0070000}"/>
    <cellStyle name="Currency 2 3 19" xfId="2340" xr:uid="{00000000-0005-0000-0000-0000D1070000}"/>
    <cellStyle name="Currency 2 3 2" xfId="2341" xr:uid="{00000000-0005-0000-0000-0000D2070000}"/>
    <cellStyle name="Currency 2 3 2 2" xfId="2342" xr:uid="{00000000-0005-0000-0000-0000D3070000}"/>
    <cellStyle name="Currency 2 3 2 3" xfId="2343" xr:uid="{00000000-0005-0000-0000-0000D4070000}"/>
    <cellStyle name="Currency 2 3 2 4" xfId="2344" xr:uid="{00000000-0005-0000-0000-0000D5070000}"/>
    <cellStyle name="Currency 2 3 20" xfId="2345" xr:uid="{00000000-0005-0000-0000-0000D6070000}"/>
    <cellStyle name="Currency 2 3 21" xfId="2346" xr:uid="{00000000-0005-0000-0000-0000D7070000}"/>
    <cellStyle name="Currency 2 3 22" xfId="2347" xr:uid="{00000000-0005-0000-0000-0000D8070000}"/>
    <cellStyle name="Currency 2 3 23" xfId="2348" xr:uid="{00000000-0005-0000-0000-0000D9070000}"/>
    <cellStyle name="Currency 2 3 24" xfId="2349" xr:uid="{00000000-0005-0000-0000-0000DA070000}"/>
    <cellStyle name="Currency 2 3 25" xfId="2350" xr:uid="{00000000-0005-0000-0000-0000DB070000}"/>
    <cellStyle name="Currency 2 3 26" xfId="2351" xr:uid="{00000000-0005-0000-0000-0000DC070000}"/>
    <cellStyle name="Currency 2 3 27" xfId="2352" xr:uid="{00000000-0005-0000-0000-0000DD070000}"/>
    <cellStyle name="Currency 2 3 28" xfId="2353" xr:uid="{00000000-0005-0000-0000-0000DE070000}"/>
    <cellStyle name="Currency 2 3 29" xfId="2354" xr:uid="{00000000-0005-0000-0000-0000DF070000}"/>
    <cellStyle name="Currency 2 3 3" xfId="2355" xr:uid="{00000000-0005-0000-0000-0000E0070000}"/>
    <cellStyle name="Currency 2 3 30" xfId="2356" xr:uid="{00000000-0005-0000-0000-0000E1070000}"/>
    <cellStyle name="Currency 2 3 31" xfId="2357" xr:uid="{00000000-0005-0000-0000-0000E2070000}"/>
    <cellStyle name="Currency 2 3 32" xfId="2330" xr:uid="{00000000-0005-0000-0000-0000E3070000}"/>
    <cellStyle name="Currency 2 3 4" xfId="2358" xr:uid="{00000000-0005-0000-0000-0000E4070000}"/>
    <cellStyle name="Currency 2 3 5" xfId="2359" xr:uid="{00000000-0005-0000-0000-0000E5070000}"/>
    <cellStyle name="Currency 2 3 6" xfId="2360" xr:uid="{00000000-0005-0000-0000-0000E6070000}"/>
    <cellStyle name="Currency 2 3 7" xfId="2361" xr:uid="{00000000-0005-0000-0000-0000E7070000}"/>
    <cellStyle name="Currency 2 3 8" xfId="2362" xr:uid="{00000000-0005-0000-0000-0000E8070000}"/>
    <cellStyle name="Currency 2 3 9" xfId="2363" xr:uid="{00000000-0005-0000-0000-0000E9070000}"/>
    <cellStyle name="Currency 2 30" xfId="2364" xr:uid="{00000000-0005-0000-0000-0000EA070000}"/>
    <cellStyle name="Currency 2 31" xfId="2365" xr:uid="{00000000-0005-0000-0000-0000EB070000}"/>
    <cellStyle name="Currency 2 32" xfId="2366" xr:uid="{00000000-0005-0000-0000-0000EC070000}"/>
    <cellStyle name="Currency 2 33" xfId="2367" xr:uid="{00000000-0005-0000-0000-0000ED070000}"/>
    <cellStyle name="Currency 2 34" xfId="2368" xr:uid="{00000000-0005-0000-0000-0000EE070000}"/>
    <cellStyle name="Currency 2 35" xfId="2369" xr:uid="{00000000-0005-0000-0000-0000EF070000}"/>
    <cellStyle name="Currency 2 36" xfId="2370" xr:uid="{00000000-0005-0000-0000-0000F0070000}"/>
    <cellStyle name="Currency 2 37" xfId="21148" xr:uid="{00000000-0005-0000-0000-0000F1070000}"/>
    <cellStyle name="Currency 2 37 2" xfId="37606" xr:uid="{00000000-0005-0000-0000-0000F2070000}"/>
    <cellStyle name="Currency 2 38" xfId="2231" xr:uid="{00000000-0005-0000-0000-0000F3070000}"/>
    <cellStyle name="Currency 2 4" xfId="381" xr:uid="{00000000-0005-0000-0000-0000F4070000}"/>
    <cellStyle name="Currency 2 4 2" xfId="573" xr:uid="{00000000-0005-0000-0000-0000F5070000}"/>
    <cellStyle name="Currency 2 4 3" xfId="2371" xr:uid="{00000000-0005-0000-0000-0000F6070000}"/>
    <cellStyle name="Currency 2 5" xfId="484" xr:uid="{00000000-0005-0000-0000-0000F7070000}"/>
    <cellStyle name="Currency 2 5 2" xfId="2372" xr:uid="{00000000-0005-0000-0000-0000F8070000}"/>
    <cellStyle name="Currency 2 6" xfId="2373" xr:uid="{00000000-0005-0000-0000-0000F9070000}"/>
    <cellStyle name="Currency 2 7" xfId="2374" xr:uid="{00000000-0005-0000-0000-0000FA070000}"/>
    <cellStyle name="Currency 2 8" xfId="2375" xr:uid="{00000000-0005-0000-0000-0000FB070000}"/>
    <cellStyle name="Currency 2 9" xfId="2376" xr:uid="{00000000-0005-0000-0000-0000FC070000}"/>
    <cellStyle name="Currency 20" xfId="299" xr:uid="{00000000-0005-0000-0000-0000FD070000}"/>
    <cellStyle name="Currency 21" xfId="300" xr:uid="{00000000-0005-0000-0000-0000FE070000}"/>
    <cellStyle name="Currency 22" xfId="301" xr:uid="{00000000-0005-0000-0000-0000FF070000}"/>
    <cellStyle name="Currency 23" xfId="321" xr:uid="{00000000-0005-0000-0000-000000080000}"/>
    <cellStyle name="Currency 23 2" xfId="537" xr:uid="{00000000-0005-0000-0000-000001080000}"/>
    <cellStyle name="Currency 23 2 2" xfId="2378" xr:uid="{00000000-0005-0000-0000-000002080000}"/>
    <cellStyle name="Currency 23 3" xfId="2377" xr:uid="{00000000-0005-0000-0000-000003080000}"/>
    <cellStyle name="Currency 23 4" xfId="347" xr:uid="{00000000-0005-0000-0000-000004080000}"/>
    <cellStyle name="Currency 24" xfId="352" xr:uid="{00000000-0005-0000-0000-000005080000}"/>
    <cellStyle name="Currency 24 2" xfId="542" xr:uid="{00000000-0005-0000-0000-000006080000}"/>
    <cellStyle name="Currency 24 3" xfId="2379" xr:uid="{00000000-0005-0000-0000-000007080000}"/>
    <cellStyle name="Currency 25" xfId="432" xr:uid="{00000000-0005-0000-0000-000008080000}"/>
    <cellStyle name="Currency 25 2" xfId="590" xr:uid="{00000000-0005-0000-0000-000009080000}"/>
    <cellStyle name="Currency 25 3" xfId="2380" xr:uid="{00000000-0005-0000-0000-00000A080000}"/>
    <cellStyle name="Currency 26" xfId="437" xr:uid="{00000000-0005-0000-0000-00000B080000}"/>
    <cellStyle name="Currency 26 2" xfId="595" xr:uid="{00000000-0005-0000-0000-00000C080000}"/>
    <cellStyle name="Currency 26 3" xfId="2381" xr:uid="{00000000-0005-0000-0000-00000D080000}"/>
    <cellStyle name="Currency 27" xfId="662" xr:uid="{00000000-0005-0000-0000-00000E080000}"/>
    <cellStyle name="Currency 27 2" xfId="2382" xr:uid="{00000000-0005-0000-0000-00000F080000}"/>
    <cellStyle name="Currency 28" xfId="668" xr:uid="{00000000-0005-0000-0000-000010080000}"/>
    <cellStyle name="Currency 28 2" xfId="2383" xr:uid="{00000000-0005-0000-0000-000011080000}"/>
    <cellStyle name="Currency 29" xfId="2384" xr:uid="{00000000-0005-0000-0000-000012080000}"/>
    <cellStyle name="Currency 29 2" xfId="37642" xr:uid="{00000000-0005-0000-0000-000013080000}"/>
    <cellStyle name="Currency 3" xfId="15" xr:uid="{00000000-0005-0000-0000-000014080000}"/>
    <cellStyle name="Currency 3 10" xfId="2385" xr:uid="{00000000-0005-0000-0000-000015080000}"/>
    <cellStyle name="Currency 3 11" xfId="2386" xr:uid="{00000000-0005-0000-0000-000016080000}"/>
    <cellStyle name="Currency 3 12" xfId="2387" xr:uid="{00000000-0005-0000-0000-000017080000}"/>
    <cellStyle name="Currency 3 13" xfId="2388" xr:uid="{00000000-0005-0000-0000-000018080000}"/>
    <cellStyle name="Currency 3 14" xfId="2389" xr:uid="{00000000-0005-0000-0000-000019080000}"/>
    <cellStyle name="Currency 3 15" xfId="2390" xr:uid="{00000000-0005-0000-0000-00001A080000}"/>
    <cellStyle name="Currency 3 16" xfId="2391" xr:uid="{00000000-0005-0000-0000-00001B080000}"/>
    <cellStyle name="Currency 3 17" xfId="2392" xr:uid="{00000000-0005-0000-0000-00001C080000}"/>
    <cellStyle name="Currency 3 18" xfId="2393" xr:uid="{00000000-0005-0000-0000-00001D080000}"/>
    <cellStyle name="Currency 3 19" xfId="2394" xr:uid="{00000000-0005-0000-0000-00001E080000}"/>
    <cellStyle name="Currency 3 2" xfId="283" xr:uid="{00000000-0005-0000-0000-00001F080000}"/>
    <cellStyle name="Currency 3 2 2" xfId="2395" xr:uid="{00000000-0005-0000-0000-000020080000}"/>
    <cellStyle name="Currency 3 2 3" xfId="2396" xr:uid="{00000000-0005-0000-0000-000021080000}"/>
    <cellStyle name="Currency 3 2 4" xfId="2397" xr:uid="{00000000-0005-0000-0000-000022080000}"/>
    <cellStyle name="Currency 3 3" xfId="317" xr:uid="{00000000-0005-0000-0000-000023080000}"/>
    <cellStyle name="Currency 3 3 2" xfId="2398" xr:uid="{00000000-0005-0000-0000-000024080000}"/>
    <cellStyle name="Currency 3 4" xfId="2399" xr:uid="{00000000-0005-0000-0000-000025080000}"/>
    <cellStyle name="Currency 3 5" xfId="2400" xr:uid="{00000000-0005-0000-0000-000026080000}"/>
    <cellStyle name="Currency 3 6" xfId="2401" xr:uid="{00000000-0005-0000-0000-000027080000}"/>
    <cellStyle name="Currency 3 7" xfId="2402" xr:uid="{00000000-0005-0000-0000-000028080000}"/>
    <cellStyle name="Currency 3 8" xfId="2403" xr:uid="{00000000-0005-0000-0000-000029080000}"/>
    <cellStyle name="Currency 3 9" xfId="2404" xr:uid="{00000000-0005-0000-0000-00002A080000}"/>
    <cellStyle name="Currency 30" xfId="2405" xr:uid="{00000000-0005-0000-0000-00002B080000}"/>
    <cellStyle name="Currency 30 2" xfId="37643" xr:uid="{00000000-0005-0000-0000-00002C080000}"/>
    <cellStyle name="Currency 31" xfId="2406" xr:uid="{00000000-0005-0000-0000-00002D080000}"/>
    <cellStyle name="Currency 31 2" xfId="37644" xr:uid="{00000000-0005-0000-0000-00002E080000}"/>
    <cellStyle name="Currency 32" xfId="2407" xr:uid="{00000000-0005-0000-0000-00002F080000}"/>
    <cellStyle name="Currency 32 2" xfId="37645" xr:uid="{00000000-0005-0000-0000-000030080000}"/>
    <cellStyle name="Currency 33" xfId="2408" xr:uid="{00000000-0005-0000-0000-000031080000}"/>
    <cellStyle name="Currency 33 2" xfId="37646" xr:uid="{00000000-0005-0000-0000-000032080000}"/>
    <cellStyle name="Currency 34" xfId="2409" xr:uid="{00000000-0005-0000-0000-000033080000}"/>
    <cellStyle name="Currency 34 2" xfId="37647" xr:uid="{00000000-0005-0000-0000-000034080000}"/>
    <cellStyle name="Currency 35" xfId="2410" xr:uid="{00000000-0005-0000-0000-000035080000}"/>
    <cellStyle name="Currency 35 2" xfId="37648" xr:uid="{00000000-0005-0000-0000-000036080000}"/>
    <cellStyle name="Currency 36" xfId="2411" xr:uid="{00000000-0005-0000-0000-000037080000}"/>
    <cellStyle name="Currency 36 2" xfId="37649" xr:uid="{00000000-0005-0000-0000-000038080000}"/>
    <cellStyle name="Currency 37" xfId="672" xr:uid="{00000000-0005-0000-0000-000039080000}"/>
    <cellStyle name="Currency 38" xfId="20741" xr:uid="{00000000-0005-0000-0000-00003A080000}"/>
    <cellStyle name="Currency 39" xfId="37604" xr:uid="{00000000-0005-0000-0000-00003B080000}"/>
    <cellStyle name="Currency 4" xfId="16" xr:uid="{00000000-0005-0000-0000-00003C080000}"/>
    <cellStyle name="Currency 4 2" xfId="208" xr:uid="{00000000-0005-0000-0000-00003D080000}"/>
    <cellStyle name="Currency 4 2 2" xfId="176" xr:uid="{00000000-0005-0000-0000-00003E080000}"/>
    <cellStyle name="Currency 4 3" xfId="285" xr:uid="{00000000-0005-0000-0000-00003F080000}"/>
    <cellStyle name="Currency 4 4" xfId="37650" xr:uid="{00000000-0005-0000-0000-000040080000}"/>
    <cellStyle name="Currency 40" xfId="37695" xr:uid="{00000000-0005-0000-0000-000041080000}"/>
    <cellStyle name="Currency 41" xfId="37696" xr:uid="{00000000-0005-0000-0000-000042080000}"/>
    <cellStyle name="Currency 42" xfId="37694" xr:uid="{00000000-0005-0000-0000-000043080000}"/>
    <cellStyle name="Currency 43" xfId="37596" xr:uid="{00000000-0005-0000-0000-000044080000}"/>
    <cellStyle name="Currency 44" xfId="37693" xr:uid="{00000000-0005-0000-0000-000045080000}"/>
    <cellStyle name="Currency 45" xfId="37595" xr:uid="{00000000-0005-0000-0000-000046080000}"/>
    <cellStyle name="Currency 46" xfId="37692" xr:uid="{00000000-0005-0000-0000-000047080000}"/>
    <cellStyle name="Currency 47" xfId="37600" xr:uid="{00000000-0005-0000-0000-000048080000}"/>
    <cellStyle name="Currency 48" xfId="37691" xr:uid="{00000000-0005-0000-0000-000049080000}"/>
    <cellStyle name="Currency 5" xfId="17" xr:uid="{00000000-0005-0000-0000-00004A080000}"/>
    <cellStyle name="Currency 5 10" xfId="2412" xr:uid="{00000000-0005-0000-0000-00004B080000}"/>
    <cellStyle name="Currency 5 11" xfId="37651" xr:uid="{00000000-0005-0000-0000-00004C080000}"/>
    <cellStyle name="Currency 5 2" xfId="209" xr:uid="{00000000-0005-0000-0000-00004D080000}"/>
    <cellStyle name="Currency 5 2 2" xfId="2414" xr:uid="{00000000-0005-0000-0000-00004E080000}"/>
    <cellStyle name="Currency 5 2 3" xfId="2415" xr:uid="{00000000-0005-0000-0000-00004F080000}"/>
    <cellStyle name="Currency 5 2 4" xfId="2416" xr:uid="{00000000-0005-0000-0000-000050080000}"/>
    <cellStyle name="Currency 5 2 5" xfId="2413" xr:uid="{00000000-0005-0000-0000-000051080000}"/>
    <cellStyle name="Currency 5 3" xfId="2417" xr:uid="{00000000-0005-0000-0000-000052080000}"/>
    <cellStyle name="Currency 5 4" xfId="2418" xr:uid="{00000000-0005-0000-0000-000053080000}"/>
    <cellStyle name="Currency 5 5" xfId="2419" xr:uid="{00000000-0005-0000-0000-000054080000}"/>
    <cellStyle name="Currency 5 6" xfId="2420" xr:uid="{00000000-0005-0000-0000-000055080000}"/>
    <cellStyle name="Currency 5 7" xfId="2421" xr:uid="{00000000-0005-0000-0000-000056080000}"/>
    <cellStyle name="Currency 5 8" xfId="2422" xr:uid="{00000000-0005-0000-0000-000057080000}"/>
    <cellStyle name="Currency 5 9" xfId="2423" xr:uid="{00000000-0005-0000-0000-000058080000}"/>
    <cellStyle name="Currency 6" xfId="18" xr:uid="{00000000-0005-0000-0000-000059080000}"/>
    <cellStyle name="Currency 6 2" xfId="210" xr:uid="{00000000-0005-0000-0000-00005A080000}"/>
    <cellStyle name="Currency 7" xfId="19" xr:uid="{00000000-0005-0000-0000-00005B080000}"/>
    <cellStyle name="Currency 7 2" xfId="211" xr:uid="{00000000-0005-0000-0000-00005C080000}"/>
    <cellStyle name="Currency 8" xfId="20" xr:uid="{00000000-0005-0000-0000-00005D080000}"/>
    <cellStyle name="Currency 8 2" xfId="316" xr:uid="{00000000-0005-0000-0000-00005E080000}"/>
    <cellStyle name="Currency 9" xfId="21" xr:uid="{00000000-0005-0000-0000-00005F080000}"/>
    <cellStyle name="Currency 9 2" xfId="314" xr:uid="{00000000-0005-0000-0000-000060080000}"/>
    <cellStyle name="Data Field" xfId="22" xr:uid="{00000000-0005-0000-0000-000061080000}"/>
    <cellStyle name="Data Field 2" xfId="212" xr:uid="{00000000-0005-0000-0000-000062080000}"/>
    <cellStyle name="Data Name" xfId="23" xr:uid="{00000000-0005-0000-0000-000063080000}"/>
    <cellStyle name="Data Name 2" xfId="213" xr:uid="{00000000-0005-0000-0000-000064080000}"/>
    <cellStyle name="Explanatory Text" xfId="149" builtinId="53" customBuiltin="1"/>
    <cellStyle name="Explanatory Text 10 2" xfId="2424" xr:uid="{00000000-0005-0000-0000-000066080000}"/>
    <cellStyle name="Explanatory Text 10 3" xfId="2425" xr:uid="{00000000-0005-0000-0000-000067080000}"/>
    <cellStyle name="Explanatory Text 11 2" xfId="2426" xr:uid="{00000000-0005-0000-0000-000068080000}"/>
    <cellStyle name="Explanatory Text 11 3" xfId="2427" xr:uid="{00000000-0005-0000-0000-000069080000}"/>
    <cellStyle name="Explanatory Text 12 2" xfId="2428" xr:uid="{00000000-0005-0000-0000-00006A080000}"/>
    <cellStyle name="Explanatory Text 12 3" xfId="2429" xr:uid="{00000000-0005-0000-0000-00006B080000}"/>
    <cellStyle name="Explanatory Text 13 2" xfId="2430" xr:uid="{00000000-0005-0000-0000-00006C080000}"/>
    <cellStyle name="Explanatory Text 13 3" xfId="2431" xr:uid="{00000000-0005-0000-0000-00006D080000}"/>
    <cellStyle name="Explanatory Text 14 2" xfId="2432" xr:uid="{00000000-0005-0000-0000-00006E080000}"/>
    <cellStyle name="Explanatory Text 14 3" xfId="2433" xr:uid="{00000000-0005-0000-0000-00006F080000}"/>
    <cellStyle name="Explanatory Text 15" xfId="2434" xr:uid="{00000000-0005-0000-0000-000070080000}"/>
    <cellStyle name="Explanatory Text 15 2" xfId="2435" xr:uid="{00000000-0005-0000-0000-000071080000}"/>
    <cellStyle name="Explanatory Text 15 3" xfId="2436" xr:uid="{00000000-0005-0000-0000-000072080000}"/>
    <cellStyle name="Explanatory Text 15 4" xfId="2437" xr:uid="{00000000-0005-0000-0000-000073080000}"/>
    <cellStyle name="Explanatory Text 15 5" xfId="2438" xr:uid="{00000000-0005-0000-0000-000074080000}"/>
    <cellStyle name="Explanatory Text 15 6" xfId="2439" xr:uid="{00000000-0005-0000-0000-000075080000}"/>
    <cellStyle name="Explanatory Text 15 7" xfId="2440" xr:uid="{00000000-0005-0000-0000-000076080000}"/>
    <cellStyle name="Explanatory Text 16" xfId="2441" xr:uid="{00000000-0005-0000-0000-000077080000}"/>
    <cellStyle name="Explanatory Text 17" xfId="2442" xr:uid="{00000000-0005-0000-0000-000078080000}"/>
    <cellStyle name="Explanatory Text 18" xfId="2443" xr:uid="{00000000-0005-0000-0000-000079080000}"/>
    <cellStyle name="Explanatory Text 19" xfId="2444" xr:uid="{00000000-0005-0000-0000-00007A080000}"/>
    <cellStyle name="Explanatory Text 2" xfId="404" xr:uid="{00000000-0005-0000-0000-00007B080000}"/>
    <cellStyle name="Explanatory Text 2 2" xfId="603" xr:uid="{00000000-0005-0000-0000-00007C080000}"/>
    <cellStyle name="Explanatory Text 2 2 2" xfId="2445" xr:uid="{00000000-0005-0000-0000-00007D080000}"/>
    <cellStyle name="Explanatory Text 2 3" xfId="2446" xr:uid="{00000000-0005-0000-0000-00007E080000}"/>
    <cellStyle name="Explanatory Text 20" xfId="2447" xr:uid="{00000000-0005-0000-0000-00007F080000}"/>
    <cellStyle name="Explanatory Text 21" xfId="2448" xr:uid="{00000000-0005-0000-0000-000080080000}"/>
    <cellStyle name="Explanatory Text 22" xfId="2449" xr:uid="{00000000-0005-0000-0000-000081080000}"/>
    <cellStyle name="Explanatory Text 3" xfId="645" xr:uid="{00000000-0005-0000-0000-000082080000}"/>
    <cellStyle name="Explanatory Text 3 2" xfId="2450" xr:uid="{00000000-0005-0000-0000-000083080000}"/>
    <cellStyle name="Explanatory Text 3 3" xfId="2451" xr:uid="{00000000-0005-0000-0000-000084080000}"/>
    <cellStyle name="Explanatory Text 4 2" xfId="2452" xr:uid="{00000000-0005-0000-0000-000085080000}"/>
    <cellStyle name="Explanatory Text 4 3" xfId="2453" xr:uid="{00000000-0005-0000-0000-000086080000}"/>
    <cellStyle name="Explanatory Text 5 2" xfId="2454" xr:uid="{00000000-0005-0000-0000-000087080000}"/>
    <cellStyle name="Explanatory Text 5 3" xfId="2455" xr:uid="{00000000-0005-0000-0000-000088080000}"/>
    <cellStyle name="Explanatory Text 6 2" xfId="2456" xr:uid="{00000000-0005-0000-0000-000089080000}"/>
    <cellStyle name="Explanatory Text 6 3" xfId="2457" xr:uid="{00000000-0005-0000-0000-00008A080000}"/>
    <cellStyle name="Explanatory Text 7 2" xfId="2458" xr:uid="{00000000-0005-0000-0000-00008B080000}"/>
    <cellStyle name="Explanatory Text 7 3" xfId="2459" xr:uid="{00000000-0005-0000-0000-00008C080000}"/>
    <cellStyle name="Explanatory Text 8 2" xfId="2460" xr:uid="{00000000-0005-0000-0000-00008D080000}"/>
    <cellStyle name="Explanatory Text 8 3" xfId="2461" xr:uid="{00000000-0005-0000-0000-00008E080000}"/>
    <cellStyle name="Explanatory Text 9 2" xfId="2462" xr:uid="{00000000-0005-0000-0000-00008F080000}"/>
    <cellStyle name="Explanatory Text 9 3" xfId="2463" xr:uid="{00000000-0005-0000-0000-000090080000}"/>
    <cellStyle name="Followed Hyperlink" xfId="291" builtinId="9" customBuiltin="1"/>
    <cellStyle name="Followed Hyperlink 2" xfId="646" xr:uid="{00000000-0005-0000-0000-000092080000}"/>
    <cellStyle name="Good" xfId="142" builtinId="26" customBuiltin="1"/>
    <cellStyle name="Good 10 2" xfId="2464" xr:uid="{00000000-0005-0000-0000-000094080000}"/>
    <cellStyle name="Good 10 3" xfId="2465" xr:uid="{00000000-0005-0000-0000-000095080000}"/>
    <cellStyle name="Good 11 2" xfId="2466" xr:uid="{00000000-0005-0000-0000-000096080000}"/>
    <cellStyle name="Good 11 3" xfId="2467" xr:uid="{00000000-0005-0000-0000-000097080000}"/>
    <cellStyle name="Good 12 2" xfId="2468" xr:uid="{00000000-0005-0000-0000-000098080000}"/>
    <cellStyle name="Good 12 3" xfId="2469" xr:uid="{00000000-0005-0000-0000-000099080000}"/>
    <cellStyle name="Good 13 2" xfId="2470" xr:uid="{00000000-0005-0000-0000-00009A080000}"/>
    <cellStyle name="Good 13 3" xfId="2471" xr:uid="{00000000-0005-0000-0000-00009B080000}"/>
    <cellStyle name="Good 14 2" xfId="2472" xr:uid="{00000000-0005-0000-0000-00009C080000}"/>
    <cellStyle name="Good 14 3" xfId="2473" xr:uid="{00000000-0005-0000-0000-00009D080000}"/>
    <cellStyle name="Good 15" xfId="2474" xr:uid="{00000000-0005-0000-0000-00009E080000}"/>
    <cellStyle name="Good 15 2" xfId="2475" xr:uid="{00000000-0005-0000-0000-00009F080000}"/>
    <cellStyle name="Good 15 3" xfId="2476" xr:uid="{00000000-0005-0000-0000-0000A0080000}"/>
    <cellStyle name="Good 15 4" xfId="2477" xr:uid="{00000000-0005-0000-0000-0000A1080000}"/>
    <cellStyle name="Good 15 5" xfId="2478" xr:uid="{00000000-0005-0000-0000-0000A2080000}"/>
    <cellStyle name="Good 15 6" xfId="2479" xr:uid="{00000000-0005-0000-0000-0000A3080000}"/>
    <cellStyle name="Good 15 7" xfId="2480" xr:uid="{00000000-0005-0000-0000-0000A4080000}"/>
    <cellStyle name="Good 16" xfId="2481" xr:uid="{00000000-0005-0000-0000-0000A5080000}"/>
    <cellStyle name="Good 17" xfId="2482" xr:uid="{00000000-0005-0000-0000-0000A6080000}"/>
    <cellStyle name="Good 18" xfId="2483" xr:uid="{00000000-0005-0000-0000-0000A7080000}"/>
    <cellStyle name="Good 19" xfId="2484" xr:uid="{00000000-0005-0000-0000-0000A8080000}"/>
    <cellStyle name="Good 2" xfId="394" xr:uid="{00000000-0005-0000-0000-0000A9080000}"/>
    <cellStyle name="Good 2 2" xfId="517" xr:uid="{00000000-0005-0000-0000-0000AA080000}"/>
    <cellStyle name="Good 2 2 2" xfId="2485" xr:uid="{00000000-0005-0000-0000-0000AB080000}"/>
    <cellStyle name="Good 2 3" xfId="2486" xr:uid="{00000000-0005-0000-0000-0000AC080000}"/>
    <cellStyle name="Good 20" xfId="2487" xr:uid="{00000000-0005-0000-0000-0000AD080000}"/>
    <cellStyle name="Good 21" xfId="2488" xr:uid="{00000000-0005-0000-0000-0000AE080000}"/>
    <cellStyle name="Good 22" xfId="2489" xr:uid="{00000000-0005-0000-0000-0000AF080000}"/>
    <cellStyle name="Good 3" xfId="647" xr:uid="{00000000-0005-0000-0000-0000B0080000}"/>
    <cellStyle name="Good 3 2" xfId="2490" xr:uid="{00000000-0005-0000-0000-0000B1080000}"/>
    <cellStyle name="Good 3 3" xfId="2491" xr:uid="{00000000-0005-0000-0000-0000B2080000}"/>
    <cellStyle name="Good 4 2" xfId="2492" xr:uid="{00000000-0005-0000-0000-0000B3080000}"/>
    <cellStyle name="Good 4 3" xfId="2493" xr:uid="{00000000-0005-0000-0000-0000B4080000}"/>
    <cellStyle name="Good 5 2" xfId="2494" xr:uid="{00000000-0005-0000-0000-0000B5080000}"/>
    <cellStyle name="Good 5 3" xfId="2495" xr:uid="{00000000-0005-0000-0000-0000B6080000}"/>
    <cellStyle name="Good 6 2" xfId="2496" xr:uid="{00000000-0005-0000-0000-0000B7080000}"/>
    <cellStyle name="Good 6 3" xfId="2497" xr:uid="{00000000-0005-0000-0000-0000B8080000}"/>
    <cellStyle name="Good 7 2" xfId="2498" xr:uid="{00000000-0005-0000-0000-0000B9080000}"/>
    <cellStyle name="Good 7 3" xfId="2499" xr:uid="{00000000-0005-0000-0000-0000BA080000}"/>
    <cellStyle name="Good 8 2" xfId="2500" xr:uid="{00000000-0005-0000-0000-0000BB080000}"/>
    <cellStyle name="Good 8 3" xfId="2501" xr:uid="{00000000-0005-0000-0000-0000BC080000}"/>
    <cellStyle name="Good 9 2" xfId="2502" xr:uid="{00000000-0005-0000-0000-0000BD080000}"/>
    <cellStyle name="Good 9 3" xfId="2503" xr:uid="{00000000-0005-0000-0000-0000BE080000}"/>
    <cellStyle name="Heading 1" xfId="138" builtinId="16" customBuiltin="1"/>
    <cellStyle name="Heading 1 10 2" xfId="2504" xr:uid="{00000000-0005-0000-0000-0000C0080000}"/>
    <cellStyle name="Heading 1 10 3" xfId="2505" xr:uid="{00000000-0005-0000-0000-0000C1080000}"/>
    <cellStyle name="Heading 1 11 2" xfId="2506" xr:uid="{00000000-0005-0000-0000-0000C2080000}"/>
    <cellStyle name="Heading 1 11 3" xfId="2507" xr:uid="{00000000-0005-0000-0000-0000C3080000}"/>
    <cellStyle name="Heading 1 12 2" xfId="2508" xr:uid="{00000000-0005-0000-0000-0000C4080000}"/>
    <cellStyle name="Heading 1 12 3" xfId="2509" xr:uid="{00000000-0005-0000-0000-0000C5080000}"/>
    <cellStyle name="Heading 1 13 2" xfId="2510" xr:uid="{00000000-0005-0000-0000-0000C6080000}"/>
    <cellStyle name="Heading 1 13 3" xfId="2511" xr:uid="{00000000-0005-0000-0000-0000C7080000}"/>
    <cellStyle name="Heading 1 14 2" xfId="2512" xr:uid="{00000000-0005-0000-0000-0000C8080000}"/>
    <cellStyle name="Heading 1 14 3" xfId="2513" xr:uid="{00000000-0005-0000-0000-0000C9080000}"/>
    <cellStyle name="Heading 1 15" xfId="2514" xr:uid="{00000000-0005-0000-0000-0000CA080000}"/>
    <cellStyle name="Heading 1 15 2" xfId="2515" xr:uid="{00000000-0005-0000-0000-0000CB080000}"/>
    <cellStyle name="Heading 1 15 3" xfId="2516" xr:uid="{00000000-0005-0000-0000-0000CC080000}"/>
    <cellStyle name="Heading 1 15 4" xfId="2517" xr:uid="{00000000-0005-0000-0000-0000CD080000}"/>
    <cellStyle name="Heading 1 15 5" xfId="2518" xr:uid="{00000000-0005-0000-0000-0000CE080000}"/>
    <cellStyle name="Heading 1 15 6" xfId="2519" xr:uid="{00000000-0005-0000-0000-0000CF080000}"/>
    <cellStyle name="Heading 1 15 7" xfId="2520" xr:uid="{00000000-0005-0000-0000-0000D0080000}"/>
    <cellStyle name="Heading 1 16" xfId="2521" xr:uid="{00000000-0005-0000-0000-0000D1080000}"/>
    <cellStyle name="Heading 1 17" xfId="2522" xr:uid="{00000000-0005-0000-0000-0000D2080000}"/>
    <cellStyle name="Heading 1 18" xfId="2523" xr:uid="{00000000-0005-0000-0000-0000D3080000}"/>
    <cellStyle name="Heading 1 19" xfId="2524" xr:uid="{00000000-0005-0000-0000-0000D4080000}"/>
    <cellStyle name="Heading 1 2" xfId="390" xr:uid="{00000000-0005-0000-0000-0000D5080000}"/>
    <cellStyle name="Heading 1 2 2" xfId="494" xr:uid="{00000000-0005-0000-0000-0000D6080000}"/>
    <cellStyle name="Heading 1 2 2 2" xfId="2525" xr:uid="{00000000-0005-0000-0000-0000D7080000}"/>
    <cellStyle name="Heading 1 2 3" xfId="2526" xr:uid="{00000000-0005-0000-0000-0000D8080000}"/>
    <cellStyle name="Heading 1 20" xfId="2527" xr:uid="{00000000-0005-0000-0000-0000D9080000}"/>
    <cellStyle name="Heading 1 21" xfId="2528" xr:uid="{00000000-0005-0000-0000-0000DA080000}"/>
    <cellStyle name="Heading 1 22" xfId="2529" xr:uid="{00000000-0005-0000-0000-0000DB080000}"/>
    <cellStyle name="Heading 1 3" xfId="648" xr:uid="{00000000-0005-0000-0000-0000DC080000}"/>
    <cellStyle name="Heading 1 3 2" xfId="2530" xr:uid="{00000000-0005-0000-0000-0000DD080000}"/>
    <cellStyle name="Heading 1 3 3" xfId="2531" xr:uid="{00000000-0005-0000-0000-0000DE080000}"/>
    <cellStyle name="Heading 1 4 2" xfId="2532" xr:uid="{00000000-0005-0000-0000-0000DF080000}"/>
    <cellStyle name="Heading 1 4 3" xfId="2533" xr:uid="{00000000-0005-0000-0000-0000E0080000}"/>
    <cellStyle name="Heading 1 5 2" xfId="2534" xr:uid="{00000000-0005-0000-0000-0000E1080000}"/>
    <cellStyle name="Heading 1 5 3" xfId="2535" xr:uid="{00000000-0005-0000-0000-0000E2080000}"/>
    <cellStyle name="Heading 1 6 2" xfId="2536" xr:uid="{00000000-0005-0000-0000-0000E3080000}"/>
    <cellStyle name="Heading 1 6 3" xfId="2537" xr:uid="{00000000-0005-0000-0000-0000E4080000}"/>
    <cellStyle name="Heading 1 7 2" xfId="2538" xr:uid="{00000000-0005-0000-0000-0000E5080000}"/>
    <cellStyle name="Heading 1 7 3" xfId="2539" xr:uid="{00000000-0005-0000-0000-0000E6080000}"/>
    <cellStyle name="Heading 1 8 2" xfId="2540" xr:uid="{00000000-0005-0000-0000-0000E7080000}"/>
    <cellStyle name="Heading 1 8 3" xfId="2541" xr:uid="{00000000-0005-0000-0000-0000E8080000}"/>
    <cellStyle name="Heading 1 9 2" xfId="2542" xr:uid="{00000000-0005-0000-0000-0000E9080000}"/>
    <cellStyle name="Heading 1 9 3" xfId="2543" xr:uid="{00000000-0005-0000-0000-0000EA080000}"/>
    <cellStyle name="Heading 2" xfId="139" builtinId="17" customBuiltin="1"/>
    <cellStyle name="Heading 2 10 2" xfId="2544" xr:uid="{00000000-0005-0000-0000-0000EC080000}"/>
    <cellStyle name="Heading 2 10 3" xfId="2545" xr:uid="{00000000-0005-0000-0000-0000ED080000}"/>
    <cellStyle name="Heading 2 11 2" xfId="2546" xr:uid="{00000000-0005-0000-0000-0000EE080000}"/>
    <cellStyle name="Heading 2 11 3" xfId="2547" xr:uid="{00000000-0005-0000-0000-0000EF080000}"/>
    <cellStyle name="Heading 2 12 2" xfId="2548" xr:uid="{00000000-0005-0000-0000-0000F0080000}"/>
    <cellStyle name="Heading 2 12 3" xfId="2549" xr:uid="{00000000-0005-0000-0000-0000F1080000}"/>
    <cellStyle name="Heading 2 13 2" xfId="2550" xr:uid="{00000000-0005-0000-0000-0000F2080000}"/>
    <cellStyle name="Heading 2 13 3" xfId="2551" xr:uid="{00000000-0005-0000-0000-0000F3080000}"/>
    <cellStyle name="Heading 2 14 2" xfId="2552" xr:uid="{00000000-0005-0000-0000-0000F4080000}"/>
    <cellStyle name="Heading 2 14 3" xfId="2553" xr:uid="{00000000-0005-0000-0000-0000F5080000}"/>
    <cellStyle name="Heading 2 15" xfId="2554" xr:uid="{00000000-0005-0000-0000-0000F6080000}"/>
    <cellStyle name="Heading 2 15 2" xfId="2555" xr:uid="{00000000-0005-0000-0000-0000F7080000}"/>
    <cellStyle name="Heading 2 15 3" xfId="2556" xr:uid="{00000000-0005-0000-0000-0000F8080000}"/>
    <cellStyle name="Heading 2 15 4" xfId="2557" xr:uid="{00000000-0005-0000-0000-0000F9080000}"/>
    <cellStyle name="Heading 2 15 5" xfId="2558" xr:uid="{00000000-0005-0000-0000-0000FA080000}"/>
    <cellStyle name="Heading 2 15 6" xfId="2559" xr:uid="{00000000-0005-0000-0000-0000FB080000}"/>
    <cellStyle name="Heading 2 15 7" xfId="2560" xr:uid="{00000000-0005-0000-0000-0000FC080000}"/>
    <cellStyle name="Heading 2 16" xfId="2561" xr:uid="{00000000-0005-0000-0000-0000FD080000}"/>
    <cellStyle name="Heading 2 17" xfId="2562" xr:uid="{00000000-0005-0000-0000-0000FE080000}"/>
    <cellStyle name="Heading 2 18" xfId="2563" xr:uid="{00000000-0005-0000-0000-0000FF080000}"/>
    <cellStyle name="Heading 2 19" xfId="2564" xr:uid="{00000000-0005-0000-0000-000000090000}"/>
    <cellStyle name="Heading 2 2" xfId="391" xr:uid="{00000000-0005-0000-0000-000001090000}"/>
    <cellStyle name="Heading 2 2 10" xfId="2565" xr:uid="{00000000-0005-0000-0000-000002090000}"/>
    <cellStyle name="Heading 2 2 2" xfId="497" xr:uid="{00000000-0005-0000-0000-000003090000}"/>
    <cellStyle name="Heading 2 2 2 2" xfId="2566" xr:uid="{00000000-0005-0000-0000-000004090000}"/>
    <cellStyle name="Heading 2 2 3" xfId="2567" xr:uid="{00000000-0005-0000-0000-000005090000}"/>
    <cellStyle name="Heading 2 2 4" xfId="2568" xr:uid="{00000000-0005-0000-0000-000006090000}"/>
    <cellStyle name="Heading 2 2 5" xfId="2569" xr:uid="{00000000-0005-0000-0000-000007090000}"/>
    <cellStyle name="Heading 2 2 6" xfId="2570" xr:uid="{00000000-0005-0000-0000-000008090000}"/>
    <cellStyle name="Heading 2 2 7" xfId="2571" xr:uid="{00000000-0005-0000-0000-000009090000}"/>
    <cellStyle name="Heading 2 2 8" xfId="2572" xr:uid="{00000000-0005-0000-0000-00000A090000}"/>
    <cellStyle name="Heading 2 2 9" xfId="2573" xr:uid="{00000000-0005-0000-0000-00000B090000}"/>
    <cellStyle name="Heading 2 20" xfId="2574" xr:uid="{00000000-0005-0000-0000-00000C090000}"/>
    <cellStyle name="Heading 2 21" xfId="2575" xr:uid="{00000000-0005-0000-0000-00000D090000}"/>
    <cellStyle name="Heading 2 22" xfId="2576" xr:uid="{00000000-0005-0000-0000-00000E090000}"/>
    <cellStyle name="Heading 2 3" xfId="649" xr:uid="{00000000-0005-0000-0000-00000F090000}"/>
    <cellStyle name="Heading 2 3 2" xfId="2577" xr:uid="{00000000-0005-0000-0000-000010090000}"/>
    <cellStyle name="Heading 2 3 3" xfId="2578" xr:uid="{00000000-0005-0000-0000-000011090000}"/>
    <cellStyle name="Heading 2 4 2" xfId="2579" xr:uid="{00000000-0005-0000-0000-000012090000}"/>
    <cellStyle name="Heading 2 4 3" xfId="2580" xr:uid="{00000000-0005-0000-0000-000013090000}"/>
    <cellStyle name="Heading 2 5 2" xfId="2581" xr:uid="{00000000-0005-0000-0000-000014090000}"/>
    <cellStyle name="Heading 2 5 3" xfId="2582" xr:uid="{00000000-0005-0000-0000-000015090000}"/>
    <cellStyle name="Heading 2 6 2" xfId="2583" xr:uid="{00000000-0005-0000-0000-000016090000}"/>
    <cellStyle name="Heading 2 6 3" xfId="2584" xr:uid="{00000000-0005-0000-0000-000017090000}"/>
    <cellStyle name="Heading 2 7 2" xfId="2585" xr:uid="{00000000-0005-0000-0000-000018090000}"/>
    <cellStyle name="Heading 2 7 3" xfId="2586" xr:uid="{00000000-0005-0000-0000-000019090000}"/>
    <cellStyle name="Heading 2 8 2" xfId="2587" xr:uid="{00000000-0005-0000-0000-00001A090000}"/>
    <cellStyle name="Heading 2 8 3" xfId="2588" xr:uid="{00000000-0005-0000-0000-00001B090000}"/>
    <cellStyle name="Heading 2 9 2" xfId="2589" xr:uid="{00000000-0005-0000-0000-00001C090000}"/>
    <cellStyle name="Heading 2 9 3" xfId="2590" xr:uid="{00000000-0005-0000-0000-00001D090000}"/>
    <cellStyle name="Heading 3" xfId="140" builtinId="18" customBuiltin="1"/>
    <cellStyle name="Heading 3 10 2" xfId="2591" xr:uid="{00000000-0005-0000-0000-00001F090000}"/>
    <cellStyle name="Heading 3 10 3" xfId="2592" xr:uid="{00000000-0005-0000-0000-000020090000}"/>
    <cellStyle name="Heading 3 11 2" xfId="2593" xr:uid="{00000000-0005-0000-0000-000021090000}"/>
    <cellStyle name="Heading 3 11 3" xfId="2594" xr:uid="{00000000-0005-0000-0000-000022090000}"/>
    <cellStyle name="Heading 3 12 2" xfId="2595" xr:uid="{00000000-0005-0000-0000-000023090000}"/>
    <cellStyle name="Heading 3 12 3" xfId="2596" xr:uid="{00000000-0005-0000-0000-000024090000}"/>
    <cellStyle name="Heading 3 13 2" xfId="2597" xr:uid="{00000000-0005-0000-0000-000025090000}"/>
    <cellStyle name="Heading 3 13 3" xfId="2598" xr:uid="{00000000-0005-0000-0000-000026090000}"/>
    <cellStyle name="Heading 3 14 2" xfId="2599" xr:uid="{00000000-0005-0000-0000-000027090000}"/>
    <cellStyle name="Heading 3 14 3" xfId="2600" xr:uid="{00000000-0005-0000-0000-000028090000}"/>
    <cellStyle name="Heading 3 15" xfId="2601" xr:uid="{00000000-0005-0000-0000-000029090000}"/>
    <cellStyle name="Heading 3 15 2" xfId="2602" xr:uid="{00000000-0005-0000-0000-00002A090000}"/>
    <cellStyle name="Heading 3 15 3" xfId="2603" xr:uid="{00000000-0005-0000-0000-00002B090000}"/>
    <cellStyle name="Heading 3 15 4" xfId="2604" xr:uid="{00000000-0005-0000-0000-00002C090000}"/>
    <cellStyle name="Heading 3 15 5" xfId="2605" xr:uid="{00000000-0005-0000-0000-00002D090000}"/>
    <cellStyle name="Heading 3 15 6" xfId="2606" xr:uid="{00000000-0005-0000-0000-00002E090000}"/>
    <cellStyle name="Heading 3 15 7" xfId="2607" xr:uid="{00000000-0005-0000-0000-00002F090000}"/>
    <cellStyle name="Heading 3 16" xfId="2608" xr:uid="{00000000-0005-0000-0000-000030090000}"/>
    <cellStyle name="Heading 3 17" xfId="2609" xr:uid="{00000000-0005-0000-0000-000031090000}"/>
    <cellStyle name="Heading 3 18" xfId="2610" xr:uid="{00000000-0005-0000-0000-000032090000}"/>
    <cellStyle name="Heading 3 19" xfId="2611" xr:uid="{00000000-0005-0000-0000-000033090000}"/>
    <cellStyle name="Heading 3 2" xfId="392" xr:uid="{00000000-0005-0000-0000-000034090000}"/>
    <cellStyle name="Heading 3 2 2" xfId="448" xr:uid="{00000000-0005-0000-0000-000035090000}"/>
    <cellStyle name="Heading 3 2 2 2" xfId="2612" xr:uid="{00000000-0005-0000-0000-000036090000}"/>
    <cellStyle name="Heading 3 2 3" xfId="2613" xr:uid="{00000000-0005-0000-0000-000037090000}"/>
    <cellStyle name="Heading 3 20" xfId="2614" xr:uid="{00000000-0005-0000-0000-000038090000}"/>
    <cellStyle name="Heading 3 21" xfId="2615" xr:uid="{00000000-0005-0000-0000-000039090000}"/>
    <cellStyle name="Heading 3 22" xfId="2616" xr:uid="{00000000-0005-0000-0000-00003A090000}"/>
    <cellStyle name="Heading 3 3" xfId="650" xr:uid="{00000000-0005-0000-0000-00003B090000}"/>
    <cellStyle name="Heading 3 3 2" xfId="2617" xr:uid="{00000000-0005-0000-0000-00003C090000}"/>
    <cellStyle name="Heading 3 3 3" xfId="2618" xr:uid="{00000000-0005-0000-0000-00003D090000}"/>
    <cellStyle name="Heading 3 4 2" xfId="2619" xr:uid="{00000000-0005-0000-0000-00003E090000}"/>
    <cellStyle name="Heading 3 4 3" xfId="2620" xr:uid="{00000000-0005-0000-0000-00003F090000}"/>
    <cellStyle name="Heading 3 5 2" xfId="2621" xr:uid="{00000000-0005-0000-0000-000040090000}"/>
    <cellStyle name="Heading 3 5 3" xfId="2622" xr:uid="{00000000-0005-0000-0000-000041090000}"/>
    <cellStyle name="Heading 3 6 2" xfId="2623" xr:uid="{00000000-0005-0000-0000-000042090000}"/>
    <cellStyle name="Heading 3 6 3" xfId="2624" xr:uid="{00000000-0005-0000-0000-000043090000}"/>
    <cellStyle name="Heading 3 7 2" xfId="2625" xr:uid="{00000000-0005-0000-0000-000044090000}"/>
    <cellStyle name="Heading 3 7 3" xfId="2626" xr:uid="{00000000-0005-0000-0000-000045090000}"/>
    <cellStyle name="Heading 3 8 2" xfId="2627" xr:uid="{00000000-0005-0000-0000-000046090000}"/>
    <cellStyle name="Heading 3 8 3" xfId="2628" xr:uid="{00000000-0005-0000-0000-000047090000}"/>
    <cellStyle name="Heading 3 9 2" xfId="2629" xr:uid="{00000000-0005-0000-0000-000048090000}"/>
    <cellStyle name="Heading 3 9 3" xfId="2630" xr:uid="{00000000-0005-0000-0000-000049090000}"/>
    <cellStyle name="Heading 4" xfId="141" builtinId="19" customBuiltin="1"/>
    <cellStyle name="Heading 4 10 2" xfId="2631" xr:uid="{00000000-0005-0000-0000-00004B090000}"/>
    <cellStyle name="Heading 4 10 3" xfId="2632" xr:uid="{00000000-0005-0000-0000-00004C090000}"/>
    <cellStyle name="Heading 4 11 2" xfId="2633" xr:uid="{00000000-0005-0000-0000-00004D090000}"/>
    <cellStyle name="Heading 4 11 3" xfId="2634" xr:uid="{00000000-0005-0000-0000-00004E090000}"/>
    <cellStyle name="Heading 4 12 2" xfId="2635" xr:uid="{00000000-0005-0000-0000-00004F090000}"/>
    <cellStyle name="Heading 4 12 3" xfId="2636" xr:uid="{00000000-0005-0000-0000-000050090000}"/>
    <cellStyle name="Heading 4 13 2" xfId="2637" xr:uid="{00000000-0005-0000-0000-000051090000}"/>
    <cellStyle name="Heading 4 13 3" xfId="2638" xr:uid="{00000000-0005-0000-0000-000052090000}"/>
    <cellStyle name="Heading 4 14 2" xfId="2639" xr:uid="{00000000-0005-0000-0000-000053090000}"/>
    <cellStyle name="Heading 4 14 3" xfId="2640" xr:uid="{00000000-0005-0000-0000-000054090000}"/>
    <cellStyle name="Heading 4 15" xfId="2641" xr:uid="{00000000-0005-0000-0000-000055090000}"/>
    <cellStyle name="Heading 4 15 2" xfId="2642" xr:uid="{00000000-0005-0000-0000-000056090000}"/>
    <cellStyle name="Heading 4 15 3" xfId="2643" xr:uid="{00000000-0005-0000-0000-000057090000}"/>
    <cellStyle name="Heading 4 15 4" xfId="2644" xr:uid="{00000000-0005-0000-0000-000058090000}"/>
    <cellStyle name="Heading 4 15 5" xfId="2645" xr:uid="{00000000-0005-0000-0000-000059090000}"/>
    <cellStyle name="Heading 4 15 6" xfId="2646" xr:uid="{00000000-0005-0000-0000-00005A090000}"/>
    <cellStyle name="Heading 4 15 7" xfId="2647" xr:uid="{00000000-0005-0000-0000-00005B090000}"/>
    <cellStyle name="Heading 4 16" xfId="2648" xr:uid="{00000000-0005-0000-0000-00005C090000}"/>
    <cellStyle name="Heading 4 17" xfId="2649" xr:uid="{00000000-0005-0000-0000-00005D090000}"/>
    <cellStyle name="Heading 4 18" xfId="2650" xr:uid="{00000000-0005-0000-0000-00005E090000}"/>
    <cellStyle name="Heading 4 19" xfId="2651" xr:uid="{00000000-0005-0000-0000-00005F090000}"/>
    <cellStyle name="Heading 4 2" xfId="393" xr:uid="{00000000-0005-0000-0000-000060090000}"/>
    <cellStyle name="Heading 4 2 2" xfId="604" xr:uid="{00000000-0005-0000-0000-000061090000}"/>
    <cellStyle name="Heading 4 2 2 2" xfId="2652" xr:uid="{00000000-0005-0000-0000-000062090000}"/>
    <cellStyle name="Heading 4 2 3" xfId="2653" xr:uid="{00000000-0005-0000-0000-000063090000}"/>
    <cellStyle name="Heading 4 20" xfId="2654" xr:uid="{00000000-0005-0000-0000-000064090000}"/>
    <cellStyle name="Heading 4 21" xfId="2655" xr:uid="{00000000-0005-0000-0000-000065090000}"/>
    <cellStyle name="Heading 4 22" xfId="2656" xr:uid="{00000000-0005-0000-0000-000066090000}"/>
    <cellStyle name="Heading 4 3" xfId="651" xr:uid="{00000000-0005-0000-0000-000067090000}"/>
    <cellStyle name="Heading 4 3 2" xfId="2657" xr:uid="{00000000-0005-0000-0000-000068090000}"/>
    <cellStyle name="Heading 4 3 3" xfId="2658" xr:uid="{00000000-0005-0000-0000-000069090000}"/>
    <cellStyle name="Heading 4 4 2" xfId="2659" xr:uid="{00000000-0005-0000-0000-00006A090000}"/>
    <cellStyle name="Heading 4 4 3" xfId="2660" xr:uid="{00000000-0005-0000-0000-00006B090000}"/>
    <cellStyle name="Heading 4 5 2" xfId="2661" xr:uid="{00000000-0005-0000-0000-00006C090000}"/>
    <cellStyle name="Heading 4 5 3" xfId="2662" xr:uid="{00000000-0005-0000-0000-00006D090000}"/>
    <cellStyle name="Heading 4 6 2" xfId="2663" xr:uid="{00000000-0005-0000-0000-00006E090000}"/>
    <cellStyle name="Heading 4 6 3" xfId="2664" xr:uid="{00000000-0005-0000-0000-00006F090000}"/>
    <cellStyle name="Heading 4 7 2" xfId="2665" xr:uid="{00000000-0005-0000-0000-000070090000}"/>
    <cellStyle name="Heading 4 7 3" xfId="2666" xr:uid="{00000000-0005-0000-0000-000071090000}"/>
    <cellStyle name="Heading 4 8 2" xfId="2667" xr:uid="{00000000-0005-0000-0000-000072090000}"/>
    <cellStyle name="Heading 4 8 3" xfId="2668" xr:uid="{00000000-0005-0000-0000-000073090000}"/>
    <cellStyle name="Heading 4 9 2" xfId="2669" xr:uid="{00000000-0005-0000-0000-000074090000}"/>
    <cellStyle name="Heading 4 9 3" xfId="2670" xr:uid="{00000000-0005-0000-0000-000075090000}"/>
    <cellStyle name="Hyperlink" xfId="290" builtinId="8" customBuiltin="1"/>
    <cellStyle name="Hyperlink 2" xfId="24" xr:uid="{00000000-0005-0000-0000-000077090000}"/>
    <cellStyle name="Hyperlink 3" xfId="25" xr:uid="{00000000-0005-0000-0000-000078090000}"/>
    <cellStyle name="Hyperlink 4" xfId="304" xr:uid="{00000000-0005-0000-0000-000079090000}"/>
    <cellStyle name="Hyperlink 5" xfId="302" xr:uid="{00000000-0005-0000-0000-00007A090000}"/>
    <cellStyle name="Hyperlink 6" xfId="652" xr:uid="{00000000-0005-0000-0000-00007B090000}"/>
    <cellStyle name="Hyperlink 6 2" xfId="2671" xr:uid="{00000000-0005-0000-0000-00007C090000}"/>
    <cellStyle name="Input" xfId="1" builtinId="20" customBuiltin="1"/>
    <cellStyle name="Input 10 2" xfId="2672" xr:uid="{00000000-0005-0000-0000-00007E090000}"/>
    <cellStyle name="Input 10 3" xfId="2673" xr:uid="{00000000-0005-0000-0000-00007F090000}"/>
    <cellStyle name="Input 11 2" xfId="2674" xr:uid="{00000000-0005-0000-0000-000080090000}"/>
    <cellStyle name="Input 11 3" xfId="2675" xr:uid="{00000000-0005-0000-0000-000081090000}"/>
    <cellStyle name="Input 12 2" xfId="2676" xr:uid="{00000000-0005-0000-0000-000082090000}"/>
    <cellStyle name="Input 12 3" xfId="2677" xr:uid="{00000000-0005-0000-0000-000083090000}"/>
    <cellStyle name="Input 13 2" xfId="2678" xr:uid="{00000000-0005-0000-0000-000084090000}"/>
    <cellStyle name="Input 13 3" xfId="2679" xr:uid="{00000000-0005-0000-0000-000085090000}"/>
    <cellStyle name="Input 14 2" xfId="2680" xr:uid="{00000000-0005-0000-0000-000086090000}"/>
    <cellStyle name="Input 14 3" xfId="2681" xr:uid="{00000000-0005-0000-0000-000087090000}"/>
    <cellStyle name="Input 15" xfId="2682" xr:uid="{00000000-0005-0000-0000-000088090000}"/>
    <cellStyle name="Input 15 2" xfId="2683" xr:uid="{00000000-0005-0000-0000-000089090000}"/>
    <cellStyle name="Input 15 3" xfId="2684" xr:uid="{00000000-0005-0000-0000-00008A090000}"/>
    <cellStyle name="Input 15 4" xfId="2685" xr:uid="{00000000-0005-0000-0000-00008B090000}"/>
    <cellStyle name="Input 15 5" xfId="2686" xr:uid="{00000000-0005-0000-0000-00008C090000}"/>
    <cellStyle name="Input 15 6" xfId="2687" xr:uid="{00000000-0005-0000-0000-00008D090000}"/>
    <cellStyle name="Input 15 7" xfId="2688" xr:uid="{00000000-0005-0000-0000-00008E090000}"/>
    <cellStyle name="Input 16" xfId="2689" xr:uid="{00000000-0005-0000-0000-00008F090000}"/>
    <cellStyle name="Input 17" xfId="2690" xr:uid="{00000000-0005-0000-0000-000090090000}"/>
    <cellStyle name="Input 18" xfId="2691" xr:uid="{00000000-0005-0000-0000-000091090000}"/>
    <cellStyle name="Input 19" xfId="2692" xr:uid="{00000000-0005-0000-0000-000092090000}"/>
    <cellStyle name="Input 2" xfId="397" xr:uid="{00000000-0005-0000-0000-000093090000}"/>
    <cellStyle name="Input 2 2" xfId="600" xr:uid="{00000000-0005-0000-0000-000094090000}"/>
    <cellStyle name="Input 2 2 2" xfId="2693" xr:uid="{00000000-0005-0000-0000-000095090000}"/>
    <cellStyle name="Input 2 3" xfId="2694" xr:uid="{00000000-0005-0000-0000-000096090000}"/>
    <cellStyle name="Input 20" xfId="2695" xr:uid="{00000000-0005-0000-0000-000097090000}"/>
    <cellStyle name="Input 21" xfId="2696" xr:uid="{00000000-0005-0000-0000-000098090000}"/>
    <cellStyle name="Input 22" xfId="2697" xr:uid="{00000000-0005-0000-0000-000099090000}"/>
    <cellStyle name="Input 3" xfId="653" xr:uid="{00000000-0005-0000-0000-00009A090000}"/>
    <cellStyle name="Input 3 2" xfId="2698" xr:uid="{00000000-0005-0000-0000-00009B090000}"/>
    <cellStyle name="Input 3 3" xfId="2699" xr:uid="{00000000-0005-0000-0000-00009C090000}"/>
    <cellStyle name="Input 4 2" xfId="2700" xr:uid="{00000000-0005-0000-0000-00009D090000}"/>
    <cellStyle name="Input 4 3" xfId="2701" xr:uid="{00000000-0005-0000-0000-00009E090000}"/>
    <cellStyle name="Input 5 2" xfId="2702" xr:uid="{00000000-0005-0000-0000-00009F090000}"/>
    <cellStyle name="Input 5 3" xfId="2703" xr:uid="{00000000-0005-0000-0000-0000A0090000}"/>
    <cellStyle name="Input 6 2" xfId="2704" xr:uid="{00000000-0005-0000-0000-0000A1090000}"/>
    <cellStyle name="Input 6 3" xfId="2705" xr:uid="{00000000-0005-0000-0000-0000A2090000}"/>
    <cellStyle name="Input 7 2" xfId="2706" xr:uid="{00000000-0005-0000-0000-0000A3090000}"/>
    <cellStyle name="Input 7 3" xfId="2707" xr:uid="{00000000-0005-0000-0000-0000A4090000}"/>
    <cellStyle name="Input 8 2" xfId="2708" xr:uid="{00000000-0005-0000-0000-0000A5090000}"/>
    <cellStyle name="Input 8 3" xfId="2709" xr:uid="{00000000-0005-0000-0000-0000A6090000}"/>
    <cellStyle name="Input 9 2" xfId="2710" xr:uid="{00000000-0005-0000-0000-0000A7090000}"/>
    <cellStyle name="Input 9 3" xfId="2711" xr:uid="{00000000-0005-0000-0000-0000A8090000}"/>
    <cellStyle name="Linked Cell" xfId="146" builtinId="24" customBuiltin="1"/>
    <cellStyle name="Linked Cell 10 2" xfId="2712" xr:uid="{00000000-0005-0000-0000-0000AA090000}"/>
    <cellStyle name="Linked Cell 10 3" xfId="2713" xr:uid="{00000000-0005-0000-0000-0000AB090000}"/>
    <cellStyle name="Linked Cell 11 2" xfId="2714" xr:uid="{00000000-0005-0000-0000-0000AC090000}"/>
    <cellStyle name="Linked Cell 11 3" xfId="2715" xr:uid="{00000000-0005-0000-0000-0000AD090000}"/>
    <cellStyle name="Linked Cell 12 2" xfId="2716" xr:uid="{00000000-0005-0000-0000-0000AE090000}"/>
    <cellStyle name="Linked Cell 12 3" xfId="2717" xr:uid="{00000000-0005-0000-0000-0000AF090000}"/>
    <cellStyle name="Linked Cell 13 2" xfId="2718" xr:uid="{00000000-0005-0000-0000-0000B0090000}"/>
    <cellStyle name="Linked Cell 13 3" xfId="2719" xr:uid="{00000000-0005-0000-0000-0000B1090000}"/>
    <cellStyle name="Linked Cell 14 2" xfId="2720" xr:uid="{00000000-0005-0000-0000-0000B2090000}"/>
    <cellStyle name="Linked Cell 14 3" xfId="2721" xr:uid="{00000000-0005-0000-0000-0000B3090000}"/>
    <cellStyle name="Linked Cell 15" xfId="2722" xr:uid="{00000000-0005-0000-0000-0000B4090000}"/>
    <cellStyle name="Linked Cell 15 2" xfId="2723" xr:uid="{00000000-0005-0000-0000-0000B5090000}"/>
    <cellStyle name="Linked Cell 15 3" xfId="2724" xr:uid="{00000000-0005-0000-0000-0000B6090000}"/>
    <cellStyle name="Linked Cell 15 4" xfId="2725" xr:uid="{00000000-0005-0000-0000-0000B7090000}"/>
    <cellStyle name="Linked Cell 15 5" xfId="2726" xr:uid="{00000000-0005-0000-0000-0000B8090000}"/>
    <cellStyle name="Linked Cell 15 6" xfId="2727" xr:uid="{00000000-0005-0000-0000-0000B9090000}"/>
    <cellStyle name="Linked Cell 15 7" xfId="2728" xr:uid="{00000000-0005-0000-0000-0000BA090000}"/>
    <cellStyle name="Linked Cell 16" xfId="2729" xr:uid="{00000000-0005-0000-0000-0000BB090000}"/>
    <cellStyle name="Linked Cell 17" xfId="2730" xr:uid="{00000000-0005-0000-0000-0000BC090000}"/>
    <cellStyle name="Linked Cell 18" xfId="2731" xr:uid="{00000000-0005-0000-0000-0000BD090000}"/>
    <cellStyle name="Linked Cell 19" xfId="2732" xr:uid="{00000000-0005-0000-0000-0000BE090000}"/>
    <cellStyle name="Linked Cell 2" xfId="400" xr:uid="{00000000-0005-0000-0000-0000BF090000}"/>
    <cellStyle name="Linked Cell 2 2" xfId="495" xr:uid="{00000000-0005-0000-0000-0000C0090000}"/>
    <cellStyle name="Linked Cell 2 2 2" xfId="2733" xr:uid="{00000000-0005-0000-0000-0000C1090000}"/>
    <cellStyle name="Linked Cell 2 3" xfId="2734" xr:uid="{00000000-0005-0000-0000-0000C2090000}"/>
    <cellStyle name="Linked Cell 20" xfId="2735" xr:uid="{00000000-0005-0000-0000-0000C3090000}"/>
    <cellStyle name="Linked Cell 21" xfId="2736" xr:uid="{00000000-0005-0000-0000-0000C4090000}"/>
    <cellStyle name="Linked Cell 22" xfId="2737" xr:uid="{00000000-0005-0000-0000-0000C5090000}"/>
    <cellStyle name="Linked Cell 3" xfId="654" xr:uid="{00000000-0005-0000-0000-0000C6090000}"/>
    <cellStyle name="Linked Cell 3 2" xfId="2738" xr:uid="{00000000-0005-0000-0000-0000C7090000}"/>
    <cellStyle name="Linked Cell 3 3" xfId="2739" xr:uid="{00000000-0005-0000-0000-0000C8090000}"/>
    <cellStyle name="Linked Cell 4 2" xfId="2740" xr:uid="{00000000-0005-0000-0000-0000C9090000}"/>
    <cellStyle name="Linked Cell 4 3" xfId="2741" xr:uid="{00000000-0005-0000-0000-0000CA090000}"/>
    <cellStyle name="Linked Cell 5 2" xfId="2742" xr:uid="{00000000-0005-0000-0000-0000CB090000}"/>
    <cellStyle name="Linked Cell 5 3" xfId="2743" xr:uid="{00000000-0005-0000-0000-0000CC090000}"/>
    <cellStyle name="Linked Cell 6 2" xfId="2744" xr:uid="{00000000-0005-0000-0000-0000CD090000}"/>
    <cellStyle name="Linked Cell 6 3" xfId="2745" xr:uid="{00000000-0005-0000-0000-0000CE090000}"/>
    <cellStyle name="Linked Cell 7 2" xfId="2746" xr:uid="{00000000-0005-0000-0000-0000CF090000}"/>
    <cellStyle name="Linked Cell 7 3" xfId="2747" xr:uid="{00000000-0005-0000-0000-0000D0090000}"/>
    <cellStyle name="Linked Cell 8 2" xfId="2748" xr:uid="{00000000-0005-0000-0000-0000D1090000}"/>
    <cellStyle name="Linked Cell 8 3" xfId="2749" xr:uid="{00000000-0005-0000-0000-0000D2090000}"/>
    <cellStyle name="Linked Cell 9 2" xfId="2750" xr:uid="{00000000-0005-0000-0000-0000D3090000}"/>
    <cellStyle name="Linked Cell 9 3" xfId="2751" xr:uid="{00000000-0005-0000-0000-0000D4090000}"/>
    <cellStyle name="Neutral" xfId="144" builtinId="28" customBuiltin="1"/>
    <cellStyle name="Neutral 10 2" xfId="2752" xr:uid="{00000000-0005-0000-0000-0000D6090000}"/>
    <cellStyle name="Neutral 10 3" xfId="2753" xr:uid="{00000000-0005-0000-0000-0000D7090000}"/>
    <cellStyle name="Neutral 11 2" xfId="2754" xr:uid="{00000000-0005-0000-0000-0000D8090000}"/>
    <cellStyle name="Neutral 11 3" xfId="2755" xr:uid="{00000000-0005-0000-0000-0000D9090000}"/>
    <cellStyle name="Neutral 12 2" xfId="2756" xr:uid="{00000000-0005-0000-0000-0000DA090000}"/>
    <cellStyle name="Neutral 12 3" xfId="2757" xr:uid="{00000000-0005-0000-0000-0000DB090000}"/>
    <cellStyle name="Neutral 13 2" xfId="2758" xr:uid="{00000000-0005-0000-0000-0000DC090000}"/>
    <cellStyle name="Neutral 13 3" xfId="2759" xr:uid="{00000000-0005-0000-0000-0000DD090000}"/>
    <cellStyle name="Neutral 14 2" xfId="2760" xr:uid="{00000000-0005-0000-0000-0000DE090000}"/>
    <cellStyle name="Neutral 14 3" xfId="2761" xr:uid="{00000000-0005-0000-0000-0000DF090000}"/>
    <cellStyle name="Neutral 15" xfId="2762" xr:uid="{00000000-0005-0000-0000-0000E0090000}"/>
    <cellStyle name="Neutral 15 2" xfId="2763" xr:uid="{00000000-0005-0000-0000-0000E1090000}"/>
    <cellStyle name="Neutral 15 3" xfId="2764" xr:uid="{00000000-0005-0000-0000-0000E2090000}"/>
    <cellStyle name="Neutral 15 4" xfId="2765" xr:uid="{00000000-0005-0000-0000-0000E3090000}"/>
    <cellStyle name="Neutral 15 5" xfId="2766" xr:uid="{00000000-0005-0000-0000-0000E4090000}"/>
    <cellStyle name="Neutral 15 6" xfId="2767" xr:uid="{00000000-0005-0000-0000-0000E5090000}"/>
    <cellStyle name="Neutral 15 7" xfId="2768" xr:uid="{00000000-0005-0000-0000-0000E6090000}"/>
    <cellStyle name="Neutral 16" xfId="2769" xr:uid="{00000000-0005-0000-0000-0000E7090000}"/>
    <cellStyle name="Neutral 17" xfId="2770" xr:uid="{00000000-0005-0000-0000-0000E8090000}"/>
    <cellStyle name="Neutral 18" xfId="2771" xr:uid="{00000000-0005-0000-0000-0000E9090000}"/>
    <cellStyle name="Neutral 19" xfId="2772" xr:uid="{00000000-0005-0000-0000-0000EA090000}"/>
    <cellStyle name="Neutral 2" xfId="396" xr:uid="{00000000-0005-0000-0000-0000EB090000}"/>
    <cellStyle name="Neutral 2 2" xfId="519" xr:uid="{00000000-0005-0000-0000-0000EC090000}"/>
    <cellStyle name="Neutral 2 2 2" xfId="2773" xr:uid="{00000000-0005-0000-0000-0000ED090000}"/>
    <cellStyle name="Neutral 2 3" xfId="2774" xr:uid="{00000000-0005-0000-0000-0000EE090000}"/>
    <cellStyle name="Neutral 20" xfId="2775" xr:uid="{00000000-0005-0000-0000-0000EF090000}"/>
    <cellStyle name="Neutral 21" xfId="2776" xr:uid="{00000000-0005-0000-0000-0000F0090000}"/>
    <cellStyle name="Neutral 22" xfId="2777" xr:uid="{00000000-0005-0000-0000-0000F1090000}"/>
    <cellStyle name="Neutral 3" xfId="655" xr:uid="{00000000-0005-0000-0000-0000F2090000}"/>
    <cellStyle name="Neutral 3 2" xfId="2778" xr:uid="{00000000-0005-0000-0000-0000F3090000}"/>
    <cellStyle name="Neutral 3 3" xfId="2779" xr:uid="{00000000-0005-0000-0000-0000F4090000}"/>
    <cellStyle name="Neutral 4 2" xfId="2780" xr:uid="{00000000-0005-0000-0000-0000F5090000}"/>
    <cellStyle name="Neutral 4 3" xfId="2781" xr:uid="{00000000-0005-0000-0000-0000F6090000}"/>
    <cellStyle name="Neutral 5 2" xfId="2782" xr:uid="{00000000-0005-0000-0000-0000F7090000}"/>
    <cellStyle name="Neutral 5 3" xfId="2783" xr:uid="{00000000-0005-0000-0000-0000F8090000}"/>
    <cellStyle name="Neutral 6 2" xfId="2784" xr:uid="{00000000-0005-0000-0000-0000F9090000}"/>
    <cellStyle name="Neutral 6 3" xfId="2785" xr:uid="{00000000-0005-0000-0000-0000FA090000}"/>
    <cellStyle name="Neutral 7 2" xfId="2786" xr:uid="{00000000-0005-0000-0000-0000FB090000}"/>
    <cellStyle name="Neutral 7 3" xfId="2787" xr:uid="{00000000-0005-0000-0000-0000FC090000}"/>
    <cellStyle name="Neutral 8 2" xfId="2788" xr:uid="{00000000-0005-0000-0000-0000FD090000}"/>
    <cellStyle name="Neutral 8 3" xfId="2789" xr:uid="{00000000-0005-0000-0000-0000FE090000}"/>
    <cellStyle name="Neutral 9 2" xfId="2790" xr:uid="{00000000-0005-0000-0000-0000FF090000}"/>
    <cellStyle name="Neutral 9 3" xfId="2791" xr:uid="{00000000-0005-0000-0000-0000000A0000}"/>
    <cellStyle name="Normal" xfId="0" builtinId="0"/>
    <cellStyle name="Normal 10" xfId="26" xr:uid="{00000000-0005-0000-0000-0000020A0000}"/>
    <cellStyle name="Normal 10 10" xfId="2792" xr:uid="{00000000-0005-0000-0000-0000030A0000}"/>
    <cellStyle name="Normal 10 11" xfId="2793" xr:uid="{00000000-0005-0000-0000-0000040A0000}"/>
    <cellStyle name="Normal 10 12" xfId="2794" xr:uid="{00000000-0005-0000-0000-0000050A0000}"/>
    <cellStyle name="Normal 10 2" xfId="27" xr:uid="{00000000-0005-0000-0000-0000060A0000}"/>
    <cellStyle name="Normal 10 2 2" xfId="215" xr:uid="{00000000-0005-0000-0000-0000070A0000}"/>
    <cellStyle name="Normal 10 2 3" xfId="37652" xr:uid="{00000000-0005-0000-0000-0000080A0000}"/>
    <cellStyle name="Normal 10 2 4" xfId="21186" xr:uid="{00000000-0005-0000-0000-0000090A0000}"/>
    <cellStyle name="Normal 10 3" xfId="214" xr:uid="{00000000-0005-0000-0000-00000A0A0000}"/>
    <cellStyle name="Normal 10 3 2" xfId="2795" xr:uid="{00000000-0005-0000-0000-00000B0A0000}"/>
    <cellStyle name="Normal 10 4" xfId="2796" xr:uid="{00000000-0005-0000-0000-00000C0A0000}"/>
    <cellStyle name="Normal 10 5" xfId="2797" xr:uid="{00000000-0005-0000-0000-00000D0A0000}"/>
    <cellStyle name="Normal 10 6" xfId="2798" xr:uid="{00000000-0005-0000-0000-00000E0A0000}"/>
    <cellStyle name="Normal 10 7" xfId="2799" xr:uid="{00000000-0005-0000-0000-00000F0A0000}"/>
    <cellStyle name="Normal 10 8" xfId="2800" xr:uid="{00000000-0005-0000-0000-0000100A0000}"/>
    <cellStyle name="Normal 10 9" xfId="2801" xr:uid="{00000000-0005-0000-0000-0000110A0000}"/>
    <cellStyle name="Normal 100" xfId="2802" xr:uid="{00000000-0005-0000-0000-0000120A0000}"/>
    <cellStyle name="Normal 101" xfId="327" xr:uid="{00000000-0005-0000-0000-0000130A0000}"/>
    <cellStyle name="Normal 101 2" xfId="21153" xr:uid="{00000000-0005-0000-0000-0000140A0000}"/>
    <cellStyle name="Normal 102" xfId="2803" xr:uid="{00000000-0005-0000-0000-0000150A0000}"/>
    <cellStyle name="Normal 103" xfId="2804" xr:uid="{00000000-0005-0000-0000-0000160A0000}"/>
    <cellStyle name="Normal 104" xfId="37698" xr:uid="{00000000-0005-0000-0000-0000170A0000}"/>
    <cellStyle name="Normal 11" xfId="28" xr:uid="{00000000-0005-0000-0000-0000180A0000}"/>
    <cellStyle name="Normal 11 2" xfId="216" xr:uid="{00000000-0005-0000-0000-0000190A0000}"/>
    <cellStyle name="Normal 11 2 2" xfId="2805" xr:uid="{00000000-0005-0000-0000-00001A0A0000}"/>
    <cellStyle name="Normal 11 3" xfId="2806" xr:uid="{00000000-0005-0000-0000-00001B0A0000}"/>
    <cellStyle name="Normal 11 4" xfId="2807" xr:uid="{00000000-0005-0000-0000-00001C0A0000}"/>
    <cellStyle name="Normal 11 5" xfId="2808" xr:uid="{00000000-0005-0000-0000-00001D0A0000}"/>
    <cellStyle name="Normal 11 6" xfId="2809" xr:uid="{00000000-0005-0000-0000-00001E0A0000}"/>
    <cellStyle name="Normal 11 7" xfId="2810" xr:uid="{00000000-0005-0000-0000-00001F0A0000}"/>
    <cellStyle name="Normal 11 8" xfId="2811" xr:uid="{00000000-0005-0000-0000-0000200A0000}"/>
    <cellStyle name="Normal 11 9" xfId="2812" xr:uid="{00000000-0005-0000-0000-0000210A0000}"/>
    <cellStyle name="Normal 12" xfId="29" xr:uid="{00000000-0005-0000-0000-0000220A0000}"/>
    <cellStyle name="Normal 12 2" xfId="217" xr:uid="{00000000-0005-0000-0000-0000230A0000}"/>
    <cellStyle name="Normal 12 2 2" xfId="2813" xr:uid="{00000000-0005-0000-0000-0000240A0000}"/>
    <cellStyle name="Normal 12 3" xfId="2814" xr:uid="{00000000-0005-0000-0000-0000250A0000}"/>
    <cellStyle name="Normal 12 4" xfId="2815" xr:uid="{00000000-0005-0000-0000-0000260A0000}"/>
    <cellStyle name="Normal 12 5" xfId="2816" xr:uid="{00000000-0005-0000-0000-0000270A0000}"/>
    <cellStyle name="Normal 12 6" xfId="2817" xr:uid="{00000000-0005-0000-0000-0000280A0000}"/>
    <cellStyle name="Normal 12 7" xfId="2818" xr:uid="{00000000-0005-0000-0000-0000290A0000}"/>
    <cellStyle name="Normal 12 8" xfId="37653" xr:uid="{00000000-0005-0000-0000-00002A0A0000}"/>
    <cellStyle name="Normal 13" xfId="30" xr:uid="{00000000-0005-0000-0000-00002B0A0000}"/>
    <cellStyle name="Normal 13 2" xfId="218" xr:uid="{00000000-0005-0000-0000-00002C0A0000}"/>
    <cellStyle name="Normal 13 2 2" xfId="2819" xr:uid="{00000000-0005-0000-0000-00002D0A0000}"/>
    <cellStyle name="Normal 13 3" xfId="2820" xr:uid="{00000000-0005-0000-0000-00002E0A0000}"/>
    <cellStyle name="Normal 13 4" xfId="2821" xr:uid="{00000000-0005-0000-0000-00002F0A0000}"/>
    <cellStyle name="Normal 13 5" xfId="2822" xr:uid="{00000000-0005-0000-0000-0000300A0000}"/>
    <cellStyle name="Normal 13 6" xfId="2823" xr:uid="{00000000-0005-0000-0000-0000310A0000}"/>
    <cellStyle name="Normal 13 7" xfId="2824" xr:uid="{00000000-0005-0000-0000-0000320A0000}"/>
    <cellStyle name="Normal 13 8" xfId="2825" xr:uid="{00000000-0005-0000-0000-0000330A0000}"/>
    <cellStyle name="Normal 13 9" xfId="2826" xr:uid="{00000000-0005-0000-0000-0000340A0000}"/>
    <cellStyle name="Normal 14" xfId="31" xr:uid="{00000000-0005-0000-0000-0000350A0000}"/>
    <cellStyle name="Normal 14 2" xfId="219" xr:uid="{00000000-0005-0000-0000-0000360A0000}"/>
    <cellStyle name="Normal 14 2 2" xfId="2827" xr:uid="{00000000-0005-0000-0000-0000370A0000}"/>
    <cellStyle name="Normal 14 3" xfId="2828" xr:uid="{00000000-0005-0000-0000-0000380A0000}"/>
    <cellStyle name="Normal 14 4" xfId="2829" xr:uid="{00000000-0005-0000-0000-0000390A0000}"/>
    <cellStyle name="Normal 14 5" xfId="2830" xr:uid="{00000000-0005-0000-0000-00003A0A0000}"/>
    <cellStyle name="Normal 14 6" xfId="2831" xr:uid="{00000000-0005-0000-0000-00003B0A0000}"/>
    <cellStyle name="Normal 14 7" xfId="2832" xr:uid="{00000000-0005-0000-0000-00003C0A0000}"/>
    <cellStyle name="Normal 14 8" xfId="2833" xr:uid="{00000000-0005-0000-0000-00003D0A0000}"/>
    <cellStyle name="Normal 14 9" xfId="2834" xr:uid="{00000000-0005-0000-0000-00003E0A0000}"/>
    <cellStyle name="Normal 15" xfId="32" xr:uid="{00000000-0005-0000-0000-00003F0A0000}"/>
    <cellStyle name="Normal 15 2" xfId="2835" xr:uid="{00000000-0005-0000-0000-0000400A0000}"/>
    <cellStyle name="Normal 15 3" xfId="2836" xr:uid="{00000000-0005-0000-0000-0000410A0000}"/>
    <cellStyle name="Normal 15 4" xfId="2837" xr:uid="{00000000-0005-0000-0000-0000420A0000}"/>
    <cellStyle name="Normal 15 5" xfId="2838" xr:uid="{00000000-0005-0000-0000-0000430A0000}"/>
    <cellStyle name="Normal 15 6" xfId="2839" xr:uid="{00000000-0005-0000-0000-0000440A0000}"/>
    <cellStyle name="Normal 15 7" xfId="2840" xr:uid="{00000000-0005-0000-0000-0000450A0000}"/>
    <cellStyle name="Normal 15 8" xfId="37654" xr:uid="{00000000-0005-0000-0000-0000460A0000}"/>
    <cellStyle name="Normal 16" xfId="33" xr:uid="{00000000-0005-0000-0000-0000470A0000}"/>
    <cellStyle name="Normal 16 2" xfId="220" xr:uid="{00000000-0005-0000-0000-0000480A0000}"/>
    <cellStyle name="Normal 16 3" xfId="2841" xr:uid="{00000000-0005-0000-0000-0000490A0000}"/>
    <cellStyle name="Normal 16 4" xfId="21187" xr:uid="{00000000-0005-0000-0000-00004A0A0000}"/>
    <cellStyle name="Normal 17" xfId="180" xr:uid="{00000000-0005-0000-0000-00004B0A0000}"/>
    <cellStyle name="Normal 17 2" xfId="2843" xr:uid="{00000000-0005-0000-0000-00004C0A0000}"/>
    <cellStyle name="Normal 17 3" xfId="2844" xr:uid="{00000000-0005-0000-0000-00004D0A0000}"/>
    <cellStyle name="Normal 17 4" xfId="2842" xr:uid="{00000000-0005-0000-0000-00004E0A0000}"/>
    <cellStyle name="Normal 18" xfId="34" xr:uid="{00000000-0005-0000-0000-00004F0A0000}"/>
    <cellStyle name="Normal 18 2" xfId="221" xr:uid="{00000000-0005-0000-0000-0000500A0000}"/>
    <cellStyle name="Normal 18 2 2" xfId="2845" xr:uid="{00000000-0005-0000-0000-0000510A0000}"/>
    <cellStyle name="Normal 18 3" xfId="2846" xr:uid="{00000000-0005-0000-0000-0000520A0000}"/>
    <cellStyle name="Normal 18 4" xfId="2847" xr:uid="{00000000-0005-0000-0000-0000530A0000}"/>
    <cellStyle name="Normal 18 5" xfId="2848" xr:uid="{00000000-0005-0000-0000-0000540A0000}"/>
    <cellStyle name="Normal 18 6" xfId="2849" xr:uid="{00000000-0005-0000-0000-0000550A0000}"/>
    <cellStyle name="Normal 18 7" xfId="2850" xr:uid="{00000000-0005-0000-0000-0000560A0000}"/>
    <cellStyle name="Normal 18 8" xfId="2851" xr:uid="{00000000-0005-0000-0000-0000570A0000}"/>
    <cellStyle name="Normal 18 9" xfId="2852" xr:uid="{00000000-0005-0000-0000-0000580A0000}"/>
    <cellStyle name="Normal 19" xfId="35" xr:uid="{00000000-0005-0000-0000-0000590A0000}"/>
    <cellStyle name="Normal 19 2" xfId="222" xr:uid="{00000000-0005-0000-0000-00005A0A0000}"/>
    <cellStyle name="Normal 19 3" xfId="2853" xr:uid="{00000000-0005-0000-0000-00005B0A0000}"/>
    <cellStyle name="Normal 19 4" xfId="21188" xr:uid="{00000000-0005-0000-0000-00005C0A0000}"/>
    <cellStyle name="Normal 2" xfId="7" xr:uid="{00000000-0005-0000-0000-00005D0A0000}"/>
    <cellStyle name="Normal 2 10" xfId="2854" xr:uid="{00000000-0005-0000-0000-00005E0A0000}"/>
    <cellStyle name="Normal 2 10 2" xfId="2855" xr:uid="{00000000-0005-0000-0000-00005F0A0000}"/>
    <cellStyle name="Normal 2 10 2 2" xfId="2856" xr:uid="{00000000-0005-0000-0000-0000600A0000}"/>
    <cellStyle name="Normal 2 10 3" xfId="2857" xr:uid="{00000000-0005-0000-0000-0000610A0000}"/>
    <cellStyle name="Normal 2 10 3 2" xfId="2858" xr:uid="{00000000-0005-0000-0000-0000620A0000}"/>
    <cellStyle name="Normal 2 10 4" xfId="2859" xr:uid="{00000000-0005-0000-0000-0000630A0000}"/>
    <cellStyle name="Normal 2 10 4 2" xfId="2860" xr:uid="{00000000-0005-0000-0000-0000640A0000}"/>
    <cellStyle name="Normal 2 10 5" xfId="2861" xr:uid="{00000000-0005-0000-0000-0000650A0000}"/>
    <cellStyle name="Normal 2 10 5 2" xfId="2862" xr:uid="{00000000-0005-0000-0000-0000660A0000}"/>
    <cellStyle name="Normal 2 10 6" xfId="2863" xr:uid="{00000000-0005-0000-0000-0000670A0000}"/>
    <cellStyle name="Normal 2 10 6 2" xfId="2864" xr:uid="{00000000-0005-0000-0000-0000680A0000}"/>
    <cellStyle name="Normal 2 10 7" xfId="2865" xr:uid="{00000000-0005-0000-0000-0000690A0000}"/>
    <cellStyle name="Normal 2 10 7 2" xfId="2866" xr:uid="{00000000-0005-0000-0000-00006A0A0000}"/>
    <cellStyle name="Normal 2 10 8" xfId="2867" xr:uid="{00000000-0005-0000-0000-00006B0A0000}"/>
    <cellStyle name="Normal 2 11" xfId="2868" xr:uid="{00000000-0005-0000-0000-00006C0A0000}"/>
    <cellStyle name="Normal 2 11 2" xfId="2869" xr:uid="{00000000-0005-0000-0000-00006D0A0000}"/>
    <cellStyle name="Normal 2 11 2 2" xfId="2870" xr:uid="{00000000-0005-0000-0000-00006E0A0000}"/>
    <cellStyle name="Normal 2 11 3" xfId="2871" xr:uid="{00000000-0005-0000-0000-00006F0A0000}"/>
    <cellStyle name="Normal 2 11 3 2" xfId="2872" xr:uid="{00000000-0005-0000-0000-0000700A0000}"/>
    <cellStyle name="Normal 2 11 4" xfId="2873" xr:uid="{00000000-0005-0000-0000-0000710A0000}"/>
    <cellStyle name="Normal 2 11 4 2" xfId="2874" xr:uid="{00000000-0005-0000-0000-0000720A0000}"/>
    <cellStyle name="Normal 2 11 5" xfId="2875" xr:uid="{00000000-0005-0000-0000-0000730A0000}"/>
    <cellStyle name="Normal 2 11 5 2" xfId="2876" xr:uid="{00000000-0005-0000-0000-0000740A0000}"/>
    <cellStyle name="Normal 2 11 6" xfId="2877" xr:uid="{00000000-0005-0000-0000-0000750A0000}"/>
    <cellStyle name="Normal 2 11 6 2" xfId="2878" xr:uid="{00000000-0005-0000-0000-0000760A0000}"/>
    <cellStyle name="Normal 2 11 7" xfId="2879" xr:uid="{00000000-0005-0000-0000-0000770A0000}"/>
    <cellStyle name="Normal 2 11 7 2" xfId="2880" xr:uid="{00000000-0005-0000-0000-0000780A0000}"/>
    <cellStyle name="Normal 2 11 8" xfId="2881" xr:uid="{00000000-0005-0000-0000-0000790A0000}"/>
    <cellStyle name="Normal 2 12" xfId="2882" xr:uid="{00000000-0005-0000-0000-00007A0A0000}"/>
    <cellStyle name="Normal 2 12 2" xfId="2883" xr:uid="{00000000-0005-0000-0000-00007B0A0000}"/>
    <cellStyle name="Normal 2 12 2 2" xfId="2884" xr:uid="{00000000-0005-0000-0000-00007C0A0000}"/>
    <cellStyle name="Normal 2 12 3" xfId="2885" xr:uid="{00000000-0005-0000-0000-00007D0A0000}"/>
    <cellStyle name="Normal 2 12 3 2" xfId="2886" xr:uid="{00000000-0005-0000-0000-00007E0A0000}"/>
    <cellStyle name="Normal 2 12 4" xfId="2887" xr:uid="{00000000-0005-0000-0000-00007F0A0000}"/>
    <cellStyle name="Normal 2 12 4 2" xfId="2888" xr:uid="{00000000-0005-0000-0000-0000800A0000}"/>
    <cellStyle name="Normal 2 12 5" xfId="2889" xr:uid="{00000000-0005-0000-0000-0000810A0000}"/>
    <cellStyle name="Normal 2 12 5 2" xfId="2890" xr:uid="{00000000-0005-0000-0000-0000820A0000}"/>
    <cellStyle name="Normal 2 12 6" xfId="2891" xr:uid="{00000000-0005-0000-0000-0000830A0000}"/>
    <cellStyle name="Normal 2 12 6 2" xfId="2892" xr:uid="{00000000-0005-0000-0000-0000840A0000}"/>
    <cellStyle name="Normal 2 12 7" xfId="2893" xr:uid="{00000000-0005-0000-0000-0000850A0000}"/>
    <cellStyle name="Normal 2 12 7 2" xfId="2894" xr:uid="{00000000-0005-0000-0000-0000860A0000}"/>
    <cellStyle name="Normal 2 12 8" xfId="2895" xr:uid="{00000000-0005-0000-0000-0000870A0000}"/>
    <cellStyle name="Normal 2 13" xfId="2896" xr:uid="{00000000-0005-0000-0000-0000880A0000}"/>
    <cellStyle name="Normal 2 13 2" xfId="2897" xr:uid="{00000000-0005-0000-0000-0000890A0000}"/>
    <cellStyle name="Normal 2 13 2 2" xfId="2898" xr:uid="{00000000-0005-0000-0000-00008A0A0000}"/>
    <cellStyle name="Normal 2 13 3" xfId="2899" xr:uid="{00000000-0005-0000-0000-00008B0A0000}"/>
    <cellStyle name="Normal 2 13 3 2" xfId="2900" xr:uid="{00000000-0005-0000-0000-00008C0A0000}"/>
    <cellStyle name="Normal 2 13 4" xfId="2901" xr:uid="{00000000-0005-0000-0000-00008D0A0000}"/>
    <cellStyle name="Normal 2 13 4 2" xfId="2902" xr:uid="{00000000-0005-0000-0000-00008E0A0000}"/>
    <cellStyle name="Normal 2 13 5" xfId="2903" xr:uid="{00000000-0005-0000-0000-00008F0A0000}"/>
    <cellStyle name="Normal 2 13 5 2" xfId="2904" xr:uid="{00000000-0005-0000-0000-0000900A0000}"/>
    <cellStyle name="Normal 2 13 6" xfId="2905" xr:uid="{00000000-0005-0000-0000-0000910A0000}"/>
    <cellStyle name="Normal 2 13 6 2" xfId="2906" xr:uid="{00000000-0005-0000-0000-0000920A0000}"/>
    <cellStyle name="Normal 2 13 7" xfId="2907" xr:uid="{00000000-0005-0000-0000-0000930A0000}"/>
    <cellStyle name="Normal 2 13 7 2" xfId="2908" xr:uid="{00000000-0005-0000-0000-0000940A0000}"/>
    <cellStyle name="Normal 2 13 8" xfId="2909" xr:uid="{00000000-0005-0000-0000-0000950A0000}"/>
    <cellStyle name="Normal 2 14" xfId="2910" xr:uid="{00000000-0005-0000-0000-0000960A0000}"/>
    <cellStyle name="Normal 2 14 2" xfId="2911" xr:uid="{00000000-0005-0000-0000-0000970A0000}"/>
    <cellStyle name="Normal 2 15" xfId="2912" xr:uid="{00000000-0005-0000-0000-0000980A0000}"/>
    <cellStyle name="Normal 2 15 2" xfId="2913" xr:uid="{00000000-0005-0000-0000-0000990A0000}"/>
    <cellStyle name="Normal 2 16" xfId="2914" xr:uid="{00000000-0005-0000-0000-00009A0A0000}"/>
    <cellStyle name="Normal 2 16 2" xfId="2915" xr:uid="{00000000-0005-0000-0000-00009B0A0000}"/>
    <cellStyle name="Normal 2 17" xfId="2916" xr:uid="{00000000-0005-0000-0000-00009C0A0000}"/>
    <cellStyle name="Normal 2 17 2" xfId="2917" xr:uid="{00000000-0005-0000-0000-00009D0A0000}"/>
    <cellStyle name="Normal 2 18" xfId="2918" xr:uid="{00000000-0005-0000-0000-00009E0A0000}"/>
    <cellStyle name="Normal 2 18 2" xfId="2919" xr:uid="{00000000-0005-0000-0000-00009F0A0000}"/>
    <cellStyle name="Normal 2 18 2 2" xfId="2920" xr:uid="{00000000-0005-0000-0000-0000A00A0000}"/>
    <cellStyle name="Normal 2 18 2 3" xfId="2921" xr:uid="{00000000-0005-0000-0000-0000A10A0000}"/>
    <cellStyle name="Normal 2 18 2 4" xfId="2922" xr:uid="{00000000-0005-0000-0000-0000A20A0000}"/>
    <cellStyle name="Normal 2 18 3" xfId="2923" xr:uid="{00000000-0005-0000-0000-0000A30A0000}"/>
    <cellStyle name="Normal 2 18 4" xfId="2924" xr:uid="{00000000-0005-0000-0000-0000A40A0000}"/>
    <cellStyle name="Normal 2 18 5" xfId="2925" xr:uid="{00000000-0005-0000-0000-0000A50A0000}"/>
    <cellStyle name="Normal 2 18 6" xfId="2926" xr:uid="{00000000-0005-0000-0000-0000A60A0000}"/>
    <cellStyle name="Normal 2 18 7" xfId="2927" xr:uid="{00000000-0005-0000-0000-0000A70A0000}"/>
    <cellStyle name="Normal 2 18 8" xfId="2928" xr:uid="{00000000-0005-0000-0000-0000A80A0000}"/>
    <cellStyle name="Normal 2 18 9" xfId="2929" xr:uid="{00000000-0005-0000-0000-0000A90A0000}"/>
    <cellStyle name="Normal 2 19" xfId="2930" xr:uid="{00000000-0005-0000-0000-0000AA0A0000}"/>
    <cellStyle name="Normal 2 19 2" xfId="2931" xr:uid="{00000000-0005-0000-0000-0000AB0A0000}"/>
    <cellStyle name="Normal 2 19 2 2" xfId="2932" xr:uid="{00000000-0005-0000-0000-0000AC0A0000}"/>
    <cellStyle name="Normal 2 19 2 3" xfId="2933" xr:uid="{00000000-0005-0000-0000-0000AD0A0000}"/>
    <cellStyle name="Normal 2 19 2 4" xfId="2934" xr:uid="{00000000-0005-0000-0000-0000AE0A0000}"/>
    <cellStyle name="Normal 2 19 3" xfId="2935" xr:uid="{00000000-0005-0000-0000-0000AF0A0000}"/>
    <cellStyle name="Normal 2 19 4" xfId="2936" xr:uid="{00000000-0005-0000-0000-0000B00A0000}"/>
    <cellStyle name="Normal 2 19 5" xfId="2937" xr:uid="{00000000-0005-0000-0000-0000B10A0000}"/>
    <cellStyle name="Normal 2 19 6" xfId="2938" xr:uid="{00000000-0005-0000-0000-0000B20A0000}"/>
    <cellStyle name="Normal 2 19 7" xfId="2939" xr:uid="{00000000-0005-0000-0000-0000B30A0000}"/>
    <cellStyle name="Normal 2 19 8" xfId="2940" xr:uid="{00000000-0005-0000-0000-0000B40A0000}"/>
    <cellStyle name="Normal 2 19 9" xfId="2941" xr:uid="{00000000-0005-0000-0000-0000B50A0000}"/>
    <cellStyle name="Normal 2 2" xfId="36" xr:uid="{00000000-0005-0000-0000-0000B60A0000}"/>
    <cellStyle name="Normal 2 2 10" xfId="318" xr:uid="{00000000-0005-0000-0000-0000B70A0000}"/>
    <cellStyle name="Normal 2 2 11" xfId="2942" xr:uid="{00000000-0005-0000-0000-0000B80A0000}"/>
    <cellStyle name="Normal 2 2 12" xfId="2943" xr:uid="{00000000-0005-0000-0000-0000B90A0000}"/>
    <cellStyle name="Normal 2 2 13" xfId="2944" xr:uid="{00000000-0005-0000-0000-0000BA0A0000}"/>
    <cellStyle name="Normal 2 2 14" xfId="2945" xr:uid="{00000000-0005-0000-0000-0000BB0A0000}"/>
    <cellStyle name="Normal 2 2 15" xfId="2946" xr:uid="{00000000-0005-0000-0000-0000BC0A0000}"/>
    <cellStyle name="Normal 2 2 16" xfId="2947" xr:uid="{00000000-0005-0000-0000-0000BD0A0000}"/>
    <cellStyle name="Normal 2 2 17" xfId="2948" xr:uid="{00000000-0005-0000-0000-0000BE0A0000}"/>
    <cellStyle name="Normal 2 2 18" xfId="2949" xr:uid="{00000000-0005-0000-0000-0000BF0A0000}"/>
    <cellStyle name="Normal 2 2 19" xfId="2950" xr:uid="{00000000-0005-0000-0000-0000C00A0000}"/>
    <cellStyle name="Normal 2 2 2" xfId="37" xr:uid="{00000000-0005-0000-0000-0000C10A0000}"/>
    <cellStyle name="Normal 2 2 2 10" xfId="2951" xr:uid="{00000000-0005-0000-0000-0000C20A0000}"/>
    <cellStyle name="Normal 2 2 2 11" xfId="2952" xr:uid="{00000000-0005-0000-0000-0000C30A0000}"/>
    <cellStyle name="Normal 2 2 2 12" xfId="2953" xr:uid="{00000000-0005-0000-0000-0000C40A0000}"/>
    <cellStyle name="Normal 2 2 2 13" xfId="2954" xr:uid="{00000000-0005-0000-0000-0000C50A0000}"/>
    <cellStyle name="Normal 2 2 2 14" xfId="2955" xr:uid="{00000000-0005-0000-0000-0000C60A0000}"/>
    <cellStyle name="Normal 2 2 2 15" xfId="2956" xr:uid="{00000000-0005-0000-0000-0000C70A0000}"/>
    <cellStyle name="Normal 2 2 2 16" xfId="2957" xr:uid="{00000000-0005-0000-0000-0000C80A0000}"/>
    <cellStyle name="Normal 2 2 2 17" xfId="2958" xr:uid="{00000000-0005-0000-0000-0000C90A0000}"/>
    <cellStyle name="Normal 2 2 2 18" xfId="2959" xr:uid="{00000000-0005-0000-0000-0000CA0A0000}"/>
    <cellStyle name="Normal 2 2 2 19" xfId="2960" xr:uid="{00000000-0005-0000-0000-0000CB0A0000}"/>
    <cellStyle name="Normal 2 2 2 2" xfId="460" xr:uid="{00000000-0005-0000-0000-0000CC0A0000}"/>
    <cellStyle name="Normal 2 2 2 2 10" xfId="2961" xr:uid="{00000000-0005-0000-0000-0000CD0A0000}"/>
    <cellStyle name="Normal 2 2 2 2 11" xfId="2962" xr:uid="{00000000-0005-0000-0000-0000CE0A0000}"/>
    <cellStyle name="Normal 2 2 2 2 12" xfId="2963" xr:uid="{00000000-0005-0000-0000-0000CF0A0000}"/>
    <cellStyle name="Normal 2 2 2 2 13" xfId="2964" xr:uid="{00000000-0005-0000-0000-0000D00A0000}"/>
    <cellStyle name="Normal 2 2 2 2 14" xfId="2965" xr:uid="{00000000-0005-0000-0000-0000D10A0000}"/>
    <cellStyle name="Normal 2 2 2 2 15" xfId="2966" xr:uid="{00000000-0005-0000-0000-0000D20A0000}"/>
    <cellStyle name="Normal 2 2 2 2 15 2" xfId="2967" xr:uid="{00000000-0005-0000-0000-0000D30A0000}"/>
    <cellStyle name="Normal 2 2 2 2 15 3" xfId="2968" xr:uid="{00000000-0005-0000-0000-0000D40A0000}"/>
    <cellStyle name="Normal 2 2 2 2 16" xfId="2969" xr:uid="{00000000-0005-0000-0000-0000D50A0000}"/>
    <cellStyle name="Normal 2 2 2 2 17" xfId="2970" xr:uid="{00000000-0005-0000-0000-0000D60A0000}"/>
    <cellStyle name="Normal 2 2 2 2 18" xfId="2971" xr:uid="{00000000-0005-0000-0000-0000D70A0000}"/>
    <cellStyle name="Normal 2 2 2 2 18 2" xfId="2972" xr:uid="{00000000-0005-0000-0000-0000D80A0000}"/>
    <cellStyle name="Normal 2 2 2 2 18 3" xfId="2973" xr:uid="{00000000-0005-0000-0000-0000D90A0000}"/>
    <cellStyle name="Normal 2 2 2 2 19" xfId="2974" xr:uid="{00000000-0005-0000-0000-0000DA0A0000}"/>
    <cellStyle name="Normal 2 2 2 2 19 2" xfId="2975" xr:uid="{00000000-0005-0000-0000-0000DB0A0000}"/>
    <cellStyle name="Normal 2 2 2 2 19 3" xfId="2976" xr:uid="{00000000-0005-0000-0000-0000DC0A0000}"/>
    <cellStyle name="Normal 2 2 2 2 2" xfId="2977" xr:uid="{00000000-0005-0000-0000-0000DD0A0000}"/>
    <cellStyle name="Normal 2 2 2 2 2 10" xfId="2978" xr:uid="{00000000-0005-0000-0000-0000DE0A0000}"/>
    <cellStyle name="Normal 2 2 2 2 2 11" xfId="2979" xr:uid="{00000000-0005-0000-0000-0000DF0A0000}"/>
    <cellStyle name="Normal 2 2 2 2 2 12" xfId="2980" xr:uid="{00000000-0005-0000-0000-0000E00A0000}"/>
    <cellStyle name="Normal 2 2 2 2 2 13" xfId="2981" xr:uid="{00000000-0005-0000-0000-0000E10A0000}"/>
    <cellStyle name="Normal 2 2 2 2 2 14" xfId="2982" xr:uid="{00000000-0005-0000-0000-0000E20A0000}"/>
    <cellStyle name="Normal 2 2 2 2 2 15" xfId="2983" xr:uid="{00000000-0005-0000-0000-0000E30A0000}"/>
    <cellStyle name="Normal 2 2 2 2 2 16" xfId="2984" xr:uid="{00000000-0005-0000-0000-0000E40A0000}"/>
    <cellStyle name="Normal 2 2 2 2 2 17" xfId="2985" xr:uid="{00000000-0005-0000-0000-0000E50A0000}"/>
    <cellStyle name="Normal 2 2 2 2 2 18" xfId="2986" xr:uid="{00000000-0005-0000-0000-0000E60A0000}"/>
    <cellStyle name="Normal 2 2 2 2 2 19" xfId="2987" xr:uid="{00000000-0005-0000-0000-0000E70A0000}"/>
    <cellStyle name="Normal 2 2 2 2 2 2" xfId="2988" xr:uid="{00000000-0005-0000-0000-0000E80A0000}"/>
    <cellStyle name="Normal 2 2 2 2 2 2 10" xfId="2989" xr:uid="{00000000-0005-0000-0000-0000E90A0000}"/>
    <cellStyle name="Normal 2 2 2 2 2 2 11" xfId="2990" xr:uid="{00000000-0005-0000-0000-0000EA0A0000}"/>
    <cellStyle name="Normal 2 2 2 2 2 2 12" xfId="2991" xr:uid="{00000000-0005-0000-0000-0000EB0A0000}"/>
    <cellStyle name="Normal 2 2 2 2 2 2 13" xfId="2992" xr:uid="{00000000-0005-0000-0000-0000EC0A0000}"/>
    <cellStyle name="Normal 2 2 2 2 2 2 14" xfId="2993" xr:uid="{00000000-0005-0000-0000-0000ED0A0000}"/>
    <cellStyle name="Normal 2 2 2 2 2 2 15" xfId="2994" xr:uid="{00000000-0005-0000-0000-0000EE0A0000}"/>
    <cellStyle name="Normal 2 2 2 2 2 2 16" xfId="2995" xr:uid="{00000000-0005-0000-0000-0000EF0A0000}"/>
    <cellStyle name="Normal 2 2 2 2 2 2 17" xfId="2996" xr:uid="{00000000-0005-0000-0000-0000F00A0000}"/>
    <cellStyle name="Normal 2 2 2 2 2 2 2" xfId="2997" xr:uid="{00000000-0005-0000-0000-0000F10A0000}"/>
    <cellStyle name="Normal 2 2 2 2 2 2 2 10" xfId="2998" xr:uid="{00000000-0005-0000-0000-0000F20A0000}"/>
    <cellStyle name="Normal 2 2 2 2 2 2 2 2" xfId="2999" xr:uid="{00000000-0005-0000-0000-0000F30A0000}"/>
    <cellStyle name="Normal 2 2 2 2 2 2 2 2 2" xfId="3000" xr:uid="{00000000-0005-0000-0000-0000F40A0000}"/>
    <cellStyle name="Normal 2 2 2 2 2 2 2 2 2 10" xfId="3001" xr:uid="{00000000-0005-0000-0000-0000F50A0000}"/>
    <cellStyle name="Normal 2 2 2 2 2 2 2 2 2 10 2" xfId="21190" xr:uid="{00000000-0005-0000-0000-0000F60A0000}"/>
    <cellStyle name="Normal 2 2 2 2 2 2 2 2 2 11" xfId="3002" xr:uid="{00000000-0005-0000-0000-0000F70A0000}"/>
    <cellStyle name="Normal 2 2 2 2 2 2 2 2 2 11 2" xfId="21191" xr:uid="{00000000-0005-0000-0000-0000F80A0000}"/>
    <cellStyle name="Normal 2 2 2 2 2 2 2 2 2 12" xfId="3003" xr:uid="{00000000-0005-0000-0000-0000F90A0000}"/>
    <cellStyle name="Normal 2 2 2 2 2 2 2 2 2 12 2" xfId="21192" xr:uid="{00000000-0005-0000-0000-0000FA0A0000}"/>
    <cellStyle name="Normal 2 2 2 2 2 2 2 2 2 13" xfId="3004" xr:uid="{00000000-0005-0000-0000-0000FB0A0000}"/>
    <cellStyle name="Normal 2 2 2 2 2 2 2 2 2 13 2" xfId="21193" xr:uid="{00000000-0005-0000-0000-0000FC0A0000}"/>
    <cellStyle name="Normal 2 2 2 2 2 2 2 2 2 14" xfId="3005" xr:uid="{00000000-0005-0000-0000-0000FD0A0000}"/>
    <cellStyle name="Normal 2 2 2 2 2 2 2 2 2 14 2" xfId="21194" xr:uid="{00000000-0005-0000-0000-0000FE0A0000}"/>
    <cellStyle name="Normal 2 2 2 2 2 2 2 2 2 15" xfId="21189" xr:uid="{00000000-0005-0000-0000-0000FF0A0000}"/>
    <cellStyle name="Normal 2 2 2 2 2 2 2 2 2 2" xfId="3006" xr:uid="{00000000-0005-0000-0000-0000000B0000}"/>
    <cellStyle name="Normal 2 2 2 2 2 2 2 2 2 2 2" xfId="21195" xr:uid="{00000000-0005-0000-0000-0000010B0000}"/>
    <cellStyle name="Normal 2 2 2 2 2 2 2 2 2 3" xfId="3007" xr:uid="{00000000-0005-0000-0000-0000020B0000}"/>
    <cellStyle name="Normal 2 2 2 2 2 2 2 2 2 3 2" xfId="21196" xr:uid="{00000000-0005-0000-0000-0000030B0000}"/>
    <cellStyle name="Normal 2 2 2 2 2 2 2 2 2 4" xfId="3008" xr:uid="{00000000-0005-0000-0000-0000040B0000}"/>
    <cellStyle name="Normal 2 2 2 2 2 2 2 2 2 4 2" xfId="21197" xr:uid="{00000000-0005-0000-0000-0000050B0000}"/>
    <cellStyle name="Normal 2 2 2 2 2 2 2 2 2 5" xfId="3009" xr:uid="{00000000-0005-0000-0000-0000060B0000}"/>
    <cellStyle name="Normal 2 2 2 2 2 2 2 2 2 5 2" xfId="21198" xr:uid="{00000000-0005-0000-0000-0000070B0000}"/>
    <cellStyle name="Normal 2 2 2 2 2 2 2 2 2 6" xfId="3010" xr:uid="{00000000-0005-0000-0000-0000080B0000}"/>
    <cellStyle name="Normal 2 2 2 2 2 2 2 2 2 6 2" xfId="21199" xr:uid="{00000000-0005-0000-0000-0000090B0000}"/>
    <cellStyle name="Normal 2 2 2 2 2 2 2 2 2 7" xfId="3011" xr:uid="{00000000-0005-0000-0000-00000A0B0000}"/>
    <cellStyle name="Normal 2 2 2 2 2 2 2 2 2 7 2" xfId="21200" xr:uid="{00000000-0005-0000-0000-00000B0B0000}"/>
    <cellStyle name="Normal 2 2 2 2 2 2 2 2 2 8" xfId="3012" xr:uid="{00000000-0005-0000-0000-00000C0B0000}"/>
    <cellStyle name="Normal 2 2 2 2 2 2 2 2 2 8 2" xfId="21201" xr:uid="{00000000-0005-0000-0000-00000D0B0000}"/>
    <cellStyle name="Normal 2 2 2 2 2 2 2 2 2 9" xfId="3013" xr:uid="{00000000-0005-0000-0000-00000E0B0000}"/>
    <cellStyle name="Normal 2 2 2 2 2 2 2 2 2 9 2" xfId="21202" xr:uid="{00000000-0005-0000-0000-00000F0B0000}"/>
    <cellStyle name="Normal 2 2 2 2 2 2 2 3" xfId="3014" xr:uid="{00000000-0005-0000-0000-0000100B0000}"/>
    <cellStyle name="Normal 2 2 2 2 2 2 2 4" xfId="3015" xr:uid="{00000000-0005-0000-0000-0000110B0000}"/>
    <cellStyle name="Normal 2 2 2 2 2 2 2 5" xfId="3016" xr:uid="{00000000-0005-0000-0000-0000120B0000}"/>
    <cellStyle name="Normal 2 2 2 2 2 2 2 6" xfId="3017" xr:uid="{00000000-0005-0000-0000-0000130B0000}"/>
    <cellStyle name="Normal 2 2 2 2 2 2 2 7" xfId="3018" xr:uid="{00000000-0005-0000-0000-0000140B0000}"/>
    <cellStyle name="Normal 2 2 2 2 2 2 2 8" xfId="3019" xr:uid="{00000000-0005-0000-0000-0000150B0000}"/>
    <cellStyle name="Normal 2 2 2 2 2 2 2 9" xfId="3020" xr:uid="{00000000-0005-0000-0000-0000160B0000}"/>
    <cellStyle name="Normal 2 2 2 2 2 2 3" xfId="3021" xr:uid="{00000000-0005-0000-0000-0000170B0000}"/>
    <cellStyle name="Normal 2 2 2 2 2 2 4" xfId="3022" xr:uid="{00000000-0005-0000-0000-0000180B0000}"/>
    <cellStyle name="Normal 2 2 2 2 2 2 5" xfId="3023" xr:uid="{00000000-0005-0000-0000-0000190B0000}"/>
    <cellStyle name="Normal 2 2 2 2 2 2 6" xfId="3024" xr:uid="{00000000-0005-0000-0000-00001A0B0000}"/>
    <cellStyle name="Normal 2 2 2 2 2 2 7" xfId="3025" xr:uid="{00000000-0005-0000-0000-00001B0B0000}"/>
    <cellStyle name="Normal 2 2 2 2 2 2 8" xfId="3026" xr:uid="{00000000-0005-0000-0000-00001C0B0000}"/>
    <cellStyle name="Normal 2 2 2 2 2 2 9" xfId="3027" xr:uid="{00000000-0005-0000-0000-00001D0B0000}"/>
    <cellStyle name="Normal 2 2 2 2 2 3" xfId="3028" xr:uid="{00000000-0005-0000-0000-00001E0B0000}"/>
    <cellStyle name="Normal 2 2 2 2 2 4" xfId="3029" xr:uid="{00000000-0005-0000-0000-00001F0B0000}"/>
    <cellStyle name="Normal 2 2 2 2 2 5" xfId="3030" xr:uid="{00000000-0005-0000-0000-0000200B0000}"/>
    <cellStyle name="Normal 2 2 2 2 2 5 2" xfId="3031" xr:uid="{00000000-0005-0000-0000-0000210B0000}"/>
    <cellStyle name="Normal 2 2 2 2 2 5 3" xfId="3032" xr:uid="{00000000-0005-0000-0000-0000220B0000}"/>
    <cellStyle name="Normal 2 2 2 2 2 6" xfId="3033" xr:uid="{00000000-0005-0000-0000-0000230B0000}"/>
    <cellStyle name="Normal 2 2 2 2 2 6 2" xfId="3034" xr:uid="{00000000-0005-0000-0000-0000240B0000}"/>
    <cellStyle name="Normal 2 2 2 2 2 6 3" xfId="3035" xr:uid="{00000000-0005-0000-0000-0000250B0000}"/>
    <cellStyle name="Normal 2 2 2 2 2 7" xfId="3036" xr:uid="{00000000-0005-0000-0000-0000260B0000}"/>
    <cellStyle name="Normal 2 2 2 2 2 7 2" xfId="3037" xr:uid="{00000000-0005-0000-0000-0000270B0000}"/>
    <cellStyle name="Normal 2 2 2 2 2 7 3" xfId="3038" xr:uid="{00000000-0005-0000-0000-0000280B0000}"/>
    <cellStyle name="Normal 2 2 2 2 2 8" xfId="3039" xr:uid="{00000000-0005-0000-0000-0000290B0000}"/>
    <cellStyle name="Normal 2 2 2 2 2 8 2" xfId="3040" xr:uid="{00000000-0005-0000-0000-00002A0B0000}"/>
    <cellStyle name="Normal 2 2 2 2 2 8 3" xfId="3041" xr:uid="{00000000-0005-0000-0000-00002B0B0000}"/>
    <cellStyle name="Normal 2 2 2 2 2 9" xfId="3042" xr:uid="{00000000-0005-0000-0000-00002C0B0000}"/>
    <cellStyle name="Normal 2 2 2 2 2 9 2" xfId="3043" xr:uid="{00000000-0005-0000-0000-00002D0B0000}"/>
    <cellStyle name="Normal 2 2 2 2 2 9 3" xfId="3044" xr:uid="{00000000-0005-0000-0000-00002E0B0000}"/>
    <cellStyle name="Normal 2 2 2 2 20" xfId="3045" xr:uid="{00000000-0005-0000-0000-00002F0B0000}"/>
    <cellStyle name="Normal 2 2 2 2 20 2" xfId="3046" xr:uid="{00000000-0005-0000-0000-0000300B0000}"/>
    <cellStyle name="Normal 2 2 2 2 20 3" xfId="3047" xr:uid="{00000000-0005-0000-0000-0000310B0000}"/>
    <cellStyle name="Normal 2 2 2 2 21" xfId="3048" xr:uid="{00000000-0005-0000-0000-0000320B0000}"/>
    <cellStyle name="Normal 2 2 2 2 21 2" xfId="3049" xr:uid="{00000000-0005-0000-0000-0000330B0000}"/>
    <cellStyle name="Normal 2 2 2 2 21 3" xfId="3050" xr:uid="{00000000-0005-0000-0000-0000340B0000}"/>
    <cellStyle name="Normal 2 2 2 2 22" xfId="3051" xr:uid="{00000000-0005-0000-0000-0000350B0000}"/>
    <cellStyle name="Normal 2 2 2 2 23" xfId="3052" xr:uid="{00000000-0005-0000-0000-0000360B0000}"/>
    <cellStyle name="Normal 2 2 2 2 24" xfId="3053" xr:uid="{00000000-0005-0000-0000-0000370B0000}"/>
    <cellStyle name="Normal 2 2 2 2 25" xfId="3054" xr:uid="{00000000-0005-0000-0000-0000380B0000}"/>
    <cellStyle name="Normal 2 2 2 2 26" xfId="3055" xr:uid="{00000000-0005-0000-0000-0000390B0000}"/>
    <cellStyle name="Normal 2 2 2 2 27" xfId="3056" xr:uid="{00000000-0005-0000-0000-00003A0B0000}"/>
    <cellStyle name="Normal 2 2 2 2 28" xfId="3057" xr:uid="{00000000-0005-0000-0000-00003B0B0000}"/>
    <cellStyle name="Normal 2 2 2 2 29" xfId="3058" xr:uid="{00000000-0005-0000-0000-00003C0B0000}"/>
    <cellStyle name="Normal 2 2 2 2 3" xfId="3059" xr:uid="{00000000-0005-0000-0000-00003D0B0000}"/>
    <cellStyle name="Normal 2 2 2 2 30" xfId="3060" xr:uid="{00000000-0005-0000-0000-00003E0B0000}"/>
    <cellStyle name="Normal 2 2 2 2 31" xfId="3061" xr:uid="{00000000-0005-0000-0000-00003F0B0000}"/>
    <cellStyle name="Normal 2 2 2 2 32" xfId="3062" xr:uid="{00000000-0005-0000-0000-0000400B0000}"/>
    <cellStyle name="Normal 2 2 2 2 4" xfId="3063" xr:uid="{00000000-0005-0000-0000-0000410B0000}"/>
    <cellStyle name="Normal 2 2 2 2 5" xfId="3064" xr:uid="{00000000-0005-0000-0000-0000420B0000}"/>
    <cellStyle name="Normal 2 2 2 2 6" xfId="3065" xr:uid="{00000000-0005-0000-0000-0000430B0000}"/>
    <cellStyle name="Normal 2 2 2 2 7" xfId="3066" xr:uid="{00000000-0005-0000-0000-0000440B0000}"/>
    <cellStyle name="Normal 2 2 2 2 8" xfId="3067" xr:uid="{00000000-0005-0000-0000-0000450B0000}"/>
    <cellStyle name="Normal 2 2 2 2 9" xfId="3068" xr:uid="{00000000-0005-0000-0000-0000460B0000}"/>
    <cellStyle name="Normal 2 2 2 20" xfId="3069" xr:uid="{00000000-0005-0000-0000-0000470B0000}"/>
    <cellStyle name="Normal 2 2 2 20 2" xfId="3070" xr:uid="{00000000-0005-0000-0000-0000480B0000}"/>
    <cellStyle name="Normal 2 2 2 20 3" xfId="3071" xr:uid="{00000000-0005-0000-0000-0000490B0000}"/>
    <cellStyle name="Normal 2 2 2 21" xfId="3072" xr:uid="{00000000-0005-0000-0000-00004A0B0000}"/>
    <cellStyle name="Normal 2 2 2 22" xfId="3073" xr:uid="{00000000-0005-0000-0000-00004B0B0000}"/>
    <cellStyle name="Normal 2 2 2 23" xfId="3074" xr:uid="{00000000-0005-0000-0000-00004C0B0000}"/>
    <cellStyle name="Normal 2 2 2 23 2" xfId="3075" xr:uid="{00000000-0005-0000-0000-00004D0B0000}"/>
    <cellStyle name="Normal 2 2 2 23 3" xfId="3076" xr:uid="{00000000-0005-0000-0000-00004E0B0000}"/>
    <cellStyle name="Normal 2 2 2 24" xfId="3077" xr:uid="{00000000-0005-0000-0000-00004F0B0000}"/>
    <cellStyle name="Normal 2 2 2 24 2" xfId="3078" xr:uid="{00000000-0005-0000-0000-0000500B0000}"/>
    <cellStyle name="Normal 2 2 2 24 3" xfId="3079" xr:uid="{00000000-0005-0000-0000-0000510B0000}"/>
    <cellStyle name="Normal 2 2 2 25" xfId="3080" xr:uid="{00000000-0005-0000-0000-0000520B0000}"/>
    <cellStyle name="Normal 2 2 2 25 2" xfId="3081" xr:uid="{00000000-0005-0000-0000-0000530B0000}"/>
    <cellStyle name="Normal 2 2 2 25 3" xfId="3082" xr:uid="{00000000-0005-0000-0000-0000540B0000}"/>
    <cellStyle name="Normal 2 2 2 26" xfId="3083" xr:uid="{00000000-0005-0000-0000-0000550B0000}"/>
    <cellStyle name="Normal 2 2 2 26 2" xfId="3084" xr:uid="{00000000-0005-0000-0000-0000560B0000}"/>
    <cellStyle name="Normal 2 2 2 26 3" xfId="3085" xr:uid="{00000000-0005-0000-0000-0000570B0000}"/>
    <cellStyle name="Normal 2 2 2 27" xfId="3086" xr:uid="{00000000-0005-0000-0000-0000580B0000}"/>
    <cellStyle name="Normal 2 2 2 28" xfId="3087" xr:uid="{00000000-0005-0000-0000-0000590B0000}"/>
    <cellStyle name="Normal 2 2 2 29" xfId="3088" xr:uid="{00000000-0005-0000-0000-00005A0B0000}"/>
    <cellStyle name="Normal 2 2 2 3" xfId="601" xr:uid="{00000000-0005-0000-0000-00005B0B0000}"/>
    <cellStyle name="Normal 2 2 2 3 2" xfId="3089" xr:uid="{00000000-0005-0000-0000-00005C0B0000}"/>
    <cellStyle name="Normal 2 2 2 30" xfId="3090" xr:uid="{00000000-0005-0000-0000-00005D0B0000}"/>
    <cellStyle name="Normal 2 2 2 31" xfId="3091" xr:uid="{00000000-0005-0000-0000-00005E0B0000}"/>
    <cellStyle name="Normal 2 2 2 32" xfId="3092" xr:uid="{00000000-0005-0000-0000-00005F0B0000}"/>
    <cellStyle name="Normal 2 2 2 33" xfId="3093" xr:uid="{00000000-0005-0000-0000-0000600B0000}"/>
    <cellStyle name="Normal 2 2 2 34" xfId="3094" xr:uid="{00000000-0005-0000-0000-0000610B0000}"/>
    <cellStyle name="Normal 2 2 2 35" xfId="3095" xr:uid="{00000000-0005-0000-0000-0000620B0000}"/>
    <cellStyle name="Normal 2 2 2 36" xfId="3096" xr:uid="{00000000-0005-0000-0000-0000630B0000}"/>
    <cellStyle name="Normal 2 2 2 37" xfId="3097" xr:uid="{00000000-0005-0000-0000-0000640B0000}"/>
    <cellStyle name="Normal 2 2 2 38" xfId="37655" xr:uid="{00000000-0005-0000-0000-0000650B0000}"/>
    <cellStyle name="Normal 2 2 2 4" xfId="3098" xr:uid="{00000000-0005-0000-0000-0000660B0000}"/>
    <cellStyle name="Normal 2 2 2 4 2" xfId="3099" xr:uid="{00000000-0005-0000-0000-0000670B0000}"/>
    <cellStyle name="Normal 2 2 2 5" xfId="3100" xr:uid="{00000000-0005-0000-0000-0000680B0000}"/>
    <cellStyle name="Normal 2 2 2 5 2" xfId="3101" xr:uid="{00000000-0005-0000-0000-0000690B0000}"/>
    <cellStyle name="Normal 2 2 2 6" xfId="3102" xr:uid="{00000000-0005-0000-0000-00006A0B0000}"/>
    <cellStyle name="Normal 2 2 2 6 2" xfId="3103" xr:uid="{00000000-0005-0000-0000-00006B0B0000}"/>
    <cellStyle name="Normal 2 2 2 7" xfId="3104" xr:uid="{00000000-0005-0000-0000-00006C0B0000}"/>
    <cellStyle name="Normal 2 2 2 7 2" xfId="3105" xr:uid="{00000000-0005-0000-0000-00006D0B0000}"/>
    <cellStyle name="Normal 2 2 2 8" xfId="3106" xr:uid="{00000000-0005-0000-0000-00006E0B0000}"/>
    <cellStyle name="Normal 2 2 2 8 10" xfId="3107" xr:uid="{00000000-0005-0000-0000-00006F0B0000}"/>
    <cellStyle name="Normal 2 2 2 8 11" xfId="3108" xr:uid="{00000000-0005-0000-0000-0000700B0000}"/>
    <cellStyle name="Normal 2 2 2 8 2" xfId="3109" xr:uid="{00000000-0005-0000-0000-0000710B0000}"/>
    <cellStyle name="Normal 2 2 2 8 2 2" xfId="3110" xr:uid="{00000000-0005-0000-0000-0000720B0000}"/>
    <cellStyle name="Normal 2 2 2 8 2 3" xfId="3111" xr:uid="{00000000-0005-0000-0000-0000730B0000}"/>
    <cellStyle name="Normal 2 2 2 8 2 4" xfId="3112" xr:uid="{00000000-0005-0000-0000-0000740B0000}"/>
    <cellStyle name="Normal 2 2 2 8 2 5" xfId="3113" xr:uid="{00000000-0005-0000-0000-0000750B0000}"/>
    <cellStyle name="Normal 2 2 2 8 2 6" xfId="3114" xr:uid="{00000000-0005-0000-0000-0000760B0000}"/>
    <cellStyle name="Normal 2 2 2 8 2 7" xfId="3115" xr:uid="{00000000-0005-0000-0000-0000770B0000}"/>
    <cellStyle name="Normal 2 2 2 8 2 8" xfId="3116" xr:uid="{00000000-0005-0000-0000-0000780B0000}"/>
    <cellStyle name="Normal 2 2 2 8 2 9" xfId="3117" xr:uid="{00000000-0005-0000-0000-0000790B0000}"/>
    <cellStyle name="Normal 2 2 2 8 3" xfId="3118" xr:uid="{00000000-0005-0000-0000-00007A0B0000}"/>
    <cellStyle name="Normal 2 2 2 8 4" xfId="3119" xr:uid="{00000000-0005-0000-0000-00007B0B0000}"/>
    <cellStyle name="Normal 2 2 2 8 5" xfId="3120" xr:uid="{00000000-0005-0000-0000-00007C0B0000}"/>
    <cellStyle name="Normal 2 2 2 8 5 2" xfId="3121" xr:uid="{00000000-0005-0000-0000-00007D0B0000}"/>
    <cellStyle name="Normal 2 2 2 8 5 3" xfId="3122" xr:uid="{00000000-0005-0000-0000-00007E0B0000}"/>
    <cellStyle name="Normal 2 2 2 8 6" xfId="3123" xr:uid="{00000000-0005-0000-0000-00007F0B0000}"/>
    <cellStyle name="Normal 2 2 2 8 6 2" xfId="3124" xr:uid="{00000000-0005-0000-0000-0000800B0000}"/>
    <cellStyle name="Normal 2 2 2 8 6 3" xfId="3125" xr:uid="{00000000-0005-0000-0000-0000810B0000}"/>
    <cellStyle name="Normal 2 2 2 8 7" xfId="3126" xr:uid="{00000000-0005-0000-0000-0000820B0000}"/>
    <cellStyle name="Normal 2 2 2 8 7 2" xfId="3127" xr:uid="{00000000-0005-0000-0000-0000830B0000}"/>
    <cellStyle name="Normal 2 2 2 8 7 3" xfId="3128" xr:uid="{00000000-0005-0000-0000-0000840B0000}"/>
    <cellStyle name="Normal 2 2 2 8 8" xfId="3129" xr:uid="{00000000-0005-0000-0000-0000850B0000}"/>
    <cellStyle name="Normal 2 2 2 8 8 2" xfId="3130" xr:uid="{00000000-0005-0000-0000-0000860B0000}"/>
    <cellStyle name="Normal 2 2 2 8 8 3" xfId="3131" xr:uid="{00000000-0005-0000-0000-0000870B0000}"/>
    <cellStyle name="Normal 2 2 2 8 9" xfId="3132" xr:uid="{00000000-0005-0000-0000-0000880B0000}"/>
    <cellStyle name="Normal 2 2 2 8 9 2" xfId="3133" xr:uid="{00000000-0005-0000-0000-0000890B0000}"/>
    <cellStyle name="Normal 2 2 2 8 9 3" xfId="3134" xr:uid="{00000000-0005-0000-0000-00008A0B0000}"/>
    <cellStyle name="Normal 2 2 2 9" xfId="3135" xr:uid="{00000000-0005-0000-0000-00008B0B0000}"/>
    <cellStyle name="Normal 2 2 20" xfId="3136" xr:uid="{00000000-0005-0000-0000-00008C0B0000}"/>
    <cellStyle name="Normal 2 2 20 2" xfId="3137" xr:uid="{00000000-0005-0000-0000-00008D0B0000}"/>
    <cellStyle name="Normal 2 2 20 3" xfId="3138" xr:uid="{00000000-0005-0000-0000-00008E0B0000}"/>
    <cellStyle name="Normal 2 2 21" xfId="3139" xr:uid="{00000000-0005-0000-0000-00008F0B0000}"/>
    <cellStyle name="Normal 2 2 22" xfId="3140" xr:uid="{00000000-0005-0000-0000-0000900B0000}"/>
    <cellStyle name="Normal 2 2 23" xfId="3141" xr:uid="{00000000-0005-0000-0000-0000910B0000}"/>
    <cellStyle name="Normal 2 2 23 2" xfId="3142" xr:uid="{00000000-0005-0000-0000-0000920B0000}"/>
    <cellStyle name="Normal 2 2 23 3" xfId="3143" xr:uid="{00000000-0005-0000-0000-0000930B0000}"/>
    <cellStyle name="Normal 2 2 24" xfId="3144" xr:uid="{00000000-0005-0000-0000-0000940B0000}"/>
    <cellStyle name="Normal 2 2 24 2" xfId="3145" xr:uid="{00000000-0005-0000-0000-0000950B0000}"/>
    <cellStyle name="Normal 2 2 24 3" xfId="3146" xr:uid="{00000000-0005-0000-0000-0000960B0000}"/>
    <cellStyle name="Normal 2 2 25" xfId="3147" xr:uid="{00000000-0005-0000-0000-0000970B0000}"/>
    <cellStyle name="Normal 2 2 25 2" xfId="3148" xr:uid="{00000000-0005-0000-0000-0000980B0000}"/>
    <cellStyle name="Normal 2 2 25 3" xfId="3149" xr:uid="{00000000-0005-0000-0000-0000990B0000}"/>
    <cellStyle name="Normal 2 2 26" xfId="3150" xr:uid="{00000000-0005-0000-0000-00009A0B0000}"/>
    <cellStyle name="Normal 2 2 26 2" xfId="3151" xr:uid="{00000000-0005-0000-0000-00009B0B0000}"/>
    <cellStyle name="Normal 2 2 26 3" xfId="3152" xr:uid="{00000000-0005-0000-0000-00009C0B0000}"/>
    <cellStyle name="Normal 2 2 27" xfId="3153" xr:uid="{00000000-0005-0000-0000-00009D0B0000}"/>
    <cellStyle name="Normal 2 2 28" xfId="3154" xr:uid="{00000000-0005-0000-0000-00009E0B0000}"/>
    <cellStyle name="Normal 2 2 29" xfId="3155" xr:uid="{00000000-0005-0000-0000-00009F0B0000}"/>
    <cellStyle name="Normal 2 2 3" xfId="38" xr:uid="{00000000-0005-0000-0000-0000A00B0000}"/>
    <cellStyle name="Normal 2 2 3 2" xfId="37656" xr:uid="{00000000-0005-0000-0000-0000A10B0000}"/>
    <cellStyle name="Normal 2 2 3 3" xfId="21203" xr:uid="{00000000-0005-0000-0000-0000A20B0000}"/>
    <cellStyle name="Normal 2 2 30" xfId="3156" xr:uid="{00000000-0005-0000-0000-0000A30B0000}"/>
    <cellStyle name="Normal 2 2 31" xfId="3157" xr:uid="{00000000-0005-0000-0000-0000A40B0000}"/>
    <cellStyle name="Normal 2 2 32" xfId="3158" xr:uid="{00000000-0005-0000-0000-0000A50B0000}"/>
    <cellStyle name="Normal 2 2 33" xfId="3159" xr:uid="{00000000-0005-0000-0000-0000A60B0000}"/>
    <cellStyle name="Normal 2 2 34" xfId="3160" xr:uid="{00000000-0005-0000-0000-0000A70B0000}"/>
    <cellStyle name="Normal 2 2 35" xfId="3161" xr:uid="{00000000-0005-0000-0000-0000A80B0000}"/>
    <cellStyle name="Normal 2 2 36" xfId="3162" xr:uid="{00000000-0005-0000-0000-0000A90B0000}"/>
    <cellStyle name="Normal 2 2 37" xfId="3163" xr:uid="{00000000-0005-0000-0000-0000AA0B0000}"/>
    <cellStyle name="Normal 2 2 38" xfId="21146" xr:uid="{00000000-0005-0000-0000-0000AB0B0000}"/>
    <cellStyle name="Normal 2 2 4" xfId="39" xr:uid="{00000000-0005-0000-0000-0000AC0B0000}"/>
    <cellStyle name="Normal 2 2 4 2" xfId="37657" xr:uid="{00000000-0005-0000-0000-0000AD0B0000}"/>
    <cellStyle name="Normal 2 2 4 3" xfId="21204" xr:uid="{00000000-0005-0000-0000-0000AE0B0000}"/>
    <cellStyle name="Normal 2 2 5" xfId="40" xr:uid="{00000000-0005-0000-0000-0000AF0B0000}"/>
    <cellStyle name="Normal 2 2 5 2" xfId="37658" xr:uid="{00000000-0005-0000-0000-0000B00B0000}"/>
    <cellStyle name="Normal 2 2 5 3" xfId="21205" xr:uid="{00000000-0005-0000-0000-0000B10B0000}"/>
    <cellStyle name="Normal 2 2 6" xfId="41" xr:uid="{00000000-0005-0000-0000-0000B20B0000}"/>
    <cellStyle name="Normal 2 2 6 2" xfId="37659" xr:uid="{00000000-0005-0000-0000-0000B30B0000}"/>
    <cellStyle name="Normal 2 2 6 3" xfId="21206" xr:uid="{00000000-0005-0000-0000-0000B40B0000}"/>
    <cellStyle name="Normal 2 2 7" xfId="42" xr:uid="{00000000-0005-0000-0000-0000B50B0000}"/>
    <cellStyle name="Normal 2 2 7 2" xfId="37660" xr:uid="{00000000-0005-0000-0000-0000B60B0000}"/>
    <cellStyle name="Normal 2 2 7 3" xfId="21207" xr:uid="{00000000-0005-0000-0000-0000B70B0000}"/>
    <cellStyle name="Normal 2 2 8" xfId="43" xr:uid="{00000000-0005-0000-0000-0000B80B0000}"/>
    <cellStyle name="Normal 2 2 8 10" xfId="3164" xr:uid="{00000000-0005-0000-0000-0000B90B0000}"/>
    <cellStyle name="Normal 2 2 8 11" xfId="3165" xr:uid="{00000000-0005-0000-0000-0000BA0B0000}"/>
    <cellStyle name="Normal 2 2 8 12" xfId="37661" xr:uid="{00000000-0005-0000-0000-0000BB0B0000}"/>
    <cellStyle name="Normal 2 2 8 2" xfId="3166" xr:uid="{00000000-0005-0000-0000-0000BC0B0000}"/>
    <cellStyle name="Normal 2 2 8 2 2" xfId="3167" xr:uid="{00000000-0005-0000-0000-0000BD0B0000}"/>
    <cellStyle name="Normal 2 2 8 2 3" xfId="3168" xr:uid="{00000000-0005-0000-0000-0000BE0B0000}"/>
    <cellStyle name="Normal 2 2 8 2 4" xfId="3169" xr:uid="{00000000-0005-0000-0000-0000BF0B0000}"/>
    <cellStyle name="Normal 2 2 8 2 5" xfId="3170" xr:uid="{00000000-0005-0000-0000-0000C00B0000}"/>
    <cellStyle name="Normal 2 2 8 2 6" xfId="3171" xr:uid="{00000000-0005-0000-0000-0000C10B0000}"/>
    <cellStyle name="Normal 2 2 8 2 7" xfId="3172" xr:uid="{00000000-0005-0000-0000-0000C20B0000}"/>
    <cellStyle name="Normal 2 2 8 2 8" xfId="3173" xr:uid="{00000000-0005-0000-0000-0000C30B0000}"/>
    <cellStyle name="Normal 2 2 8 2 9" xfId="3174" xr:uid="{00000000-0005-0000-0000-0000C40B0000}"/>
    <cellStyle name="Normal 2 2 8 3" xfId="3175" xr:uid="{00000000-0005-0000-0000-0000C50B0000}"/>
    <cellStyle name="Normal 2 2 8 4" xfId="3176" xr:uid="{00000000-0005-0000-0000-0000C60B0000}"/>
    <cellStyle name="Normal 2 2 8 5" xfId="3177" xr:uid="{00000000-0005-0000-0000-0000C70B0000}"/>
    <cellStyle name="Normal 2 2 8 5 2" xfId="3178" xr:uid="{00000000-0005-0000-0000-0000C80B0000}"/>
    <cellStyle name="Normal 2 2 8 5 3" xfId="3179" xr:uid="{00000000-0005-0000-0000-0000C90B0000}"/>
    <cellStyle name="Normal 2 2 8 6" xfId="3180" xr:uid="{00000000-0005-0000-0000-0000CA0B0000}"/>
    <cellStyle name="Normal 2 2 8 6 2" xfId="3181" xr:uid="{00000000-0005-0000-0000-0000CB0B0000}"/>
    <cellStyle name="Normal 2 2 8 6 3" xfId="3182" xr:uid="{00000000-0005-0000-0000-0000CC0B0000}"/>
    <cellStyle name="Normal 2 2 8 7" xfId="3183" xr:uid="{00000000-0005-0000-0000-0000CD0B0000}"/>
    <cellStyle name="Normal 2 2 8 7 2" xfId="3184" xr:uid="{00000000-0005-0000-0000-0000CE0B0000}"/>
    <cellStyle name="Normal 2 2 8 7 3" xfId="3185" xr:uid="{00000000-0005-0000-0000-0000CF0B0000}"/>
    <cellStyle name="Normal 2 2 8 8" xfId="3186" xr:uid="{00000000-0005-0000-0000-0000D00B0000}"/>
    <cellStyle name="Normal 2 2 8 8 2" xfId="3187" xr:uid="{00000000-0005-0000-0000-0000D10B0000}"/>
    <cellStyle name="Normal 2 2 8 8 3" xfId="3188" xr:uid="{00000000-0005-0000-0000-0000D20B0000}"/>
    <cellStyle name="Normal 2 2 8 9" xfId="3189" xr:uid="{00000000-0005-0000-0000-0000D30B0000}"/>
    <cellStyle name="Normal 2 2 8 9 2" xfId="3190" xr:uid="{00000000-0005-0000-0000-0000D40B0000}"/>
    <cellStyle name="Normal 2 2 8 9 3" xfId="3191" xr:uid="{00000000-0005-0000-0000-0000D50B0000}"/>
    <cellStyle name="Normal 2 2 9" xfId="44" xr:uid="{00000000-0005-0000-0000-0000D60B0000}"/>
    <cellStyle name="Normal 2 2 9 2" xfId="37662" xr:uid="{00000000-0005-0000-0000-0000D70B0000}"/>
    <cellStyle name="Normal 2 2 9 3" xfId="21208" xr:uid="{00000000-0005-0000-0000-0000D80B0000}"/>
    <cellStyle name="Normal 2 2_Residential Inputs Inland" xfId="3192" xr:uid="{00000000-0005-0000-0000-0000D90B0000}"/>
    <cellStyle name="Normal 2 20" xfId="3193" xr:uid="{00000000-0005-0000-0000-0000DA0B0000}"/>
    <cellStyle name="Normal 2 20 2" xfId="3194" xr:uid="{00000000-0005-0000-0000-0000DB0B0000}"/>
    <cellStyle name="Normal 2 20 2 2" xfId="3195" xr:uid="{00000000-0005-0000-0000-0000DC0B0000}"/>
    <cellStyle name="Normal 2 20 2 3" xfId="3196" xr:uid="{00000000-0005-0000-0000-0000DD0B0000}"/>
    <cellStyle name="Normal 2 20 2 4" xfId="3197" xr:uid="{00000000-0005-0000-0000-0000DE0B0000}"/>
    <cellStyle name="Normal 2 20 3" xfId="3198" xr:uid="{00000000-0005-0000-0000-0000DF0B0000}"/>
    <cellStyle name="Normal 2 20 4" xfId="3199" xr:uid="{00000000-0005-0000-0000-0000E00B0000}"/>
    <cellStyle name="Normal 2 20 5" xfId="3200" xr:uid="{00000000-0005-0000-0000-0000E10B0000}"/>
    <cellStyle name="Normal 2 20 6" xfId="3201" xr:uid="{00000000-0005-0000-0000-0000E20B0000}"/>
    <cellStyle name="Normal 2 20 7" xfId="3202" xr:uid="{00000000-0005-0000-0000-0000E30B0000}"/>
    <cellStyle name="Normal 2 20 8" xfId="3203" xr:uid="{00000000-0005-0000-0000-0000E40B0000}"/>
    <cellStyle name="Normal 2 20 9" xfId="3204" xr:uid="{00000000-0005-0000-0000-0000E50B0000}"/>
    <cellStyle name="Normal 2 21" xfId="3205" xr:uid="{00000000-0005-0000-0000-0000E60B0000}"/>
    <cellStyle name="Normal 2 21 2" xfId="3206" xr:uid="{00000000-0005-0000-0000-0000E70B0000}"/>
    <cellStyle name="Normal 2 21 2 2" xfId="3207" xr:uid="{00000000-0005-0000-0000-0000E80B0000}"/>
    <cellStyle name="Normal 2 21 2 3" xfId="3208" xr:uid="{00000000-0005-0000-0000-0000E90B0000}"/>
    <cellStyle name="Normal 2 21 2 4" xfId="3209" xr:uid="{00000000-0005-0000-0000-0000EA0B0000}"/>
    <cellStyle name="Normal 2 21 3" xfId="3210" xr:uid="{00000000-0005-0000-0000-0000EB0B0000}"/>
    <cellStyle name="Normal 2 21 4" xfId="3211" xr:uid="{00000000-0005-0000-0000-0000EC0B0000}"/>
    <cellStyle name="Normal 2 21 5" xfId="3212" xr:uid="{00000000-0005-0000-0000-0000ED0B0000}"/>
    <cellStyle name="Normal 2 21 6" xfId="3213" xr:uid="{00000000-0005-0000-0000-0000EE0B0000}"/>
    <cellStyle name="Normal 2 21 7" xfId="3214" xr:uid="{00000000-0005-0000-0000-0000EF0B0000}"/>
    <cellStyle name="Normal 2 21 8" xfId="3215" xr:uid="{00000000-0005-0000-0000-0000F00B0000}"/>
    <cellStyle name="Normal 2 21 9" xfId="3216" xr:uid="{00000000-0005-0000-0000-0000F10B0000}"/>
    <cellStyle name="Normal 2 22" xfId="3217" xr:uid="{00000000-0005-0000-0000-0000F20B0000}"/>
    <cellStyle name="Normal 2 22 2" xfId="3218" xr:uid="{00000000-0005-0000-0000-0000F30B0000}"/>
    <cellStyle name="Normal 2 22 2 2" xfId="3219" xr:uid="{00000000-0005-0000-0000-0000F40B0000}"/>
    <cellStyle name="Normal 2 22 2 3" xfId="3220" xr:uid="{00000000-0005-0000-0000-0000F50B0000}"/>
    <cellStyle name="Normal 2 22 2 4" xfId="3221" xr:uid="{00000000-0005-0000-0000-0000F60B0000}"/>
    <cellStyle name="Normal 2 22 3" xfId="3222" xr:uid="{00000000-0005-0000-0000-0000F70B0000}"/>
    <cellStyle name="Normal 2 22 4" xfId="3223" xr:uid="{00000000-0005-0000-0000-0000F80B0000}"/>
    <cellStyle name="Normal 2 22 5" xfId="3224" xr:uid="{00000000-0005-0000-0000-0000F90B0000}"/>
    <cellStyle name="Normal 2 22 6" xfId="3225" xr:uid="{00000000-0005-0000-0000-0000FA0B0000}"/>
    <cellStyle name="Normal 2 22 7" xfId="3226" xr:uid="{00000000-0005-0000-0000-0000FB0B0000}"/>
    <cellStyle name="Normal 2 22 8" xfId="3227" xr:uid="{00000000-0005-0000-0000-0000FC0B0000}"/>
    <cellStyle name="Normal 2 22 9" xfId="3228" xr:uid="{00000000-0005-0000-0000-0000FD0B0000}"/>
    <cellStyle name="Normal 2 23" xfId="3229" xr:uid="{00000000-0005-0000-0000-0000FE0B0000}"/>
    <cellStyle name="Normal 2 23 2" xfId="3230" xr:uid="{00000000-0005-0000-0000-0000FF0B0000}"/>
    <cellStyle name="Normal 2 23 2 2" xfId="3231" xr:uid="{00000000-0005-0000-0000-0000000C0000}"/>
    <cellStyle name="Normal 2 23 2 3" xfId="3232" xr:uid="{00000000-0005-0000-0000-0000010C0000}"/>
    <cellStyle name="Normal 2 23 2 4" xfId="3233" xr:uid="{00000000-0005-0000-0000-0000020C0000}"/>
    <cellStyle name="Normal 2 23 3" xfId="3234" xr:uid="{00000000-0005-0000-0000-0000030C0000}"/>
    <cellStyle name="Normal 2 23 4" xfId="3235" xr:uid="{00000000-0005-0000-0000-0000040C0000}"/>
    <cellStyle name="Normal 2 23 5" xfId="3236" xr:uid="{00000000-0005-0000-0000-0000050C0000}"/>
    <cellStyle name="Normal 2 23 6" xfId="3237" xr:uid="{00000000-0005-0000-0000-0000060C0000}"/>
    <cellStyle name="Normal 2 23 7" xfId="3238" xr:uid="{00000000-0005-0000-0000-0000070C0000}"/>
    <cellStyle name="Normal 2 23 8" xfId="3239" xr:uid="{00000000-0005-0000-0000-0000080C0000}"/>
    <cellStyle name="Normal 2 23 9" xfId="3240" xr:uid="{00000000-0005-0000-0000-0000090C0000}"/>
    <cellStyle name="Normal 2 24" xfId="3241" xr:uid="{00000000-0005-0000-0000-00000A0C0000}"/>
    <cellStyle name="Normal 2 24 2" xfId="3242" xr:uid="{00000000-0005-0000-0000-00000B0C0000}"/>
    <cellStyle name="Normal 2 24 2 2" xfId="3243" xr:uid="{00000000-0005-0000-0000-00000C0C0000}"/>
    <cellStyle name="Normal 2 24 2 3" xfId="3244" xr:uid="{00000000-0005-0000-0000-00000D0C0000}"/>
    <cellStyle name="Normal 2 24 2 4" xfId="3245" xr:uid="{00000000-0005-0000-0000-00000E0C0000}"/>
    <cellStyle name="Normal 2 24 3" xfId="3246" xr:uid="{00000000-0005-0000-0000-00000F0C0000}"/>
    <cellStyle name="Normal 2 24 4" xfId="3247" xr:uid="{00000000-0005-0000-0000-0000100C0000}"/>
    <cellStyle name="Normal 2 24 5" xfId="3248" xr:uid="{00000000-0005-0000-0000-0000110C0000}"/>
    <cellStyle name="Normal 2 24 6" xfId="3249" xr:uid="{00000000-0005-0000-0000-0000120C0000}"/>
    <cellStyle name="Normal 2 24 7" xfId="3250" xr:uid="{00000000-0005-0000-0000-0000130C0000}"/>
    <cellStyle name="Normal 2 24 8" xfId="3251" xr:uid="{00000000-0005-0000-0000-0000140C0000}"/>
    <cellStyle name="Normal 2 24 9" xfId="3252" xr:uid="{00000000-0005-0000-0000-0000150C0000}"/>
    <cellStyle name="Normal 2 25" xfId="3253" xr:uid="{00000000-0005-0000-0000-0000160C0000}"/>
    <cellStyle name="Normal 2 25 2" xfId="3254" xr:uid="{00000000-0005-0000-0000-0000170C0000}"/>
    <cellStyle name="Normal 2 25 2 2" xfId="3255" xr:uid="{00000000-0005-0000-0000-0000180C0000}"/>
    <cellStyle name="Normal 2 25 2 3" xfId="3256" xr:uid="{00000000-0005-0000-0000-0000190C0000}"/>
    <cellStyle name="Normal 2 25 2 4" xfId="3257" xr:uid="{00000000-0005-0000-0000-00001A0C0000}"/>
    <cellStyle name="Normal 2 25 3" xfId="3258" xr:uid="{00000000-0005-0000-0000-00001B0C0000}"/>
    <cellStyle name="Normal 2 25 4" xfId="3259" xr:uid="{00000000-0005-0000-0000-00001C0C0000}"/>
    <cellStyle name="Normal 2 25 5" xfId="3260" xr:uid="{00000000-0005-0000-0000-00001D0C0000}"/>
    <cellStyle name="Normal 2 25 6" xfId="3261" xr:uid="{00000000-0005-0000-0000-00001E0C0000}"/>
    <cellStyle name="Normal 2 25 7" xfId="3262" xr:uid="{00000000-0005-0000-0000-00001F0C0000}"/>
    <cellStyle name="Normal 2 25 8" xfId="3263" xr:uid="{00000000-0005-0000-0000-0000200C0000}"/>
    <cellStyle name="Normal 2 25 9" xfId="3264" xr:uid="{00000000-0005-0000-0000-0000210C0000}"/>
    <cellStyle name="Normal 2 26" xfId="3265" xr:uid="{00000000-0005-0000-0000-0000220C0000}"/>
    <cellStyle name="Normal 2 26 2" xfId="3266" xr:uid="{00000000-0005-0000-0000-0000230C0000}"/>
    <cellStyle name="Normal 2 26 2 2" xfId="3267" xr:uid="{00000000-0005-0000-0000-0000240C0000}"/>
    <cellStyle name="Normal 2 26 2 3" xfId="3268" xr:uid="{00000000-0005-0000-0000-0000250C0000}"/>
    <cellStyle name="Normal 2 26 2 4" xfId="3269" xr:uid="{00000000-0005-0000-0000-0000260C0000}"/>
    <cellStyle name="Normal 2 26 3" xfId="3270" xr:uid="{00000000-0005-0000-0000-0000270C0000}"/>
    <cellStyle name="Normal 2 26 4" xfId="3271" xr:uid="{00000000-0005-0000-0000-0000280C0000}"/>
    <cellStyle name="Normal 2 26 5" xfId="3272" xr:uid="{00000000-0005-0000-0000-0000290C0000}"/>
    <cellStyle name="Normal 2 26 6" xfId="3273" xr:uid="{00000000-0005-0000-0000-00002A0C0000}"/>
    <cellStyle name="Normal 2 26 7" xfId="3274" xr:uid="{00000000-0005-0000-0000-00002B0C0000}"/>
    <cellStyle name="Normal 2 26 8" xfId="3275" xr:uid="{00000000-0005-0000-0000-00002C0C0000}"/>
    <cellStyle name="Normal 2 26 9" xfId="3276" xr:uid="{00000000-0005-0000-0000-00002D0C0000}"/>
    <cellStyle name="Normal 2 27" xfId="3277" xr:uid="{00000000-0005-0000-0000-00002E0C0000}"/>
    <cellStyle name="Normal 2 28" xfId="3278" xr:uid="{00000000-0005-0000-0000-00002F0C0000}"/>
    <cellStyle name="Normal 2 29" xfId="3279" xr:uid="{00000000-0005-0000-0000-0000300C0000}"/>
    <cellStyle name="Normal 2 3" xfId="45" xr:uid="{00000000-0005-0000-0000-0000310C0000}"/>
    <cellStyle name="Normal 2 3 2" xfId="325" xr:uid="{00000000-0005-0000-0000-0000320C0000}"/>
    <cellStyle name="Normal 2 3 2 2" xfId="3281" xr:uid="{00000000-0005-0000-0000-0000330C0000}"/>
    <cellStyle name="Normal 2 3 2 2 2" xfId="3282" xr:uid="{00000000-0005-0000-0000-0000340C0000}"/>
    <cellStyle name="Normal 2 3 2 3" xfId="3283" xr:uid="{00000000-0005-0000-0000-0000350C0000}"/>
    <cellStyle name="Normal 2 3 2 3 2" xfId="3284" xr:uid="{00000000-0005-0000-0000-0000360C0000}"/>
    <cellStyle name="Normal 2 3 2 4" xfId="3285" xr:uid="{00000000-0005-0000-0000-0000370C0000}"/>
    <cellStyle name="Normal 2 3 2 4 2" xfId="3286" xr:uid="{00000000-0005-0000-0000-0000380C0000}"/>
    <cellStyle name="Normal 2 3 2 5" xfId="3287" xr:uid="{00000000-0005-0000-0000-0000390C0000}"/>
    <cellStyle name="Normal 2 3 2 5 2" xfId="3288" xr:uid="{00000000-0005-0000-0000-00003A0C0000}"/>
    <cellStyle name="Normal 2 3 2 6" xfId="3289" xr:uid="{00000000-0005-0000-0000-00003B0C0000}"/>
    <cellStyle name="Normal 2 3 2 6 2" xfId="3290" xr:uid="{00000000-0005-0000-0000-00003C0C0000}"/>
    <cellStyle name="Normal 2 3 2 7" xfId="3291" xr:uid="{00000000-0005-0000-0000-00003D0C0000}"/>
    <cellStyle name="Normal 2 3 2 7 2" xfId="3292" xr:uid="{00000000-0005-0000-0000-00003E0C0000}"/>
    <cellStyle name="Normal 2 3 2 8" xfId="3280" xr:uid="{00000000-0005-0000-0000-00003F0C0000}"/>
    <cellStyle name="Normal 2 3 3" xfId="3293" xr:uid="{00000000-0005-0000-0000-0000400C0000}"/>
    <cellStyle name="Normal 2 3 4" xfId="3294" xr:uid="{00000000-0005-0000-0000-0000410C0000}"/>
    <cellStyle name="Normal 2 3 5" xfId="3295" xr:uid="{00000000-0005-0000-0000-0000420C0000}"/>
    <cellStyle name="Normal 2 3 6" xfId="3296" xr:uid="{00000000-0005-0000-0000-0000430C0000}"/>
    <cellStyle name="Normal 2 3 7" xfId="3297" xr:uid="{00000000-0005-0000-0000-0000440C0000}"/>
    <cellStyle name="Normal 2 3 8" xfId="3298" xr:uid="{00000000-0005-0000-0000-0000450C0000}"/>
    <cellStyle name="Normal 2 3 9" xfId="37663" xr:uid="{00000000-0005-0000-0000-0000460C0000}"/>
    <cellStyle name="Normal 2 30" xfId="3299" xr:uid="{00000000-0005-0000-0000-0000470C0000}"/>
    <cellStyle name="Normal 2 30 2" xfId="3300" xr:uid="{00000000-0005-0000-0000-0000480C0000}"/>
    <cellStyle name="Normal 2 30 3" xfId="3301" xr:uid="{00000000-0005-0000-0000-0000490C0000}"/>
    <cellStyle name="Normal 2 31" xfId="3302" xr:uid="{00000000-0005-0000-0000-00004A0C0000}"/>
    <cellStyle name="Normal 2 32" xfId="3303" xr:uid="{00000000-0005-0000-0000-00004B0C0000}"/>
    <cellStyle name="Normal 2 33" xfId="3304" xr:uid="{00000000-0005-0000-0000-00004C0C0000}"/>
    <cellStyle name="Normal 2 34" xfId="3305" xr:uid="{00000000-0005-0000-0000-00004D0C0000}"/>
    <cellStyle name="Normal 2 35" xfId="3306" xr:uid="{00000000-0005-0000-0000-00004E0C0000}"/>
    <cellStyle name="Normal 2 36" xfId="3307" xr:uid="{00000000-0005-0000-0000-00004F0C0000}"/>
    <cellStyle name="Normal 2 37" xfId="3308" xr:uid="{00000000-0005-0000-0000-0000500C0000}"/>
    <cellStyle name="Normal 2 38" xfId="3309" xr:uid="{00000000-0005-0000-0000-0000510C0000}"/>
    <cellStyle name="Normal 2 39" xfId="3310" xr:uid="{00000000-0005-0000-0000-0000520C0000}"/>
    <cellStyle name="Normal 2 4" xfId="46" xr:uid="{00000000-0005-0000-0000-0000530C0000}"/>
    <cellStyle name="Normal 2 4 10" xfId="3311" xr:uid="{00000000-0005-0000-0000-0000540C0000}"/>
    <cellStyle name="Normal 2 4 11" xfId="3312" xr:uid="{00000000-0005-0000-0000-0000550C0000}"/>
    <cellStyle name="Normal 2 4 12" xfId="3313" xr:uid="{00000000-0005-0000-0000-0000560C0000}"/>
    <cellStyle name="Normal 2 4 13" xfId="3314" xr:uid="{00000000-0005-0000-0000-0000570C0000}"/>
    <cellStyle name="Normal 2 4 14" xfId="3315" xr:uid="{00000000-0005-0000-0000-0000580C0000}"/>
    <cellStyle name="Normal 2 4 15" xfId="3316" xr:uid="{00000000-0005-0000-0000-0000590C0000}"/>
    <cellStyle name="Normal 2 4 16" xfId="3317" xr:uid="{00000000-0005-0000-0000-00005A0C0000}"/>
    <cellStyle name="Normal 2 4 17" xfId="3318" xr:uid="{00000000-0005-0000-0000-00005B0C0000}"/>
    <cellStyle name="Normal 2 4 17 10" xfId="3319" xr:uid="{00000000-0005-0000-0000-00005C0C0000}"/>
    <cellStyle name="Normal 2 4 17 10 10" xfId="3320" xr:uid="{00000000-0005-0000-0000-00005D0C0000}"/>
    <cellStyle name="Normal 2 4 17 10 10 2" xfId="21211" xr:uid="{00000000-0005-0000-0000-00005E0C0000}"/>
    <cellStyle name="Normal 2 4 17 10 11" xfId="3321" xr:uid="{00000000-0005-0000-0000-00005F0C0000}"/>
    <cellStyle name="Normal 2 4 17 10 11 2" xfId="21212" xr:uid="{00000000-0005-0000-0000-0000600C0000}"/>
    <cellStyle name="Normal 2 4 17 10 12" xfId="3322" xr:uid="{00000000-0005-0000-0000-0000610C0000}"/>
    <cellStyle name="Normal 2 4 17 10 12 2" xfId="21213" xr:uid="{00000000-0005-0000-0000-0000620C0000}"/>
    <cellStyle name="Normal 2 4 17 10 13" xfId="3323" xr:uid="{00000000-0005-0000-0000-0000630C0000}"/>
    <cellStyle name="Normal 2 4 17 10 13 2" xfId="21214" xr:uid="{00000000-0005-0000-0000-0000640C0000}"/>
    <cellStyle name="Normal 2 4 17 10 14" xfId="3324" xr:uid="{00000000-0005-0000-0000-0000650C0000}"/>
    <cellStyle name="Normal 2 4 17 10 14 2" xfId="21215" xr:uid="{00000000-0005-0000-0000-0000660C0000}"/>
    <cellStyle name="Normal 2 4 17 10 15" xfId="21210" xr:uid="{00000000-0005-0000-0000-0000670C0000}"/>
    <cellStyle name="Normal 2 4 17 10 2" xfId="3325" xr:uid="{00000000-0005-0000-0000-0000680C0000}"/>
    <cellStyle name="Normal 2 4 17 10 2 2" xfId="21216" xr:uid="{00000000-0005-0000-0000-0000690C0000}"/>
    <cellStyle name="Normal 2 4 17 10 3" xfId="3326" xr:uid="{00000000-0005-0000-0000-00006A0C0000}"/>
    <cellStyle name="Normal 2 4 17 10 3 2" xfId="21217" xr:uid="{00000000-0005-0000-0000-00006B0C0000}"/>
    <cellStyle name="Normal 2 4 17 10 4" xfId="3327" xr:uid="{00000000-0005-0000-0000-00006C0C0000}"/>
    <cellStyle name="Normal 2 4 17 10 4 2" xfId="21218" xr:uid="{00000000-0005-0000-0000-00006D0C0000}"/>
    <cellStyle name="Normal 2 4 17 10 5" xfId="3328" xr:uid="{00000000-0005-0000-0000-00006E0C0000}"/>
    <cellStyle name="Normal 2 4 17 10 5 2" xfId="21219" xr:uid="{00000000-0005-0000-0000-00006F0C0000}"/>
    <cellStyle name="Normal 2 4 17 10 6" xfId="3329" xr:uid="{00000000-0005-0000-0000-0000700C0000}"/>
    <cellStyle name="Normal 2 4 17 10 6 2" xfId="21220" xr:uid="{00000000-0005-0000-0000-0000710C0000}"/>
    <cellStyle name="Normal 2 4 17 10 7" xfId="3330" xr:uid="{00000000-0005-0000-0000-0000720C0000}"/>
    <cellStyle name="Normal 2 4 17 10 7 2" xfId="21221" xr:uid="{00000000-0005-0000-0000-0000730C0000}"/>
    <cellStyle name="Normal 2 4 17 10 8" xfId="3331" xr:uid="{00000000-0005-0000-0000-0000740C0000}"/>
    <cellStyle name="Normal 2 4 17 10 8 2" xfId="21222" xr:uid="{00000000-0005-0000-0000-0000750C0000}"/>
    <cellStyle name="Normal 2 4 17 10 9" xfId="3332" xr:uid="{00000000-0005-0000-0000-0000760C0000}"/>
    <cellStyle name="Normal 2 4 17 10 9 2" xfId="21223" xr:uid="{00000000-0005-0000-0000-0000770C0000}"/>
    <cellStyle name="Normal 2 4 17 11" xfId="3333" xr:uid="{00000000-0005-0000-0000-0000780C0000}"/>
    <cellStyle name="Normal 2 4 17 11 2" xfId="21224" xr:uid="{00000000-0005-0000-0000-0000790C0000}"/>
    <cellStyle name="Normal 2 4 17 12" xfId="3334" xr:uid="{00000000-0005-0000-0000-00007A0C0000}"/>
    <cellStyle name="Normal 2 4 17 12 2" xfId="21225" xr:uid="{00000000-0005-0000-0000-00007B0C0000}"/>
    <cellStyle name="Normal 2 4 17 13" xfId="3335" xr:uid="{00000000-0005-0000-0000-00007C0C0000}"/>
    <cellStyle name="Normal 2 4 17 13 2" xfId="21226" xr:uid="{00000000-0005-0000-0000-00007D0C0000}"/>
    <cellStyle name="Normal 2 4 17 14" xfId="3336" xr:uid="{00000000-0005-0000-0000-00007E0C0000}"/>
    <cellStyle name="Normal 2 4 17 14 2" xfId="21227" xr:uid="{00000000-0005-0000-0000-00007F0C0000}"/>
    <cellStyle name="Normal 2 4 17 15" xfId="3337" xr:uid="{00000000-0005-0000-0000-0000800C0000}"/>
    <cellStyle name="Normal 2 4 17 15 2" xfId="21228" xr:uid="{00000000-0005-0000-0000-0000810C0000}"/>
    <cellStyle name="Normal 2 4 17 16" xfId="3338" xr:uid="{00000000-0005-0000-0000-0000820C0000}"/>
    <cellStyle name="Normal 2 4 17 16 2" xfId="21229" xr:uid="{00000000-0005-0000-0000-0000830C0000}"/>
    <cellStyle name="Normal 2 4 17 17" xfId="3339" xr:uid="{00000000-0005-0000-0000-0000840C0000}"/>
    <cellStyle name="Normal 2 4 17 17 2" xfId="21230" xr:uid="{00000000-0005-0000-0000-0000850C0000}"/>
    <cellStyle name="Normal 2 4 17 18" xfId="3340" xr:uid="{00000000-0005-0000-0000-0000860C0000}"/>
    <cellStyle name="Normal 2 4 17 18 2" xfId="21231" xr:uid="{00000000-0005-0000-0000-0000870C0000}"/>
    <cellStyle name="Normal 2 4 17 19" xfId="3341" xr:uid="{00000000-0005-0000-0000-0000880C0000}"/>
    <cellStyle name="Normal 2 4 17 19 2" xfId="21232" xr:uid="{00000000-0005-0000-0000-0000890C0000}"/>
    <cellStyle name="Normal 2 4 17 2" xfId="3342" xr:uid="{00000000-0005-0000-0000-00008A0C0000}"/>
    <cellStyle name="Normal 2 4 17 2 10" xfId="3343" xr:uid="{00000000-0005-0000-0000-00008B0C0000}"/>
    <cellStyle name="Normal 2 4 17 2 10 2" xfId="21234" xr:uid="{00000000-0005-0000-0000-00008C0C0000}"/>
    <cellStyle name="Normal 2 4 17 2 11" xfId="3344" xr:uid="{00000000-0005-0000-0000-00008D0C0000}"/>
    <cellStyle name="Normal 2 4 17 2 11 2" xfId="21235" xr:uid="{00000000-0005-0000-0000-00008E0C0000}"/>
    <cellStyle name="Normal 2 4 17 2 12" xfId="3345" xr:uid="{00000000-0005-0000-0000-00008F0C0000}"/>
    <cellStyle name="Normal 2 4 17 2 12 2" xfId="21236" xr:uid="{00000000-0005-0000-0000-0000900C0000}"/>
    <cellStyle name="Normal 2 4 17 2 13" xfId="3346" xr:uid="{00000000-0005-0000-0000-0000910C0000}"/>
    <cellStyle name="Normal 2 4 17 2 13 2" xfId="21237" xr:uid="{00000000-0005-0000-0000-0000920C0000}"/>
    <cellStyle name="Normal 2 4 17 2 14" xfId="3347" xr:uid="{00000000-0005-0000-0000-0000930C0000}"/>
    <cellStyle name="Normal 2 4 17 2 14 2" xfId="21238" xr:uid="{00000000-0005-0000-0000-0000940C0000}"/>
    <cellStyle name="Normal 2 4 17 2 15" xfId="3348" xr:uid="{00000000-0005-0000-0000-0000950C0000}"/>
    <cellStyle name="Normal 2 4 17 2 15 2" xfId="21239" xr:uid="{00000000-0005-0000-0000-0000960C0000}"/>
    <cellStyle name="Normal 2 4 17 2 16" xfId="21233" xr:uid="{00000000-0005-0000-0000-0000970C0000}"/>
    <cellStyle name="Normal 2 4 17 2 2" xfId="3349" xr:uid="{00000000-0005-0000-0000-0000980C0000}"/>
    <cellStyle name="Normal 2 4 17 2 2 10" xfId="3350" xr:uid="{00000000-0005-0000-0000-0000990C0000}"/>
    <cellStyle name="Normal 2 4 17 2 2 10 2" xfId="21241" xr:uid="{00000000-0005-0000-0000-00009A0C0000}"/>
    <cellStyle name="Normal 2 4 17 2 2 11" xfId="3351" xr:uid="{00000000-0005-0000-0000-00009B0C0000}"/>
    <cellStyle name="Normal 2 4 17 2 2 11 2" xfId="21242" xr:uid="{00000000-0005-0000-0000-00009C0C0000}"/>
    <cellStyle name="Normal 2 4 17 2 2 12" xfId="3352" xr:uid="{00000000-0005-0000-0000-00009D0C0000}"/>
    <cellStyle name="Normal 2 4 17 2 2 12 2" xfId="21243" xr:uid="{00000000-0005-0000-0000-00009E0C0000}"/>
    <cellStyle name="Normal 2 4 17 2 2 13" xfId="3353" xr:uid="{00000000-0005-0000-0000-00009F0C0000}"/>
    <cellStyle name="Normal 2 4 17 2 2 13 2" xfId="21244" xr:uid="{00000000-0005-0000-0000-0000A00C0000}"/>
    <cellStyle name="Normal 2 4 17 2 2 14" xfId="3354" xr:uid="{00000000-0005-0000-0000-0000A10C0000}"/>
    <cellStyle name="Normal 2 4 17 2 2 14 2" xfId="21245" xr:uid="{00000000-0005-0000-0000-0000A20C0000}"/>
    <cellStyle name="Normal 2 4 17 2 2 15" xfId="21240" xr:uid="{00000000-0005-0000-0000-0000A30C0000}"/>
    <cellStyle name="Normal 2 4 17 2 2 2" xfId="3355" xr:uid="{00000000-0005-0000-0000-0000A40C0000}"/>
    <cellStyle name="Normal 2 4 17 2 2 2 2" xfId="21246" xr:uid="{00000000-0005-0000-0000-0000A50C0000}"/>
    <cellStyle name="Normal 2 4 17 2 2 3" xfId="3356" xr:uid="{00000000-0005-0000-0000-0000A60C0000}"/>
    <cellStyle name="Normal 2 4 17 2 2 3 2" xfId="21247" xr:uid="{00000000-0005-0000-0000-0000A70C0000}"/>
    <cellStyle name="Normal 2 4 17 2 2 4" xfId="3357" xr:uid="{00000000-0005-0000-0000-0000A80C0000}"/>
    <cellStyle name="Normal 2 4 17 2 2 4 2" xfId="21248" xr:uid="{00000000-0005-0000-0000-0000A90C0000}"/>
    <cellStyle name="Normal 2 4 17 2 2 5" xfId="3358" xr:uid="{00000000-0005-0000-0000-0000AA0C0000}"/>
    <cellStyle name="Normal 2 4 17 2 2 5 2" xfId="21249" xr:uid="{00000000-0005-0000-0000-0000AB0C0000}"/>
    <cellStyle name="Normal 2 4 17 2 2 6" xfId="3359" xr:uid="{00000000-0005-0000-0000-0000AC0C0000}"/>
    <cellStyle name="Normal 2 4 17 2 2 6 2" xfId="21250" xr:uid="{00000000-0005-0000-0000-0000AD0C0000}"/>
    <cellStyle name="Normal 2 4 17 2 2 7" xfId="3360" xr:uid="{00000000-0005-0000-0000-0000AE0C0000}"/>
    <cellStyle name="Normal 2 4 17 2 2 7 2" xfId="21251" xr:uid="{00000000-0005-0000-0000-0000AF0C0000}"/>
    <cellStyle name="Normal 2 4 17 2 2 8" xfId="3361" xr:uid="{00000000-0005-0000-0000-0000B00C0000}"/>
    <cellStyle name="Normal 2 4 17 2 2 8 2" xfId="21252" xr:uid="{00000000-0005-0000-0000-0000B10C0000}"/>
    <cellStyle name="Normal 2 4 17 2 2 9" xfId="3362" xr:uid="{00000000-0005-0000-0000-0000B20C0000}"/>
    <cellStyle name="Normal 2 4 17 2 2 9 2" xfId="21253" xr:uid="{00000000-0005-0000-0000-0000B30C0000}"/>
    <cellStyle name="Normal 2 4 17 2 3" xfId="3363" xr:uid="{00000000-0005-0000-0000-0000B40C0000}"/>
    <cellStyle name="Normal 2 4 17 2 3 2" xfId="21254" xr:uid="{00000000-0005-0000-0000-0000B50C0000}"/>
    <cellStyle name="Normal 2 4 17 2 4" xfId="3364" xr:uid="{00000000-0005-0000-0000-0000B60C0000}"/>
    <cellStyle name="Normal 2 4 17 2 4 2" xfId="21255" xr:uid="{00000000-0005-0000-0000-0000B70C0000}"/>
    <cellStyle name="Normal 2 4 17 2 5" xfId="3365" xr:uid="{00000000-0005-0000-0000-0000B80C0000}"/>
    <cellStyle name="Normal 2 4 17 2 5 2" xfId="21256" xr:uid="{00000000-0005-0000-0000-0000B90C0000}"/>
    <cellStyle name="Normal 2 4 17 2 6" xfId="3366" xr:uid="{00000000-0005-0000-0000-0000BA0C0000}"/>
    <cellStyle name="Normal 2 4 17 2 6 2" xfId="21257" xr:uid="{00000000-0005-0000-0000-0000BB0C0000}"/>
    <cellStyle name="Normal 2 4 17 2 7" xfId="3367" xr:uid="{00000000-0005-0000-0000-0000BC0C0000}"/>
    <cellStyle name="Normal 2 4 17 2 7 2" xfId="21258" xr:uid="{00000000-0005-0000-0000-0000BD0C0000}"/>
    <cellStyle name="Normal 2 4 17 2 8" xfId="3368" xr:uid="{00000000-0005-0000-0000-0000BE0C0000}"/>
    <cellStyle name="Normal 2 4 17 2 8 2" xfId="21259" xr:uid="{00000000-0005-0000-0000-0000BF0C0000}"/>
    <cellStyle name="Normal 2 4 17 2 9" xfId="3369" xr:uid="{00000000-0005-0000-0000-0000C00C0000}"/>
    <cellStyle name="Normal 2 4 17 2 9 2" xfId="21260" xr:uid="{00000000-0005-0000-0000-0000C10C0000}"/>
    <cellStyle name="Normal 2 4 17 20" xfId="3370" xr:uid="{00000000-0005-0000-0000-0000C20C0000}"/>
    <cellStyle name="Normal 2 4 17 20 2" xfId="21261" xr:uid="{00000000-0005-0000-0000-0000C30C0000}"/>
    <cellStyle name="Normal 2 4 17 21" xfId="3371" xr:uid="{00000000-0005-0000-0000-0000C40C0000}"/>
    <cellStyle name="Normal 2 4 17 21 2" xfId="21262" xr:uid="{00000000-0005-0000-0000-0000C50C0000}"/>
    <cellStyle name="Normal 2 4 17 22" xfId="3372" xr:uid="{00000000-0005-0000-0000-0000C60C0000}"/>
    <cellStyle name="Normal 2 4 17 22 2" xfId="21263" xr:uid="{00000000-0005-0000-0000-0000C70C0000}"/>
    <cellStyle name="Normal 2 4 17 23" xfId="3373" xr:uid="{00000000-0005-0000-0000-0000C80C0000}"/>
    <cellStyle name="Normal 2 4 17 23 2" xfId="21264" xr:uid="{00000000-0005-0000-0000-0000C90C0000}"/>
    <cellStyle name="Normal 2 4 17 24" xfId="21209" xr:uid="{00000000-0005-0000-0000-0000CA0C0000}"/>
    <cellStyle name="Normal 2 4 17 3" xfId="3374" xr:uid="{00000000-0005-0000-0000-0000CB0C0000}"/>
    <cellStyle name="Normal 2 4 17 3 10" xfId="3375" xr:uid="{00000000-0005-0000-0000-0000CC0C0000}"/>
    <cellStyle name="Normal 2 4 17 3 10 2" xfId="21266" xr:uid="{00000000-0005-0000-0000-0000CD0C0000}"/>
    <cellStyle name="Normal 2 4 17 3 11" xfId="3376" xr:uid="{00000000-0005-0000-0000-0000CE0C0000}"/>
    <cellStyle name="Normal 2 4 17 3 11 2" xfId="21267" xr:uid="{00000000-0005-0000-0000-0000CF0C0000}"/>
    <cellStyle name="Normal 2 4 17 3 12" xfId="3377" xr:uid="{00000000-0005-0000-0000-0000D00C0000}"/>
    <cellStyle name="Normal 2 4 17 3 12 2" xfId="21268" xr:uid="{00000000-0005-0000-0000-0000D10C0000}"/>
    <cellStyle name="Normal 2 4 17 3 13" xfId="3378" xr:uid="{00000000-0005-0000-0000-0000D20C0000}"/>
    <cellStyle name="Normal 2 4 17 3 13 2" xfId="21269" xr:uid="{00000000-0005-0000-0000-0000D30C0000}"/>
    <cellStyle name="Normal 2 4 17 3 14" xfId="3379" xr:uid="{00000000-0005-0000-0000-0000D40C0000}"/>
    <cellStyle name="Normal 2 4 17 3 14 2" xfId="21270" xr:uid="{00000000-0005-0000-0000-0000D50C0000}"/>
    <cellStyle name="Normal 2 4 17 3 15" xfId="3380" xr:uid="{00000000-0005-0000-0000-0000D60C0000}"/>
    <cellStyle name="Normal 2 4 17 3 15 2" xfId="21271" xr:uid="{00000000-0005-0000-0000-0000D70C0000}"/>
    <cellStyle name="Normal 2 4 17 3 16" xfId="21265" xr:uid="{00000000-0005-0000-0000-0000D80C0000}"/>
    <cellStyle name="Normal 2 4 17 3 2" xfId="3381" xr:uid="{00000000-0005-0000-0000-0000D90C0000}"/>
    <cellStyle name="Normal 2 4 17 3 2 10" xfId="3382" xr:uid="{00000000-0005-0000-0000-0000DA0C0000}"/>
    <cellStyle name="Normal 2 4 17 3 2 10 2" xfId="21273" xr:uid="{00000000-0005-0000-0000-0000DB0C0000}"/>
    <cellStyle name="Normal 2 4 17 3 2 11" xfId="3383" xr:uid="{00000000-0005-0000-0000-0000DC0C0000}"/>
    <cellStyle name="Normal 2 4 17 3 2 11 2" xfId="21274" xr:uid="{00000000-0005-0000-0000-0000DD0C0000}"/>
    <cellStyle name="Normal 2 4 17 3 2 12" xfId="3384" xr:uid="{00000000-0005-0000-0000-0000DE0C0000}"/>
    <cellStyle name="Normal 2 4 17 3 2 12 2" xfId="21275" xr:uid="{00000000-0005-0000-0000-0000DF0C0000}"/>
    <cellStyle name="Normal 2 4 17 3 2 13" xfId="3385" xr:uid="{00000000-0005-0000-0000-0000E00C0000}"/>
    <cellStyle name="Normal 2 4 17 3 2 13 2" xfId="21276" xr:uid="{00000000-0005-0000-0000-0000E10C0000}"/>
    <cellStyle name="Normal 2 4 17 3 2 14" xfId="3386" xr:uid="{00000000-0005-0000-0000-0000E20C0000}"/>
    <cellStyle name="Normal 2 4 17 3 2 14 2" xfId="21277" xr:uid="{00000000-0005-0000-0000-0000E30C0000}"/>
    <cellStyle name="Normal 2 4 17 3 2 15" xfId="21272" xr:uid="{00000000-0005-0000-0000-0000E40C0000}"/>
    <cellStyle name="Normal 2 4 17 3 2 2" xfId="3387" xr:uid="{00000000-0005-0000-0000-0000E50C0000}"/>
    <cellStyle name="Normal 2 4 17 3 2 2 2" xfId="21278" xr:uid="{00000000-0005-0000-0000-0000E60C0000}"/>
    <cellStyle name="Normal 2 4 17 3 2 3" xfId="3388" xr:uid="{00000000-0005-0000-0000-0000E70C0000}"/>
    <cellStyle name="Normal 2 4 17 3 2 3 2" xfId="21279" xr:uid="{00000000-0005-0000-0000-0000E80C0000}"/>
    <cellStyle name="Normal 2 4 17 3 2 4" xfId="3389" xr:uid="{00000000-0005-0000-0000-0000E90C0000}"/>
    <cellStyle name="Normal 2 4 17 3 2 4 2" xfId="21280" xr:uid="{00000000-0005-0000-0000-0000EA0C0000}"/>
    <cellStyle name="Normal 2 4 17 3 2 5" xfId="3390" xr:uid="{00000000-0005-0000-0000-0000EB0C0000}"/>
    <cellStyle name="Normal 2 4 17 3 2 5 2" xfId="21281" xr:uid="{00000000-0005-0000-0000-0000EC0C0000}"/>
    <cellStyle name="Normal 2 4 17 3 2 6" xfId="3391" xr:uid="{00000000-0005-0000-0000-0000ED0C0000}"/>
    <cellStyle name="Normal 2 4 17 3 2 6 2" xfId="21282" xr:uid="{00000000-0005-0000-0000-0000EE0C0000}"/>
    <cellStyle name="Normal 2 4 17 3 2 7" xfId="3392" xr:uid="{00000000-0005-0000-0000-0000EF0C0000}"/>
    <cellStyle name="Normal 2 4 17 3 2 7 2" xfId="21283" xr:uid="{00000000-0005-0000-0000-0000F00C0000}"/>
    <cellStyle name="Normal 2 4 17 3 2 8" xfId="3393" xr:uid="{00000000-0005-0000-0000-0000F10C0000}"/>
    <cellStyle name="Normal 2 4 17 3 2 8 2" xfId="21284" xr:uid="{00000000-0005-0000-0000-0000F20C0000}"/>
    <cellStyle name="Normal 2 4 17 3 2 9" xfId="3394" xr:uid="{00000000-0005-0000-0000-0000F30C0000}"/>
    <cellStyle name="Normal 2 4 17 3 2 9 2" xfId="21285" xr:uid="{00000000-0005-0000-0000-0000F40C0000}"/>
    <cellStyle name="Normal 2 4 17 3 3" xfId="3395" xr:uid="{00000000-0005-0000-0000-0000F50C0000}"/>
    <cellStyle name="Normal 2 4 17 3 3 2" xfId="21286" xr:uid="{00000000-0005-0000-0000-0000F60C0000}"/>
    <cellStyle name="Normal 2 4 17 3 4" xfId="3396" xr:uid="{00000000-0005-0000-0000-0000F70C0000}"/>
    <cellStyle name="Normal 2 4 17 3 4 2" xfId="21287" xr:uid="{00000000-0005-0000-0000-0000F80C0000}"/>
    <cellStyle name="Normal 2 4 17 3 5" xfId="3397" xr:uid="{00000000-0005-0000-0000-0000F90C0000}"/>
    <cellStyle name="Normal 2 4 17 3 5 2" xfId="21288" xr:uid="{00000000-0005-0000-0000-0000FA0C0000}"/>
    <cellStyle name="Normal 2 4 17 3 6" xfId="3398" xr:uid="{00000000-0005-0000-0000-0000FB0C0000}"/>
    <cellStyle name="Normal 2 4 17 3 6 2" xfId="21289" xr:uid="{00000000-0005-0000-0000-0000FC0C0000}"/>
    <cellStyle name="Normal 2 4 17 3 7" xfId="3399" xr:uid="{00000000-0005-0000-0000-0000FD0C0000}"/>
    <cellStyle name="Normal 2 4 17 3 7 2" xfId="21290" xr:uid="{00000000-0005-0000-0000-0000FE0C0000}"/>
    <cellStyle name="Normal 2 4 17 3 8" xfId="3400" xr:uid="{00000000-0005-0000-0000-0000FF0C0000}"/>
    <cellStyle name="Normal 2 4 17 3 8 2" xfId="21291" xr:uid="{00000000-0005-0000-0000-0000000D0000}"/>
    <cellStyle name="Normal 2 4 17 3 9" xfId="3401" xr:uid="{00000000-0005-0000-0000-0000010D0000}"/>
    <cellStyle name="Normal 2 4 17 3 9 2" xfId="21292" xr:uid="{00000000-0005-0000-0000-0000020D0000}"/>
    <cellStyle name="Normal 2 4 17 4" xfId="3402" xr:uid="{00000000-0005-0000-0000-0000030D0000}"/>
    <cellStyle name="Normal 2 4 17 4 10" xfId="3403" xr:uid="{00000000-0005-0000-0000-0000040D0000}"/>
    <cellStyle name="Normal 2 4 17 4 10 2" xfId="21294" xr:uid="{00000000-0005-0000-0000-0000050D0000}"/>
    <cellStyle name="Normal 2 4 17 4 11" xfId="3404" xr:uid="{00000000-0005-0000-0000-0000060D0000}"/>
    <cellStyle name="Normal 2 4 17 4 11 2" xfId="21295" xr:uid="{00000000-0005-0000-0000-0000070D0000}"/>
    <cellStyle name="Normal 2 4 17 4 12" xfId="3405" xr:uid="{00000000-0005-0000-0000-0000080D0000}"/>
    <cellStyle name="Normal 2 4 17 4 12 2" xfId="21296" xr:uid="{00000000-0005-0000-0000-0000090D0000}"/>
    <cellStyle name="Normal 2 4 17 4 13" xfId="3406" xr:uid="{00000000-0005-0000-0000-00000A0D0000}"/>
    <cellStyle name="Normal 2 4 17 4 13 2" xfId="21297" xr:uid="{00000000-0005-0000-0000-00000B0D0000}"/>
    <cellStyle name="Normal 2 4 17 4 14" xfId="3407" xr:uid="{00000000-0005-0000-0000-00000C0D0000}"/>
    <cellStyle name="Normal 2 4 17 4 14 2" xfId="21298" xr:uid="{00000000-0005-0000-0000-00000D0D0000}"/>
    <cellStyle name="Normal 2 4 17 4 15" xfId="3408" xr:uid="{00000000-0005-0000-0000-00000E0D0000}"/>
    <cellStyle name="Normal 2 4 17 4 15 2" xfId="21299" xr:uid="{00000000-0005-0000-0000-00000F0D0000}"/>
    <cellStyle name="Normal 2 4 17 4 16" xfId="21293" xr:uid="{00000000-0005-0000-0000-0000100D0000}"/>
    <cellStyle name="Normal 2 4 17 4 2" xfId="3409" xr:uid="{00000000-0005-0000-0000-0000110D0000}"/>
    <cellStyle name="Normal 2 4 17 4 2 10" xfId="3410" xr:uid="{00000000-0005-0000-0000-0000120D0000}"/>
    <cellStyle name="Normal 2 4 17 4 2 10 2" xfId="21301" xr:uid="{00000000-0005-0000-0000-0000130D0000}"/>
    <cellStyle name="Normal 2 4 17 4 2 11" xfId="3411" xr:uid="{00000000-0005-0000-0000-0000140D0000}"/>
    <cellStyle name="Normal 2 4 17 4 2 11 2" xfId="21302" xr:uid="{00000000-0005-0000-0000-0000150D0000}"/>
    <cellStyle name="Normal 2 4 17 4 2 12" xfId="3412" xr:uid="{00000000-0005-0000-0000-0000160D0000}"/>
    <cellStyle name="Normal 2 4 17 4 2 12 2" xfId="21303" xr:uid="{00000000-0005-0000-0000-0000170D0000}"/>
    <cellStyle name="Normal 2 4 17 4 2 13" xfId="3413" xr:uid="{00000000-0005-0000-0000-0000180D0000}"/>
    <cellStyle name="Normal 2 4 17 4 2 13 2" xfId="21304" xr:uid="{00000000-0005-0000-0000-0000190D0000}"/>
    <cellStyle name="Normal 2 4 17 4 2 14" xfId="3414" xr:uid="{00000000-0005-0000-0000-00001A0D0000}"/>
    <cellStyle name="Normal 2 4 17 4 2 14 2" xfId="21305" xr:uid="{00000000-0005-0000-0000-00001B0D0000}"/>
    <cellStyle name="Normal 2 4 17 4 2 15" xfId="21300" xr:uid="{00000000-0005-0000-0000-00001C0D0000}"/>
    <cellStyle name="Normal 2 4 17 4 2 2" xfId="3415" xr:uid="{00000000-0005-0000-0000-00001D0D0000}"/>
    <cellStyle name="Normal 2 4 17 4 2 2 2" xfId="21306" xr:uid="{00000000-0005-0000-0000-00001E0D0000}"/>
    <cellStyle name="Normal 2 4 17 4 2 3" xfId="3416" xr:uid="{00000000-0005-0000-0000-00001F0D0000}"/>
    <cellStyle name="Normal 2 4 17 4 2 3 2" xfId="21307" xr:uid="{00000000-0005-0000-0000-0000200D0000}"/>
    <cellStyle name="Normal 2 4 17 4 2 4" xfId="3417" xr:uid="{00000000-0005-0000-0000-0000210D0000}"/>
    <cellStyle name="Normal 2 4 17 4 2 4 2" xfId="21308" xr:uid="{00000000-0005-0000-0000-0000220D0000}"/>
    <cellStyle name="Normal 2 4 17 4 2 5" xfId="3418" xr:uid="{00000000-0005-0000-0000-0000230D0000}"/>
    <cellStyle name="Normal 2 4 17 4 2 5 2" xfId="21309" xr:uid="{00000000-0005-0000-0000-0000240D0000}"/>
    <cellStyle name="Normal 2 4 17 4 2 6" xfId="3419" xr:uid="{00000000-0005-0000-0000-0000250D0000}"/>
    <cellStyle name="Normal 2 4 17 4 2 6 2" xfId="21310" xr:uid="{00000000-0005-0000-0000-0000260D0000}"/>
    <cellStyle name="Normal 2 4 17 4 2 7" xfId="3420" xr:uid="{00000000-0005-0000-0000-0000270D0000}"/>
    <cellStyle name="Normal 2 4 17 4 2 7 2" xfId="21311" xr:uid="{00000000-0005-0000-0000-0000280D0000}"/>
    <cellStyle name="Normal 2 4 17 4 2 8" xfId="3421" xr:uid="{00000000-0005-0000-0000-0000290D0000}"/>
    <cellStyle name="Normal 2 4 17 4 2 8 2" xfId="21312" xr:uid="{00000000-0005-0000-0000-00002A0D0000}"/>
    <cellStyle name="Normal 2 4 17 4 2 9" xfId="3422" xr:uid="{00000000-0005-0000-0000-00002B0D0000}"/>
    <cellStyle name="Normal 2 4 17 4 2 9 2" xfId="21313" xr:uid="{00000000-0005-0000-0000-00002C0D0000}"/>
    <cellStyle name="Normal 2 4 17 4 3" xfId="3423" xr:uid="{00000000-0005-0000-0000-00002D0D0000}"/>
    <cellStyle name="Normal 2 4 17 4 3 2" xfId="21314" xr:uid="{00000000-0005-0000-0000-00002E0D0000}"/>
    <cellStyle name="Normal 2 4 17 4 4" xfId="3424" xr:uid="{00000000-0005-0000-0000-00002F0D0000}"/>
    <cellStyle name="Normal 2 4 17 4 4 2" xfId="21315" xr:uid="{00000000-0005-0000-0000-0000300D0000}"/>
    <cellStyle name="Normal 2 4 17 4 5" xfId="3425" xr:uid="{00000000-0005-0000-0000-0000310D0000}"/>
    <cellStyle name="Normal 2 4 17 4 5 2" xfId="21316" xr:uid="{00000000-0005-0000-0000-0000320D0000}"/>
    <cellStyle name="Normal 2 4 17 4 6" xfId="3426" xr:uid="{00000000-0005-0000-0000-0000330D0000}"/>
    <cellStyle name="Normal 2 4 17 4 6 2" xfId="21317" xr:uid="{00000000-0005-0000-0000-0000340D0000}"/>
    <cellStyle name="Normal 2 4 17 4 7" xfId="3427" xr:uid="{00000000-0005-0000-0000-0000350D0000}"/>
    <cellStyle name="Normal 2 4 17 4 7 2" xfId="21318" xr:uid="{00000000-0005-0000-0000-0000360D0000}"/>
    <cellStyle name="Normal 2 4 17 4 8" xfId="3428" xr:uid="{00000000-0005-0000-0000-0000370D0000}"/>
    <cellStyle name="Normal 2 4 17 4 8 2" xfId="21319" xr:uid="{00000000-0005-0000-0000-0000380D0000}"/>
    <cellStyle name="Normal 2 4 17 4 9" xfId="3429" xr:uid="{00000000-0005-0000-0000-0000390D0000}"/>
    <cellStyle name="Normal 2 4 17 4 9 2" xfId="21320" xr:uid="{00000000-0005-0000-0000-00003A0D0000}"/>
    <cellStyle name="Normal 2 4 17 5" xfId="3430" xr:uid="{00000000-0005-0000-0000-00003B0D0000}"/>
    <cellStyle name="Normal 2 4 17 5 10" xfId="3431" xr:uid="{00000000-0005-0000-0000-00003C0D0000}"/>
    <cellStyle name="Normal 2 4 17 5 10 2" xfId="21322" xr:uid="{00000000-0005-0000-0000-00003D0D0000}"/>
    <cellStyle name="Normal 2 4 17 5 11" xfId="3432" xr:uid="{00000000-0005-0000-0000-00003E0D0000}"/>
    <cellStyle name="Normal 2 4 17 5 11 2" xfId="21323" xr:uid="{00000000-0005-0000-0000-00003F0D0000}"/>
    <cellStyle name="Normal 2 4 17 5 12" xfId="3433" xr:uid="{00000000-0005-0000-0000-0000400D0000}"/>
    <cellStyle name="Normal 2 4 17 5 12 2" xfId="21324" xr:uid="{00000000-0005-0000-0000-0000410D0000}"/>
    <cellStyle name="Normal 2 4 17 5 13" xfId="3434" xr:uid="{00000000-0005-0000-0000-0000420D0000}"/>
    <cellStyle name="Normal 2 4 17 5 13 2" xfId="21325" xr:uid="{00000000-0005-0000-0000-0000430D0000}"/>
    <cellStyle name="Normal 2 4 17 5 14" xfId="3435" xr:uid="{00000000-0005-0000-0000-0000440D0000}"/>
    <cellStyle name="Normal 2 4 17 5 14 2" xfId="21326" xr:uid="{00000000-0005-0000-0000-0000450D0000}"/>
    <cellStyle name="Normal 2 4 17 5 15" xfId="21321" xr:uid="{00000000-0005-0000-0000-0000460D0000}"/>
    <cellStyle name="Normal 2 4 17 5 2" xfId="3436" xr:uid="{00000000-0005-0000-0000-0000470D0000}"/>
    <cellStyle name="Normal 2 4 17 5 2 2" xfId="21327" xr:uid="{00000000-0005-0000-0000-0000480D0000}"/>
    <cellStyle name="Normal 2 4 17 5 3" xfId="3437" xr:uid="{00000000-0005-0000-0000-0000490D0000}"/>
    <cellStyle name="Normal 2 4 17 5 3 2" xfId="21328" xr:uid="{00000000-0005-0000-0000-00004A0D0000}"/>
    <cellStyle name="Normal 2 4 17 5 4" xfId="3438" xr:uid="{00000000-0005-0000-0000-00004B0D0000}"/>
    <cellStyle name="Normal 2 4 17 5 4 2" xfId="21329" xr:uid="{00000000-0005-0000-0000-00004C0D0000}"/>
    <cellStyle name="Normal 2 4 17 5 5" xfId="3439" xr:uid="{00000000-0005-0000-0000-00004D0D0000}"/>
    <cellStyle name="Normal 2 4 17 5 5 2" xfId="21330" xr:uid="{00000000-0005-0000-0000-00004E0D0000}"/>
    <cellStyle name="Normal 2 4 17 5 6" xfId="3440" xr:uid="{00000000-0005-0000-0000-00004F0D0000}"/>
    <cellStyle name="Normal 2 4 17 5 6 2" xfId="21331" xr:uid="{00000000-0005-0000-0000-0000500D0000}"/>
    <cellStyle name="Normal 2 4 17 5 7" xfId="3441" xr:uid="{00000000-0005-0000-0000-0000510D0000}"/>
    <cellStyle name="Normal 2 4 17 5 7 2" xfId="21332" xr:uid="{00000000-0005-0000-0000-0000520D0000}"/>
    <cellStyle name="Normal 2 4 17 5 8" xfId="3442" xr:uid="{00000000-0005-0000-0000-0000530D0000}"/>
    <cellStyle name="Normal 2 4 17 5 8 2" xfId="21333" xr:uid="{00000000-0005-0000-0000-0000540D0000}"/>
    <cellStyle name="Normal 2 4 17 5 9" xfId="3443" xr:uid="{00000000-0005-0000-0000-0000550D0000}"/>
    <cellStyle name="Normal 2 4 17 5 9 2" xfId="21334" xr:uid="{00000000-0005-0000-0000-0000560D0000}"/>
    <cellStyle name="Normal 2 4 17 6" xfId="3444" xr:uid="{00000000-0005-0000-0000-0000570D0000}"/>
    <cellStyle name="Normal 2 4 17 6 10" xfId="3445" xr:uid="{00000000-0005-0000-0000-0000580D0000}"/>
    <cellStyle name="Normal 2 4 17 6 10 2" xfId="21336" xr:uid="{00000000-0005-0000-0000-0000590D0000}"/>
    <cellStyle name="Normal 2 4 17 6 11" xfId="3446" xr:uid="{00000000-0005-0000-0000-00005A0D0000}"/>
    <cellStyle name="Normal 2 4 17 6 11 2" xfId="21337" xr:uid="{00000000-0005-0000-0000-00005B0D0000}"/>
    <cellStyle name="Normal 2 4 17 6 12" xfId="3447" xr:uid="{00000000-0005-0000-0000-00005C0D0000}"/>
    <cellStyle name="Normal 2 4 17 6 12 2" xfId="21338" xr:uid="{00000000-0005-0000-0000-00005D0D0000}"/>
    <cellStyle name="Normal 2 4 17 6 13" xfId="3448" xr:uid="{00000000-0005-0000-0000-00005E0D0000}"/>
    <cellStyle name="Normal 2 4 17 6 13 2" xfId="21339" xr:uid="{00000000-0005-0000-0000-00005F0D0000}"/>
    <cellStyle name="Normal 2 4 17 6 14" xfId="3449" xr:uid="{00000000-0005-0000-0000-0000600D0000}"/>
    <cellStyle name="Normal 2 4 17 6 14 2" xfId="21340" xr:uid="{00000000-0005-0000-0000-0000610D0000}"/>
    <cellStyle name="Normal 2 4 17 6 15" xfId="21335" xr:uid="{00000000-0005-0000-0000-0000620D0000}"/>
    <cellStyle name="Normal 2 4 17 6 2" xfId="3450" xr:uid="{00000000-0005-0000-0000-0000630D0000}"/>
    <cellStyle name="Normal 2 4 17 6 2 2" xfId="21341" xr:uid="{00000000-0005-0000-0000-0000640D0000}"/>
    <cellStyle name="Normal 2 4 17 6 3" xfId="3451" xr:uid="{00000000-0005-0000-0000-0000650D0000}"/>
    <cellStyle name="Normal 2 4 17 6 3 2" xfId="21342" xr:uid="{00000000-0005-0000-0000-0000660D0000}"/>
    <cellStyle name="Normal 2 4 17 6 4" xfId="3452" xr:uid="{00000000-0005-0000-0000-0000670D0000}"/>
    <cellStyle name="Normal 2 4 17 6 4 2" xfId="21343" xr:uid="{00000000-0005-0000-0000-0000680D0000}"/>
    <cellStyle name="Normal 2 4 17 6 5" xfId="3453" xr:uid="{00000000-0005-0000-0000-0000690D0000}"/>
    <cellStyle name="Normal 2 4 17 6 5 2" xfId="21344" xr:uid="{00000000-0005-0000-0000-00006A0D0000}"/>
    <cellStyle name="Normal 2 4 17 6 6" xfId="3454" xr:uid="{00000000-0005-0000-0000-00006B0D0000}"/>
    <cellStyle name="Normal 2 4 17 6 6 2" xfId="21345" xr:uid="{00000000-0005-0000-0000-00006C0D0000}"/>
    <cellStyle name="Normal 2 4 17 6 7" xfId="3455" xr:uid="{00000000-0005-0000-0000-00006D0D0000}"/>
    <cellStyle name="Normal 2 4 17 6 7 2" xfId="21346" xr:uid="{00000000-0005-0000-0000-00006E0D0000}"/>
    <cellStyle name="Normal 2 4 17 6 8" xfId="3456" xr:uid="{00000000-0005-0000-0000-00006F0D0000}"/>
    <cellStyle name="Normal 2 4 17 6 8 2" xfId="21347" xr:uid="{00000000-0005-0000-0000-0000700D0000}"/>
    <cellStyle name="Normal 2 4 17 6 9" xfId="3457" xr:uid="{00000000-0005-0000-0000-0000710D0000}"/>
    <cellStyle name="Normal 2 4 17 6 9 2" xfId="21348" xr:uid="{00000000-0005-0000-0000-0000720D0000}"/>
    <cellStyle name="Normal 2 4 17 7" xfId="3458" xr:uid="{00000000-0005-0000-0000-0000730D0000}"/>
    <cellStyle name="Normal 2 4 17 7 10" xfId="3459" xr:uid="{00000000-0005-0000-0000-0000740D0000}"/>
    <cellStyle name="Normal 2 4 17 7 10 2" xfId="21350" xr:uid="{00000000-0005-0000-0000-0000750D0000}"/>
    <cellStyle name="Normal 2 4 17 7 11" xfId="3460" xr:uid="{00000000-0005-0000-0000-0000760D0000}"/>
    <cellStyle name="Normal 2 4 17 7 11 2" xfId="21351" xr:uid="{00000000-0005-0000-0000-0000770D0000}"/>
    <cellStyle name="Normal 2 4 17 7 12" xfId="3461" xr:uid="{00000000-0005-0000-0000-0000780D0000}"/>
    <cellStyle name="Normal 2 4 17 7 12 2" xfId="21352" xr:uid="{00000000-0005-0000-0000-0000790D0000}"/>
    <cellStyle name="Normal 2 4 17 7 13" xfId="3462" xr:uid="{00000000-0005-0000-0000-00007A0D0000}"/>
    <cellStyle name="Normal 2 4 17 7 13 2" xfId="21353" xr:uid="{00000000-0005-0000-0000-00007B0D0000}"/>
    <cellStyle name="Normal 2 4 17 7 14" xfId="3463" xr:uid="{00000000-0005-0000-0000-00007C0D0000}"/>
    <cellStyle name="Normal 2 4 17 7 14 2" xfId="21354" xr:uid="{00000000-0005-0000-0000-00007D0D0000}"/>
    <cellStyle name="Normal 2 4 17 7 15" xfId="21349" xr:uid="{00000000-0005-0000-0000-00007E0D0000}"/>
    <cellStyle name="Normal 2 4 17 7 2" xfId="3464" xr:uid="{00000000-0005-0000-0000-00007F0D0000}"/>
    <cellStyle name="Normal 2 4 17 7 2 2" xfId="21355" xr:uid="{00000000-0005-0000-0000-0000800D0000}"/>
    <cellStyle name="Normal 2 4 17 7 3" xfId="3465" xr:uid="{00000000-0005-0000-0000-0000810D0000}"/>
    <cellStyle name="Normal 2 4 17 7 3 2" xfId="21356" xr:uid="{00000000-0005-0000-0000-0000820D0000}"/>
    <cellStyle name="Normal 2 4 17 7 4" xfId="3466" xr:uid="{00000000-0005-0000-0000-0000830D0000}"/>
    <cellStyle name="Normal 2 4 17 7 4 2" xfId="21357" xr:uid="{00000000-0005-0000-0000-0000840D0000}"/>
    <cellStyle name="Normal 2 4 17 7 5" xfId="3467" xr:uid="{00000000-0005-0000-0000-0000850D0000}"/>
    <cellStyle name="Normal 2 4 17 7 5 2" xfId="21358" xr:uid="{00000000-0005-0000-0000-0000860D0000}"/>
    <cellStyle name="Normal 2 4 17 7 6" xfId="3468" xr:uid="{00000000-0005-0000-0000-0000870D0000}"/>
    <cellStyle name="Normal 2 4 17 7 6 2" xfId="21359" xr:uid="{00000000-0005-0000-0000-0000880D0000}"/>
    <cellStyle name="Normal 2 4 17 7 7" xfId="3469" xr:uid="{00000000-0005-0000-0000-0000890D0000}"/>
    <cellStyle name="Normal 2 4 17 7 7 2" xfId="21360" xr:uid="{00000000-0005-0000-0000-00008A0D0000}"/>
    <cellStyle name="Normal 2 4 17 7 8" xfId="3470" xr:uid="{00000000-0005-0000-0000-00008B0D0000}"/>
    <cellStyle name="Normal 2 4 17 7 8 2" xfId="21361" xr:uid="{00000000-0005-0000-0000-00008C0D0000}"/>
    <cellStyle name="Normal 2 4 17 7 9" xfId="3471" xr:uid="{00000000-0005-0000-0000-00008D0D0000}"/>
    <cellStyle name="Normal 2 4 17 7 9 2" xfId="21362" xr:uid="{00000000-0005-0000-0000-00008E0D0000}"/>
    <cellStyle name="Normal 2 4 17 8" xfId="3472" xr:uid="{00000000-0005-0000-0000-00008F0D0000}"/>
    <cellStyle name="Normal 2 4 17 8 10" xfId="3473" xr:uid="{00000000-0005-0000-0000-0000900D0000}"/>
    <cellStyle name="Normal 2 4 17 8 10 2" xfId="21364" xr:uid="{00000000-0005-0000-0000-0000910D0000}"/>
    <cellStyle name="Normal 2 4 17 8 11" xfId="3474" xr:uid="{00000000-0005-0000-0000-0000920D0000}"/>
    <cellStyle name="Normal 2 4 17 8 11 2" xfId="21365" xr:uid="{00000000-0005-0000-0000-0000930D0000}"/>
    <cellStyle name="Normal 2 4 17 8 12" xfId="3475" xr:uid="{00000000-0005-0000-0000-0000940D0000}"/>
    <cellStyle name="Normal 2 4 17 8 12 2" xfId="21366" xr:uid="{00000000-0005-0000-0000-0000950D0000}"/>
    <cellStyle name="Normal 2 4 17 8 13" xfId="3476" xr:uid="{00000000-0005-0000-0000-0000960D0000}"/>
    <cellStyle name="Normal 2 4 17 8 13 2" xfId="21367" xr:uid="{00000000-0005-0000-0000-0000970D0000}"/>
    <cellStyle name="Normal 2 4 17 8 14" xfId="3477" xr:uid="{00000000-0005-0000-0000-0000980D0000}"/>
    <cellStyle name="Normal 2 4 17 8 14 2" xfId="21368" xr:uid="{00000000-0005-0000-0000-0000990D0000}"/>
    <cellStyle name="Normal 2 4 17 8 15" xfId="21363" xr:uid="{00000000-0005-0000-0000-00009A0D0000}"/>
    <cellStyle name="Normal 2 4 17 8 2" xfId="3478" xr:uid="{00000000-0005-0000-0000-00009B0D0000}"/>
    <cellStyle name="Normal 2 4 17 8 2 2" xfId="21369" xr:uid="{00000000-0005-0000-0000-00009C0D0000}"/>
    <cellStyle name="Normal 2 4 17 8 3" xfId="3479" xr:uid="{00000000-0005-0000-0000-00009D0D0000}"/>
    <cellStyle name="Normal 2 4 17 8 3 2" xfId="21370" xr:uid="{00000000-0005-0000-0000-00009E0D0000}"/>
    <cellStyle name="Normal 2 4 17 8 4" xfId="3480" xr:uid="{00000000-0005-0000-0000-00009F0D0000}"/>
    <cellStyle name="Normal 2 4 17 8 4 2" xfId="21371" xr:uid="{00000000-0005-0000-0000-0000A00D0000}"/>
    <cellStyle name="Normal 2 4 17 8 5" xfId="3481" xr:uid="{00000000-0005-0000-0000-0000A10D0000}"/>
    <cellStyle name="Normal 2 4 17 8 5 2" xfId="21372" xr:uid="{00000000-0005-0000-0000-0000A20D0000}"/>
    <cellStyle name="Normal 2 4 17 8 6" xfId="3482" xr:uid="{00000000-0005-0000-0000-0000A30D0000}"/>
    <cellStyle name="Normal 2 4 17 8 6 2" xfId="21373" xr:uid="{00000000-0005-0000-0000-0000A40D0000}"/>
    <cellStyle name="Normal 2 4 17 8 7" xfId="3483" xr:uid="{00000000-0005-0000-0000-0000A50D0000}"/>
    <cellStyle name="Normal 2 4 17 8 7 2" xfId="21374" xr:uid="{00000000-0005-0000-0000-0000A60D0000}"/>
    <cellStyle name="Normal 2 4 17 8 8" xfId="3484" xr:uid="{00000000-0005-0000-0000-0000A70D0000}"/>
    <cellStyle name="Normal 2 4 17 8 8 2" xfId="21375" xr:uid="{00000000-0005-0000-0000-0000A80D0000}"/>
    <cellStyle name="Normal 2 4 17 8 9" xfId="3485" xr:uid="{00000000-0005-0000-0000-0000A90D0000}"/>
    <cellStyle name="Normal 2 4 17 8 9 2" xfId="21376" xr:uid="{00000000-0005-0000-0000-0000AA0D0000}"/>
    <cellStyle name="Normal 2 4 17 9" xfId="3486" xr:uid="{00000000-0005-0000-0000-0000AB0D0000}"/>
    <cellStyle name="Normal 2 4 17 9 10" xfId="3487" xr:uid="{00000000-0005-0000-0000-0000AC0D0000}"/>
    <cellStyle name="Normal 2 4 17 9 10 2" xfId="21378" xr:uid="{00000000-0005-0000-0000-0000AD0D0000}"/>
    <cellStyle name="Normal 2 4 17 9 11" xfId="3488" xr:uid="{00000000-0005-0000-0000-0000AE0D0000}"/>
    <cellStyle name="Normal 2 4 17 9 11 2" xfId="21379" xr:uid="{00000000-0005-0000-0000-0000AF0D0000}"/>
    <cellStyle name="Normal 2 4 17 9 12" xfId="3489" xr:uid="{00000000-0005-0000-0000-0000B00D0000}"/>
    <cellStyle name="Normal 2 4 17 9 12 2" xfId="21380" xr:uid="{00000000-0005-0000-0000-0000B10D0000}"/>
    <cellStyle name="Normal 2 4 17 9 13" xfId="3490" xr:uid="{00000000-0005-0000-0000-0000B20D0000}"/>
    <cellStyle name="Normal 2 4 17 9 13 2" xfId="21381" xr:uid="{00000000-0005-0000-0000-0000B30D0000}"/>
    <cellStyle name="Normal 2 4 17 9 14" xfId="3491" xr:uid="{00000000-0005-0000-0000-0000B40D0000}"/>
    <cellStyle name="Normal 2 4 17 9 14 2" xfId="21382" xr:uid="{00000000-0005-0000-0000-0000B50D0000}"/>
    <cellStyle name="Normal 2 4 17 9 15" xfId="21377" xr:uid="{00000000-0005-0000-0000-0000B60D0000}"/>
    <cellStyle name="Normal 2 4 17 9 2" xfId="3492" xr:uid="{00000000-0005-0000-0000-0000B70D0000}"/>
    <cellStyle name="Normal 2 4 17 9 2 2" xfId="21383" xr:uid="{00000000-0005-0000-0000-0000B80D0000}"/>
    <cellStyle name="Normal 2 4 17 9 3" xfId="3493" xr:uid="{00000000-0005-0000-0000-0000B90D0000}"/>
    <cellStyle name="Normal 2 4 17 9 3 2" xfId="21384" xr:uid="{00000000-0005-0000-0000-0000BA0D0000}"/>
    <cellStyle name="Normal 2 4 17 9 4" xfId="3494" xr:uid="{00000000-0005-0000-0000-0000BB0D0000}"/>
    <cellStyle name="Normal 2 4 17 9 4 2" xfId="21385" xr:uid="{00000000-0005-0000-0000-0000BC0D0000}"/>
    <cellStyle name="Normal 2 4 17 9 5" xfId="3495" xr:uid="{00000000-0005-0000-0000-0000BD0D0000}"/>
    <cellStyle name="Normal 2 4 17 9 5 2" xfId="21386" xr:uid="{00000000-0005-0000-0000-0000BE0D0000}"/>
    <cellStyle name="Normal 2 4 17 9 6" xfId="3496" xr:uid="{00000000-0005-0000-0000-0000BF0D0000}"/>
    <cellStyle name="Normal 2 4 17 9 6 2" xfId="21387" xr:uid="{00000000-0005-0000-0000-0000C00D0000}"/>
    <cellStyle name="Normal 2 4 17 9 7" xfId="3497" xr:uid="{00000000-0005-0000-0000-0000C10D0000}"/>
    <cellStyle name="Normal 2 4 17 9 7 2" xfId="21388" xr:uid="{00000000-0005-0000-0000-0000C20D0000}"/>
    <cellStyle name="Normal 2 4 17 9 8" xfId="3498" xr:uid="{00000000-0005-0000-0000-0000C30D0000}"/>
    <cellStyle name="Normal 2 4 17 9 8 2" xfId="21389" xr:uid="{00000000-0005-0000-0000-0000C40D0000}"/>
    <cellStyle name="Normal 2 4 17 9 9" xfId="3499" xr:uid="{00000000-0005-0000-0000-0000C50D0000}"/>
    <cellStyle name="Normal 2 4 17 9 9 2" xfId="21390" xr:uid="{00000000-0005-0000-0000-0000C60D0000}"/>
    <cellStyle name="Normal 2 4 18" xfId="3500" xr:uid="{00000000-0005-0000-0000-0000C70D0000}"/>
    <cellStyle name="Normal 2 4 18 10" xfId="3501" xr:uid="{00000000-0005-0000-0000-0000C80D0000}"/>
    <cellStyle name="Normal 2 4 18 10 10" xfId="3502" xr:uid="{00000000-0005-0000-0000-0000C90D0000}"/>
    <cellStyle name="Normal 2 4 18 10 10 2" xfId="21393" xr:uid="{00000000-0005-0000-0000-0000CA0D0000}"/>
    <cellStyle name="Normal 2 4 18 10 11" xfId="3503" xr:uid="{00000000-0005-0000-0000-0000CB0D0000}"/>
    <cellStyle name="Normal 2 4 18 10 11 2" xfId="21394" xr:uid="{00000000-0005-0000-0000-0000CC0D0000}"/>
    <cellStyle name="Normal 2 4 18 10 12" xfId="3504" xr:uid="{00000000-0005-0000-0000-0000CD0D0000}"/>
    <cellStyle name="Normal 2 4 18 10 12 2" xfId="21395" xr:uid="{00000000-0005-0000-0000-0000CE0D0000}"/>
    <cellStyle name="Normal 2 4 18 10 13" xfId="3505" xr:uid="{00000000-0005-0000-0000-0000CF0D0000}"/>
    <cellStyle name="Normal 2 4 18 10 13 2" xfId="21396" xr:uid="{00000000-0005-0000-0000-0000D00D0000}"/>
    <cellStyle name="Normal 2 4 18 10 14" xfId="3506" xr:uid="{00000000-0005-0000-0000-0000D10D0000}"/>
    <cellStyle name="Normal 2 4 18 10 14 2" xfId="21397" xr:uid="{00000000-0005-0000-0000-0000D20D0000}"/>
    <cellStyle name="Normal 2 4 18 10 15" xfId="21392" xr:uid="{00000000-0005-0000-0000-0000D30D0000}"/>
    <cellStyle name="Normal 2 4 18 10 2" xfId="3507" xr:uid="{00000000-0005-0000-0000-0000D40D0000}"/>
    <cellStyle name="Normal 2 4 18 10 2 2" xfId="21398" xr:uid="{00000000-0005-0000-0000-0000D50D0000}"/>
    <cellStyle name="Normal 2 4 18 10 3" xfId="3508" xr:uid="{00000000-0005-0000-0000-0000D60D0000}"/>
    <cellStyle name="Normal 2 4 18 10 3 2" xfId="21399" xr:uid="{00000000-0005-0000-0000-0000D70D0000}"/>
    <cellStyle name="Normal 2 4 18 10 4" xfId="3509" xr:uid="{00000000-0005-0000-0000-0000D80D0000}"/>
    <cellStyle name="Normal 2 4 18 10 4 2" xfId="21400" xr:uid="{00000000-0005-0000-0000-0000D90D0000}"/>
    <cellStyle name="Normal 2 4 18 10 5" xfId="3510" xr:uid="{00000000-0005-0000-0000-0000DA0D0000}"/>
    <cellStyle name="Normal 2 4 18 10 5 2" xfId="21401" xr:uid="{00000000-0005-0000-0000-0000DB0D0000}"/>
    <cellStyle name="Normal 2 4 18 10 6" xfId="3511" xr:uid="{00000000-0005-0000-0000-0000DC0D0000}"/>
    <cellStyle name="Normal 2 4 18 10 6 2" xfId="21402" xr:uid="{00000000-0005-0000-0000-0000DD0D0000}"/>
    <cellStyle name="Normal 2 4 18 10 7" xfId="3512" xr:uid="{00000000-0005-0000-0000-0000DE0D0000}"/>
    <cellStyle name="Normal 2 4 18 10 7 2" xfId="21403" xr:uid="{00000000-0005-0000-0000-0000DF0D0000}"/>
    <cellStyle name="Normal 2 4 18 10 8" xfId="3513" xr:uid="{00000000-0005-0000-0000-0000E00D0000}"/>
    <cellStyle name="Normal 2 4 18 10 8 2" xfId="21404" xr:uid="{00000000-0005-0000-0000-0000E10D0000}"/>
    <cellStyle name="Normal 2 4 18 10 9" xfId="3514" xr:uid="{00000000-0005-0000-0000-0000E20D0000}"/>
    <cellStyle name="Normal 2 4 18 10 9 2" xfId="21405" xr:uid="{00000000-0005-0000-0000-0000E30D0000}"/>
    <cellStyle name="Normal 2 4 18 11" xfId="3515" xr:uid="{00000000-0005-0000-0000-0000E40D0000}"/>
    <cellStyle name="Normal 2 4 18 11 2" xfId="21406" xr:uid="{00000000-0005-0000-0000-0000E50D0000}"/>
    <cellStyle name="Normal 2 4 18 12" xfId="3516" xr:uid="{00000000-0005-0000-0000-0000E60D0000}"/>
    <cellStyle name="Normal 2 4 18 12 2" xfId="21407" xr:uid="{00000000-0005-0000-0000-0000E70D0000}"/>
    <cellStyle name="Normal 2 4 18 13" xfId="3517" xr:uid="{00000000-0005-0000-0000-0000E80D0000}"/>
    <cellStyle name="Normal 2 4 18 13 2" xfId="21408" xr:uid="{00000000-0005-0000-0000-0000E90D0000}"/>
    <cellStyle name="Normal 2 4 18 14" xfId="3518" xr:uid="{00000000-0005-0000-0000-0000EA0D0000}"/>
    <cellStyle name="Normal 2 4 18 14 2" xfId="21409" xr:uid="{00000000-0005-0000-0000-0000EB0D0000}"/>
    <cellStyle name="Normal 2 4 18 15" xfId="3519" xr:uid="{00000000-0005-0000-0000-0000EC0D0000}"/>
    <cellStyle name="Normal 2 4 18 15 2" xfId="21410" xr:uid="{00000000-0005-0000-0000-0000ED0D0000}"/>
    <cellStyle name="Normal 2 4 18 16" xfId="3520" xr:uid="{00000000-0005-0000-0000-0000EE0D0000}"/>
    <cellStyle name="Normal 2 4 18 16 2" xfId="21411" xr:uid="{00000000-0005-0000-0000-0000EF0D0000}"/>
    <cellStyle name="Normal 2 4 18 17" xfId="3521" xr:uid="{00000000-0005-0000-0000-0000F00D0000}"/>
    <cellStyle name="Normal 2 4 18 17 2" xfId="21412" xr:uid="{00000000-0005-0000-0000-0000F10D0000}"/>
    <cellStyle name="Normal 2 4 18 18" xfId="3522" xr:uid="{00000000-0005-0000-0000-0000F20D0000}"/>
    <cellStyle name="Normal 2 4 18 18 2" xfId="21413" xr:uid="{00000000-0005-0000-0000-0000F30D0000}"/>
    <cellStyle name="Normal 2 4 18 19" xfId="3523" xr:uid="{00000000-0005-0000-0000-0000F40D0000}"/>
    <cellStyle name="Normal 2 4 18 19 2" xfId="21414" xr:uid="{00000000-0005-0000-0000-0000F50D0000}"/>
    <cellStyle name="Normal 2 4 18 2" xfId="3524" xr:uid="{00000000-0005-0000-0000-0000F60D0000}"/>
    <cellStyle name="Normal 2 4 18 2 10" xfId="3525" xr:uid="{00000000-0005-0000-0000-0000F70D0000}"/>
    <cellStyle name="Normal 2 4 18 2 10 2" xfId="21416" xr:uid="{00000000-0005-0000-0000-0000F80D0000}"/>
    <cellStyle name="Normal 2 4 18 2 11" xfId="3526" xr:uid="{00000000-0005-0000-0000-0000F90D0000}"/>
    <cellStyle name="Normal 2 4 18 2 11 2" xfId="21417" xr:uid="{00000000-0005-0000-0000-0000FA0D0000}"/>
    <cellStyle name="Normal 2 4 18 2 12" xfId="3527" xr:uid="{00000000-0005-0000-0000-0000FB0D0000}"/>
    <cellStyle name="Normal 2 4 18 2 12 2" xfId="21418" xr:uid="{00000000-0005-0000-0000-0000FC0D0000}"/>
    <cellStyle name="Normal 2 4 18 2 13" xfId="3528" xr:uid="{00000000-0005-0000-0000-0000FD0D0000}"/>
    <cellStyle name="Normal 2 4 18 2 13 2" xfId="21419" xr:uid="{00000000-0005-0000-0000-0000FE0D0000}"/>
    <cellStyle name="Normal 2 4 18 2 14" xfId="3529" xr:uid="{00000000-0005-0000-0000-0000FF0D0000}"/>
    <cellStyle name="Normal 2 4 18 2 14 2" xfId="21420" xr:uid="{00000000-0005-0000-0000-0000000E0000}"/>
    <cellStyle name="Normal 2 4 18 2 15" xfId="3530" xr:uid="{00000000-0005-0000-0000-0000010E0000}"/>
    <cellStyle name="Normal 2 4 18 2 15 2" xfId="21421" xr:uid="{00000000-0005-0000-0000-0000020E0000}"/>
    <cellStyle name="Normal 2 4 18 2 16" xfId="21415" xr:uid="{00000000-0005-0000-0000-0000030E0000}"/>
    <cellStyle name="Normal 2 4 18 2 2" xfId="3531" xr:uid="{00000000-0005-0000-0000-0000040E0000}"/>
    <cellStyle name="Normal 2 4 18 2 2 10" xfId="3532" xr:uid="{00000000-0005-0000-0000-0000050E0000}"/>
    <cellStyle name="Normal 2 4 18 2 2 10 2" xfId="21423" xr:uid="{00000000-0005-0000-0000-0000060E0000}"/>
    <cellStyle name="Normal 2 4 18 2 2 11" xfId="3533" xr:uid="{00000000-0005-0000-0000-0000070E0000}"/>
    <cellStyle name="Normal 2 4 18 2 2 11 2" xfId="21424" xr:uid="{00000000-0005-0000-0000-0000080E0000}"/>
    <cellStyle name="Normal 2 4 18 2 2 12" xfId="3534" xr:uid="{00000000-0005-0000-0000-0000090E0000}"/>
    <cellStyle name="Normal 2 4 18 2 2 12 2" xfId="21425" xr:uid="{00000000-0005-0000-0000-00000A0E0000}"/>
    <cellStyle name="Normal 2 4 18 2 2 13" xfId="3535" xr:uid="{00000000-0005-0000-0000-00000B0E0000}"/>
    <cellStyle name="Normal 2 4 18 2 2 13 2" xfId="21426" xr:uid="{00000000-0005-0000-0000-00000C0E0000}"/>
    <cellStyle name="Normal 2 4 18 2 2 14" xfId="3536" xr:uid="{00000000-0005-0000-0000-00000D0E0000}"/>
    <cellStyle name="Normal 2 4 18 2 2 14 2" xfId="21427" xr:uid="{00000000-0005-0000-0000-00000E0E0000}"/>
    <cellStyle name="Normal 2 4 18 2 2 15" xfId="21422" xr:uid="{00000000-0005-0000-0000-00000F0E0000}"/>
    <cellStyle name="Normal 2 4 18 2 2 2" xfId="3537" xr:uid="{00000000-0005-0000-0000-0000100E0000}"/>
    <cellStyle name="Normal 2 4 18 2 2 2 2" xfId="21428" xr:uid="{00000000-0005-0000-0000-0000110E0000}"/>
    <cellStyle name="Normal 2 4 18 2 2 3" xfId="3538" xr:uid="{00000000-0005-0000-0000-0000120E0000}"/>
    <cellStyle name="Normal 2 4 18 2 2 3 2" xfId="21429" xr:uid="{00000000-0005-0000-0000-0000130E0000}"/>
    <cellStyle name="Normal 2 4 18 2 2 4" xfId="3539" xr:uid="{00000000-0005-0000-0000-0000140E0000}"/>
    <cellStyle name="Normal 2 4 18 2 2 4 2" xfId="21430" xr:uid="{00000000-0005-0000-0000-0000150E0000}"/>
    <cellStyle name="Normal 2 4 18 2 2 5" xfId="3540" xr:uid="{00000000-0005-0000-0000-0000160E0000}"/>
    <cellStyle name="Normal 2 4 18 2 2 5 2" xfId="21431" xr:uid="{00000000-0005-0000-0000-0000170E0000}"/>
    <cellStyle name="Normal 2 4 18 2 2 6" xfId="3541" xr:uid="{00000000-0005-0000-0000-0000180E0000}"/>
    <cellStyle name="Normal 2 4 18 2 2 6 2" xfId="21432" xr:uid="{00000000-0005-0000-0000-0000190E0000}"/>
    <cellStyle name="Normal 2 4 18 2 2 7" xfId="3542" xr:uid="{00000000-0005-0000-0000-00001A0E0000}"/>
    <cellStyle name="Normal 2 4 18 2 2 7 2" xfId="21433" xr:uid="{00000000-0005-0000-0000-00001B0E0000}"/>
    <cellStyle name="Normal 2 4 18 2 2 8" xfId="3543" xr:uid="{00000000-0005-0000-0000-00001C0E0000}"/>
    <cellStyle name="Normal 2 4 18 2 2 8 2" xfId="21434" xr:uid="{00000000-0005-0000-0000-00001D0E0000}"/>
    <cellStyle name="Normal 2 4 18 2 2 9" xfId="3544" xr:uid="{00000000-0005-0000-0000-00001E0E0000}"/>
    <cellStyle name="Normal 2 4 18 2 2 9 2" xfId="21435" xr:uid="{00000000-0005-0000-0000-00001F0E0000}"/>
    <cellStyle name="Normal 2 4 18 2 3" xfId="3545" xr:uid="{00000000-0005-0000-0000-0000200E0000}"/>
    <cellStyle name="Normal 2 4 18 2 3 2" xfId="21436" xr:uid="{00000000-0005-0000-0000-0000210E0000}"/>
    <cellStyle name="Normal 2 4 18 2 4" xfId="3546" xr:uid="{00000000-0005-0000-0000-0000220E0000}"/>
    <cellStyle name="Normal 2 4 18 2 4 2" xfId="21437" xr:uid="{00000000-0005-0000-0000-0000230E0000}"/>
    <cellStyle name="Normal 2 4 18 2 5" xfId="3547" xr:uid="{00000000-0005-0000-0000-0000240E0000}"/>
    <cellStyle name="Normal 2 4 18 2 5 2" xfId="21438" xr:uid="{00000000-0005-0000-0000-0000250E0000}"/>
    <cellStyle name="Normal 2 4 18 2 6" xfId="3548" xr:uid="{00000000-0005-0000-0000-0000260E0000}"/>
    <cellStyle name="Normal 2 4 18 2 6 2" xfId="21439" xr:uid="{00000000-0005-0000-0000-0000270E0000}"/>
    <cellStyle name="Normal 2 4 18 2 7" xfId="3549" xr:uid="{00000000-0005-0000-0000-0000280E0000}"/>
    <cellStyle name="Normal 2 4 18 2 7 2" xfId="21440" xr:uid="{00000000-0005-0000-0000-0000290E0000}"/>
    <cellStyle name="Normal 2 4 18 2 8" xfId="3550" xr:uid="{00000000-0005-0000-0000-00002A0E0000}"/>
    <cellStyle name="Normal 2 4 18 2 8 2" xfId="21441" xr:uid="{00000000-0005-0000-0000-00002B0E0000}"/>
    <cellStyle name="Normal 2 4 18 2 9" xfId="3551" xr:uid="{00000000-0005-0000-0000-00002C0E0000}"/>
    <cellStyle name="Normal 2 4 18 2 9 2" xfId="21442" xr:uid="{00000000-0005-0000-0000-00002D0E0000}"/>
    <cellStyle name="Normal 2 4 18 20" xfId="3552" xr:uid="{00000000-0005-0000-0000-00002E0E0000}"/>
    <cellStyle name="Normal 2 4 18 20 2" xfId="21443" xr:uid="{00000000-0005-0000-0000-00002F0E0000}"/>
    <cellStyle name="Normal 2 4 18 21" xfId="3553" xr:uid="{00000000-0005-0000-0000-0000300E0000}"/>
    <cellStyle name="Normal 2 4 18 21 2" xfId="21444" xr:uid="{00000000-0005-0000-0000-0000310E0000}"/>
    <cellStyle name="Normal 2 4 18 22" xfId="3554" xr:uid="{00000000-0005-0000-0000-0000320E0000}"/>
    <cellStyle name="Normal 2 4 18 22 2" xfId="21445" xr:uid="{00000000-0005-0000-0000-0000330E0000}"/>
    <cellStyle name="Normal 2 4 18 23" xfId="3555" xr:uid="{00000000-0005-0000-0000-0000340E0000}"/>
    <cellStyle name="Normal 2 4 18 23 2" xfId="21446" xr:uid="{00000000-0005-0000-0000-0000350E0000}"/>
    <cellStyle name="Normal 2 4 18 24" xfId="21391" xr:uid="{00000000-0005-0000-0000-0000360E0000}"/>
    <cellStyle name="Normal 2 4 18 3" xfId="3556" xr:uid="{00000000-0005-0000-0000-0000370E0000}"/>
    <cellStyle name="Normal 2 4 18 3 10" xfId="3557" xr:uid="{00000000-0005-0000-0000-0000380E0000}"/>
    <cellStyle name="Normal 2 4 18 3 10 2" xfId="21448" xr:uid="{00000000-0005-0000-0000-0000390E0000}"/>
    <cellStyle name="Normal 2 4 18 3 11" xfId="3558" xr:uid="{00000000-0005-0000-0000-00003A0E0000}"/>
    <cellStyle name="Normal 2 4 18 3 11 2" xfId="21449" xr:uid="{00000000-0005-0000-0000-00003B0E0000}"/>
    <cellStyle name="Normal 2 4 18 3 12" xfId="3559" xr:uid="{00000000-0005-0000-0000-00003C0E0000}"/>
    <cellStyle name="Normal 2 4 18 3 12 2" xfId="21450" xr:uid="{00000000-0005-0000-0000-00003D0E0000}"/>
    <cellStyle name="Normal 2 4 18 3 13" xfId="3560" xr:uid="{00000000-0005-0000-0000-00003E0E0000}"/>
    <cellStyle name="Normal 2 4 18 3 13 2" xfId="21451" xr:uid="{00000000-0005-0000-0000-00003F0E0000}"/>
    <cellStyle name="Normal 2 4 18 3 14" xfId="3561" xr:uid="{00000000-0005-0000-0000-0000400E0000}"/>
    <cellStyle name="Normal 2 4 18 3 14 2" xfId="21452" xr:uid="{00000000-0005-0000-0000-0000410E0000}"/>
    <cellStyle name="Normal 2 4 18 3 15" xfId="3562" xr:uid="{00000000-0005-0000-0000-0000420E0000}"/>
    <cellStyle name="Normal 2 4 18 3 15 2" xfId="21453" xr:uid="{00000000-0005-0000-0000-0000430E0000}"/>
    <cellStyle name="Normal 2 4 18 3 16" xfId="21447" xr:uid="{00000000-0005-0000-0000-0000440E0000}"/>
    <cellStyle name="Normal 2 4 18 3 2" xfId="3563" xr:uid="{00000000-0005-0000-0000-0000450E0000}"/>
    <cellStyle name="Normal 2 4 18 3 2 10" xfId="3564" xr:uid="{00000000-0005-0000-0000-0000460E0000}"/>
    <cellStyle name="Normal 2 4 18 3 2 10 2" xfId="21455" xr:uid="{00000000-0005-0000-0000-0000470E0000}"/>
    <cellStyle name="Normal 2 4 18 3 2 11" xfId="3565" xr:uid="{00000000-0005-0000-0000-0000480E0000}"/>
    <cellStyle name="Normal 2 4 18 3 2 11 2" xfId="21456" xr:uid="{00000000-0005-0000-0000-0000490E0000}"/>
    <cellStyle name="Normal 2 4 18 3 2 12" xfId="3566" xr:uid="{00000000-0005-0000-0000-00004A0E0000}"/>
    <cellStyle name="Normal 2 4 18 3 2 12 2" xfId="21457" xr:uid="{00000000-0005-0000-0000-00004B0E0000}"/>
    <cellStyle name="Normal 2 4 18 3 2 13" xfId="3567" xr:uid="{00000000-0005-0000-0000-00004C0E0000}"/>
    <cellStyle name="Normal 2 4 18 3 2 13 2" xfId="21458" xr:uid="{00000000-0005-0000-0000-00004D0E0000}"/>
    <cellStyle name="Normal 2 4 18 3 2 14" xfId="3568" xr:uid="{00000000-0005-0000-0000-00004E0E0000}"/>
    <cellStyle name="Normal 2 4 18 3 2 14 2" xfId="21459" xr:uid="{00000000-0005-0000-0000-00004F0E0000}"/>
    <cellStyle name="Normal 2 4 18 3 2 15" xfId="21454" xr:uid="{00000000-0005-0000-0000-0000500E0000}"/>
    <cellStyle name="Normal 2 4 18 3 2 2" xfId="3569" xr:uid="{00000000-0005-0000-0000-0000510E0000}"/>
    <cellStyle name="Normal 2 4 18 3 2 2 2" xfId="21460" xr:uid="{00000000-0005-0000-0000-0000520E0000}"/>
    <cellStyle name="Normal 2 4 18 3 2 3" xfId="3570" xr:uid="{00000000-0005-0000-0000-0000530E0000}"/>
    <cellStyle name="Normal 2 4 18 3 2 3 2" xfId="21461" xr:uid="{00000000-0005-0000-0000-0000540E0000}"/>
    <cellStyle name="Normal 2 4 18 3 2 4" xfId="3571" xr:uid="{00000000-0005-0000-0000-0000550E0000}"/>
    <cellStyle name="Normal 2 4 18 3 2 4 2" xfId="21462" xr:uid="{00000000-0005-0000-0000-0000560E0000}"/>
    <cellStyle name="Normal 2 4 18 3 2 5" xfId="3572" xr:uid="{00000000-0005-0000-0000-0000570E0000}"/>
    <cellStyle name="Normal 2 4 18 3 2 5 2" xfId="21463" xr:uid="{00000000-0005-0000-0000-0000580E0000}"/>
    <cellStyle name="Normal 2 4 18 3 2 6" xfId="3573" xr:uid="{00000000-0005-0000-0000-0000590E0000}"/>
    <cellStyle name="Normal 2 4 18 3 2 6 2" xfId="21464" xr:uid="{00000000-0005-0000-0000-00005A0E0000}"/>
    <cellStyle name="Normal 2 4 18 3 2 7" xfId="3574" xr:uid="{00000000-0005-0000-0000-00005B0E0000}"/>
    <cellStyle name="Normal 2 4 18 3 2 7 2" xfId="21465" xr:uid="{00000000-0005-0000-0000-00005C0E0000}"/>
    <cellStyle name="Normal 2 4 18 3 2 8" xfId="3575" xr:uid="{00000000-0005-0000-0000-00005D0E0000}"/>
    <cellStyle name="Normal 2 4 18 3 2 8 2" xfId="21466" xr:uid="{00000000-0005-0000-0000-00005E0E0000}"/>
    <cellStyle name="Normal 2 4 18 3 2 9" xfId="3576" xr:uid="{00000000-0005-0000-0000-00005F0E0000}"/>
    <cellStyle name="Normal 2 4 18 3 2 9 2" xfId="21467" xr:uid="{00000000-0005-0000-0000-0000600E0000}"/>
    <cellStyle name="Normal 2 4 18 3 3" xfId="3577" xr:uid="{00000000-0005-0000-0000-0000610E0000}"/>
    <cellStyle name="Normal 2 4 18 3 3 2" xfId="21468" xr:uid="{00000000-0005-0000-0000-0000620E0000}"/>
    <cellStyle name="Normal 2 4 18 3 4" xfId="3578" xr:uid="{00000000-0005-0000-0000-0000630E0000}"/>
    <cellStyle name="Normal 2 4 18 3 4 2" xfId="21469" xr:uid="{00000000-0005-0000-0000-0000640E0000}"/>
    <cellStyle name="Normal 2 4 18 3 5" xfId="3579" xr:uid="{00000000-0005-0000-0000-0000650E0000}"/>
    <cellStyle name="Normal 2 4 18 3 5 2" xfId="21470" xr:uid="{00000000-0005-0000-0000-0000660E0000}"/>
    <cellStyle name="Normal 2 4 18 3 6" xfId="3580" xr:uid="{00000000-0005-0000-0000-0000670E0000}"/>
    <cellStyle name="Normal 2 4 18 3 6 2" xfId="21471" xr:uid="{00000000-0005-0000-0000-0000680E0000}"/>
    <cellStyle name="Normal 2 4 18 3 7" xfId="3581" xr:uid="{00000000-0005-0000-0000-0000690E0000}"/>
    <cellStyle name="Normal 2 4 18 3 7 2" xfId="21472" xr:uid="{00000000-0005-0000-0000-00006A0E0000}"/>
    <cellStyle name="Normal 2 4 18 3 8" xfId="3582" xr:uid="{00000000-0005-0000-0000-00006B0E0000}"/>
    <cellStyle name="Normal 2 4 18 3 8 2" xfId="21473" xr:uid="{00000000-0005-0000-0000-00006C0E0000}"/>
    <cellStyle name="Normal 2 4 18 3 9" xfId="3583" xr:uid="{00000000-0005-0000-0000-00006D0E0000}"/>
    <cellStyle name="Normal 2 4 18 3 9 2" xfId="21474" xr:uid="{00000000-0005-0000-0000-00006E0E0000}"/>
    <cellStyle name="Normal 2 4 18 4" xfId="3584" xr:uid="{00000000-0005-0000-0000-00006F0E0000}"/>
    <cellStyle name="Normal 2 4 18 4 10" xfId="3585" xr:uid="{00000000-0005-0000-0000-0000700E0000}"/>
    <cellStyle name="Normal 2 4 18 4 10 2" xfId="21476" xr:uid="{00000000-0005-0000-0000-0000710E0000}"/>
    <cellStyle name="Normal 2 4 18 4 11" xfId="3586" xr:uid="{00000000-0005-0000-0000-0000720E0000}"/>
    <cellStyle name="Normal 2 4 18 4 11 2" xfId="21477" xr:uid="{00000000-0005-0000-0000-0000730E0000}"/>
    <cellStyle name="Normal 2 4 18 4 12" xfId="3587" xr:uid="{00000000-0005-0000-0000-0000740E0000}"/>
    <cellStyle name="Normal 2 4 18 4 12 2" xfId="21478" xr:uid="{00000000-0005-0000-0000-0000750E0000}"/>
    <cellStyle name="Normal 2 4 18 4 13" xfId="3588" xr:uid="{00000000-0005-0000-0000-0000760E0000}"/>
    <cellStyle name="Normal 2 4 18 4 13 2" xfId="21479" xr:uid="{00000000-0005-0000-0000-0000770E0000}"/>
    <cellStyle name="Normal 2 4 18 4 14" xfId="3589" xr:uid="{00000000-0005-0000-0000-0000780E0000}"/>
    <cellStyle name="Normal 2 4 18 4 14 2" xfId="21480" xr:uid="{00000000-0005-0000-0000-0000790E0000}"/>
    <cellStyle name="Normal 2 4 18 4 15" xfId="3590" xr:uid="{00000000-0005-0000-0000-00007A0E0000}"/>
    <cellStyle name="Normal 2 4 18 4 15 2" xfId="21481" xr:uid="{00000000-0005-0000-0000-00007B0E0000}"/>
    <cellStyle name="Normal 2 4 18 4 16" xfId="21475" xr:uid="{00000000-0005-0000-0000-00007C0E0000}"/>
    <cellStyle name="Normal 2 4 18 4 2" xfId="3591" xr:uid="{00000000-0005-0000-0000-00007D0E0000}"/>
    <cellStyle name="Normal 2 4 18 4 2 10" xfId="3592" xr:uid="{00000000-0005-0000-0000-00007E0E0000}"/>
    <cellStyle name="Normal 2 4 18 4 2 10 2" xfId="21483" xr:uid="{00000000-0005-0000-0000-00007F0E0000}"/>
    <cellStyle name="Normal 2 4 18 4 2 11" xfId="3593" xr:uid="{00000000-0005-0000-0000-0000800E0000}"/>
    <cellStyle name="Normal 2 4 18 4 2 11 2" xfId="21484" xr:uid="{00000000-0005-0000-0000-0000810E0000}"/>
    <cellStyle name="Normal 2 4 18 4 2 12" xfId="3594" xr:uid="{00000000-0005-0000-0000-0000820E0000}"/>
    <cellStyle name="Normal 2 4 18 4 2 12 2" xfId="21485" xr:uid="{00000000-0005-0000-0000-0000830E0000}"/>
    <cellStyle name="Normal 2 4 18 4 2 13" xfId="3595" xr:uid="{00000000-0005-0000-0000-0000840E0000}"/>
    <cellStyle name="Normal 2 4 18 4 2 13 2" xfId="21486" xr:uid="{00000000-0005-0000-0000-0000850E0000}"/>
    <cellStyle name="Normal 2 4 18 4 2 14" xfId="3596" xr:uid="{00000000-0005-0000-0000-0000860E0000}"/>
    <cellStyle name="Normal 2 4 18 4 2 14 2" xfId="21487" xr:uid="{00000000-0005-0000-0000-0000870E0000}"/>
    <cellStyle name="Normal 2 4 18 4 2 15" xfId="21482" xr:uid="{00000000-0005-0000-0000-0000880E0000}"/>
    <cellStyle name="Normal 2 4 18 4 2 2" xfId="3597" xr:uid="{00000000-0005-0000-0000-0000890E0000}"/>
    <cellStyle name="Normal 2 4 18 4 2 2 2" xfId="21488" xr:uid="{00000000-0005-0000-0000-00008A0E0000}"/>
    <cellStyle name="Normal 2 4 18 4 2 3" xfId="3598" xr:uid="{00000000-0005-0000-0000-00008B0E0000}"/>
    <cellStyle name="Normal 2 4 18 4 2 3 2" xfId="21489" xr:uid="{00000000-0005-0000-0000-00008C0E0000}"/>
    <cellStyle name="Normal 2 4 18 4 2 4" xfId="3599" xr:uid="{00000000-0005-0000-0000-00008D0E0000}"/>
    <cellStyle name="Normal 2 4 18 4 2 4 2" xfId="21490" xr:uid="{00000000-0005-0000-0000-00008E0E0000}"/>
    <cellStyle name="Normal 2 4 18 4 2 5" xfId="3600" xr:uid="{00000000-0005-0000-0000-00008F0E0000}"/>
    <cellStyle name="Normal 2 4 18 4 2 5 2" xfId="21491" xr:uid="{00000000-0005-0000-0000-0000900E0000}"/>
    <cellStyle name="Normal 2 4 18 4 2 6" xfId="3601" xr:uid="{00000000-0005-0000-0000-0000910E0000}"/>
    <cellStyle name="Normal 2 4 18 4 2 6 2" xfId="21492" xr:uid="{00000000-0005-0000-0000-0000920E0000}"/>
    <cellStyle name="Normal 2 4 18 4 2 7" xfId="3602" xr:uid="{00000000-0005-0000-0000-0000930E0000}"/>
    <cellStyle name="Normal 2 4 18 4 2 7 2" xfId="21493" xr:uid="{00000000-0005-0000-0000-0000940E0000}"/>
    <cellStyle name="Normal 2 4 18 4 2 8" xfId="3603" xr:uid="{00000000-0005-0000-0000-0000950E0000}"/>
    <cellStyle name="Normal 2 4 18 4 2 8 2" xfId="21494" xr:uid="{00000000-0005-0000-0000-0000960E0000}"/>
    <cellStyle name="Normal 2 4 18 4 2 9" xfId="3604" xr:uid="{00000000-0005-0000-0000-0000970E0000}"/>
    <cellStyle name="Normal 2 4 18 4 2 9 2" xfId="21495" xr:uid="{00000000-0005-0000-0000-0000980E0000}"/>
    <cellStyle name="Normal 2 4 18 4 3" xfId="3605" xr:uid="{00000000-0005-0000-0000-0000990E0000}"/>
    <cellStyle name="Normal 2 4 18 4 3 2" xfId="21496" xr:uid="{00000000-0005-0000-0000-00009A0E0000}"/>
    <cellStyle name="Normal 2 4 18 4 4" xfId="3606" xr:uid="{00000000-0005-0000-0000-00009B0E0000}"/>
    <cellStyle name="Normal 2 4 18 4 4 2" xfId="21497" xr:uid="{00000000-0005-0000-0000-00009C0E0000}"/>
    <cellStyle name="Normal 2 4 18 4 5" xfId="3607" xr:uid="{00000000-0005-0000-0000-00009D0E0000}"/>
    <cellStyle name="Normal 2 4 18 4 5 2" xfId="21498" xr:uid="{00000000-0005-0000-0000-00009E0E0000}"/>
    <cellStyle name="Normal 2 4 18 4 6" xfId="3608" xr:uid="{00000000-0005-0000-0000-00009F0E0000}"/>
    <cellStyle name="Normal 2 4 18 4 6 2" xfId="21499" xr:uid="{00000000-0005-0000-0000-0000A00E0000}"/>
    <cellStyle name="Normal 2 4 18 4 7" xfId="3609" xr:uid="{00000000-0005-0000-0000-0000A10E0000}"/>
    <cellStyle name="Normal 2 4 18 4 7 2" xfId="21500" xr:uid="{00000000-0005-0000-0000-0000A20E0000}"/>
    <cellStyle name="Normal 2 4 18 4 8" xfId="3610" xr:uid="{00000000-0005-0000-0000-0000A30E0000}"/>
    <cellStyle name="Normal 2 4 18 4 8 2" xfId="21501" xr:uid="{00000000-0005-0000-0000-0000A40E0000}"/>
    <cellStyle name="Normal 2 4 18 4 9" xfId="3611" xr:uid="{00000000-0005-0000-0000-0000A50E0000}"/>
    <cellStyle name="Normal 2 4 18 4 9 2" xfId="21502" xr:uid="{00000000-0005-0000-0000-0000A60E0000}"/>
    <cellStyle name="Normal 2 4 18 5" xfId="3612" xr:uid="{00000000-0005-0000-0000-0000A70E0000}"/>
    <cellStyle name="Normal 2 4 18 5 10" xfId="3613" xr:uid="{00000000-0005-0000-0000-0000A80E0000}"/>
    <cellStyle name="Normal 2 4 18 5 10 2" xfId="21504" xr:uid="{00000000-0005-0000-0000-0000A90E0000}"/>
    <cellStyle name="Normal 2 4 18 5 11" xfId="3614" xr:uid="{00000000-0005-0000-0000-0000AA0E0000}"/>
    <cellStyle name="Normal 2 4 18 5 11 2" xfId="21505" xr:uid="{00000000-0005-0000-0000-0000AB0E0000}"/>
    <cellStyle name="Normal 2 4 18 5 12" xfId="3615" xr:uid="{00000000-0005-0000-0000-0000AC0E0000}"/>
    <cellStyle name="Normal 2 4 18 5 12 2" xfId="21506" xr:uid="{00000000-0005-0000-0000-0000AD0E0000}"/>
    <cellStyle name="Normal 2 4 18 5 13" xfId="3616" xr:uid="{00000000-0005-0000-0000-0000AE0E0000}"/>
    <cellStyle name="Normal 2 4 18 5 13 2" xfId="21507" xr:uid="{00000000-0005-0000-0000-0000AF0E0000}"/>
    <cellStyle name="Normal 2 4 18 5 14" xfId="3617" xr:uid="{00000000-0005-0000-0000-0000B00E0000}"/>
    <cellStyle name="Normal 2 4 18 5 14 2" xfId="21508" xr:uid="{00000000-0005-0000-0000-0000B10E0000}"/>
    <cellStyle name="Normal 2 4 18 5 15" xfId="21503" xr:uid="{00000000-0005-0000-0000-0000B20E0000}"/>
    <cellStyle name="Normal 2 4 18 5 2" xfId="3618" xr:uid="{00000000-0005-0000-0000-0000B30E0000}"/>
    <cellStyle name="Normal 2 4 18 5 2 2" xfId="21509" xr:uid="{00000000-0005-0000-0000-0000B40E0000}"/>
    <cellStyle name="Normal 2 4 18 5 3" xfId="3619" xr:uid="{00000000-0005-0000-0000-0000B50E0000}"/>
    <cellStyle name="Normal 2 4 18 5 3 2" xfId="21510" xr:uid="{00000000-0005-0000-0000-0000B60E0000}"/>
    <cellStyle name="Normal 2 4 18 5 4" xfId="3620" xr:uid="{00000000-0005-0000-0000-0000B70E0000}"/>
    <cellStyle name="Normal 2 4 18 5 4 2" xfId="21511" xr:uid="{00000000-0005-0000-0000-0000B80E0000}"/>
    <cellStyle name="Normal 2 4 18 5 5" xfId="3621" xr:uid="{00000000-0005-0000-0000-0000B90E0000}"/>
    <cellStyle name="Normal 2 4 18 5 5 2" xfId="21512" xr:uid="{00000000-0005-0000-0000-0000BA0E0000}"/>
    <cellStyle name="Normal 2 4 18 5 6" xfId="3622" xr:uid="{00000000-0005-0000-0000-0000BB0E0000}"/>
    <cellStyle name="Normal 2 4 18 5 6 2" xfId="21513" xr:uid="{00000000-0005-0000-0000-0000BC0E0000}"/>
    <cellStyle name="Normal 2 4 18 5 7" xfId="3623" xr:uid="{00000000-0005-0000-0000-0000BD0E0000}"/>
    <cellStyle name="Normal 2 4 18 5 7 2" xfId="21514" xr:uid="{00000000-0005-0000-0000-0000BE0E0000}"/>
    <cellStyle name="Normal 2 4 18 5 8" xfId="3624" xr:uid="{00000000-0005-0000-0000-0000BF0E0000}"/>
    <cellStyle name="Normal 2 4 18 5 8 2" xfId="21515" xr:uid="{00000000-0005-0000-0000-0000C00E0000}"/>
    <cellStyle name="Normal 2 4 18 5 9" xfId="3625" xr:uid="{00000000-0005-0000-0000-0000C10E0000}"/>
    <cellStyle name="Normal 2 4 18 5 9 2" xfId="21516" xr:uid="{00000000-0005-0000-0000-0000C20E0000}"/>
    <cellStyle name="Normal 2 4 18 6" xfId="3626" xr:uid="{00000000-0005-0000-0000-0000C30E0000}"/>
    <cellStyle name="Normal 2 4 18 6 10" xfId="3627" xr:uid="{00000000-0005-0000-0000-0000C40E0000}"/>
    <cellStyle name="Normal 2 4 18 6 10 2" xfId="21518" xr:uid="{00000000-0005-0000-0000-0000C50E0000}"/>
    <cellStyle name="Normal 2 4 18 6 11" xfId="3628" xr:uid="{00000000-0005-0000-0000-0000C60E0000}"/>
    <cellStyle name="Normal 2 4 18 6 11 2" xfId="21519" xr:uid="{00000000-0005-0000-0000-0000C70E0000}"/>
    <cellStyle name="Normal 2 4 18 6 12" xfId="3629" xr:uid="{00000000-0005-0000-0000-0000C80E0000}"/>
    <cellStyle name="Normal 2 4 18 6 12 2" xfId="21520" xr:uid="{00000000-0005-0000-0000-0000C90E0000}"/>
    <cellStyle name="Normal 2 4 18 6 13" xfId="3630" xr:uid="{00000000-0005-0000-0000-0000CA0E0000}"/>
    <cellStyle name="Normal 2 4 18 6 13 2" xfId="21521" xr:uid="{00000000-0005-0000-0000-0000CB0E0000}"/>
    <cellStyle name="Normal 2 4 18 6 14" xfId="3631" xr:uid="{00000000-0005-0000-0000-0000CC0E0000}"/>
    <cellStyle name="Normal 2 4 18 6 14 2" xfId="21522" xr:uid="{00000000-0005-0000-0000-0000CD0E0000}"/>
    <cellStyle name="Normal 2 4 18 6 15" xfId="21517" xr:uid="{00000000-0005-0000-0000-0000CE0E0000}"/>
    <cellStyle name="Normal 2 4 18 6 2" xfId="3632" xr:uid="{00000000-0005-0000-0000-0000CF0E0000}"/>
    <cellStyle name="Normal 2 4 18 6 2 2" xfId="21523" xr:uid="{00000000-0005-0000-0000-0000D00E0000}"/>
    <cellStyle name="Normal 2 4 18 6 3" xfId="3633" xr:uid="{00000000-0005-0000-0000-0000D10E0000}"/>
    <cellStyle name="Normal 2 4 18 6 3 2" xfId="21524" xr:uid="{00000000-0005-0000-0000-0000D20E0000}"/>
    <cellStyle name="Normal 2 4 18 6 4" xfId="3634" xr:uid="{00000000-0005-0000-0000-0000D30E0000}"/>
    <cellStyle name="Normal 2 4 18 6 4 2" xfId="21525" xr:uid="{00000000-0005-0000-0000-0000D40E0000}"/>
    <cellStyle name="Normal 2 4 18 6 5" xfId="3635" xr:uid="{00000000-0005-0000-0000-0000D50E0000}"/>
    <cellStyle name="Normal 2 4 18 6 5 2" xfId="21526" xr:uid="{00000000-0005-0000-0000-0000D60E0000}"/>
    <cellStyle name="Normal 2 4 18 6 6" xfId="3636" xr:uid="{00000000-0005-0000-0000-0000D70E0000}"/>
    <cellStyle name="Normal 2 4 18 6 6 2" xfId="21527" xr:uid="{00000000-0005-0000-0000-0000D80E0000}"/>
    <cellStyle name="Normal 2 4 18 6 7" xfId="3637" xr:uid="{00000000-0005-0000-0000-0000D90E0000}"/>
    <cellStyle name="Normal 2 4 18 6 7 2" xfId="21528" xr:uid="{00000000-0005-0000-0000-0000DA0E0000}"/>
    <cellStyle name="Normal 2 4 18 6 8" xfId="3638" xr:uid="{00000000-0005-0000-0000-0000DB0E0000}"/>
    <cellStyle name="Normal 2 4 18 6 8 2" xfId="21529" xr:uid="{00000000-0005-0000-0000-0000DC0E0000}"/>
    <cellStyle name="Normal 2 4 18 6 9" xfId="3639" xr:uid="{00000000-0005-0000-0000-0000DD0E0000}"/>
    <cellStyle name="Normal 2 4 18 6 9 2" xfId="21530" xr:uid="{00000000-0005-0000-0000-0000DE0E0000}"/>
    <cellStyle name="Normal 2 4 18 7" xfId="3640" xr:uid="{00000000-0005-0000-0000-0000DF0E0000}"/>
    <cellStyle name="Normal 2 4 18 7 10" xfId="3641" xr:uid="{00000000-0005-0000-0000-0000E00E0000}"/>
    <cellStyle name="Normal 2 4 18 7 10 2" xfId="21532" xr:uid="{00000000-0005-0000-0000-0000E10E0000}"/>
    <cellStyle name="Normal 2 4 18 7 11" xfId="3642" xr:uid="{00000000-0005-0000-0000-0000E20E0000}"/>
    <cellStyle name="Normal 2 4 18 7 11 2" xfId="21533" xr:uid="{00000000-0005-0000-0000-0000E30E0000}"/>
    <cellStyle name="Normal 2 4 18 7 12" xfId="3643" xr:uid="{00000000-0005-0000-0000-0000E40E0000}"/>
    <cellStyle name="Normal 2 4 18 7 12 2" xfId="21534" xr:uid="{00000000-0005-0000-0000-0000E50E0000}"/>
    <cellStyle name="Normal 2 4 18 7 13" xfId="3644" xr:uid="{00000000-0005-0000-0000-0000E60E0000}"/>
    <cellStyle name="Normal 2 4 18 7 13 2" xfId="21535" xr:uid="{00000000-0005-0000-0000-0000E70E0000}"/>
    <cellStyle name="Normal 2 4 18 7 14" xfId="3645" xr:uid="{00000000-0005-0000-0000-0000E80E0000}"/>
    <cellStyle name="Normal 2 4 18 7 14 2" xfId="21536" xr:uid="{00000000-0005-0000-0000-0000E90E0000}"/>
    <cellStyle name="Normal 2 4 18 7 15" xfId="21531" xr:uid="{00000000-0005-0000-0000-0000EA0E0000}"/>
    <cellStyle name="Normal 2 4 18 7 2" xfId="3646" xr:uid="{00000000-0005-0000-0000-0000EB0E0000}"/>
    <cellStyle name="Normal 2 4 18 7 2 2" xfId="21537" xr:uid="{00000000-0005-0000-0000-0000EC0E0000}"/>
    <cellStyle name="Normal 2 4 18 7 3" xfId="3647" xr:uid="{00000000-0005-0000-0000-0000ED0E0000}"/>
    <cellStyle name="Normal 2 4 18 7 3 2" xfId="21538" xr:uid="{00000000-0005-0000-0000-0000EE0E0000}"/>
    <cellStyle name="Normal 2 4 18 7 4" xfId="3648" xr:uid="{00000000-0005-0000-0000-0000EF0E0000}"/>
    <cellStyle name="Normal 2 4 18 7 4 2" xfId="21539" xr:uid="{00000000-0005-0000-0000-0000F00E0000}"/>
    <cellStyle name="Normal 2 4 18 7 5" xfId="3649" xr:uid="{00000000-0005-0000-0000-0000F10E0000}"/>
    <cellStyle name="Normal 2 4 18 7 5 2" xfId="21540" xr:uid="{00000000-0005-0000-0000-0000F20E0000}"/>
    <cellStyle name="Normal 2 4 18 7 6" xfId="3650" xr:uid="{00000000-0005-0000-0000-0000F30E0000}"/>
    <cellStyle name="Normal 2 4 18 7 6 2" xfId="21541" xr:uid="{00000000-0005-0000-0000-0000F40E0000}"/>
    <cellStyle name="Normal 2 4 18 7 7" xfId="3651" xr:uid="{00000000-0005-0000-0000-0000F50E0000}"/>
    <cellStyle name="Normal 2 4 18 7 7 2" xfId="21542" xr:uid="{00000000-0005-0000-0000-0000F60E0000}"/>
    <cellStyle name="Normal 2 4 18 7 8" xfId="3652" xr:uid="{00000000-0005-0000-0000-0000F70E0000}"/>
    <cellStyle name="Normal 2 4 18 7 8 2" xfId="21543" xr:uid="{00000000-0005-0000-0000-0000F80E0000}"/>
    <cellStyle name="Normal 2 4 18 7 9" xfId="3653" xr:uid="{00000000-0005-0000-0000-0000F90E0000}"/>
    <cellStyle name="Normal 2 4 18 7 9 2" xfId="21544" xr:uid="{00000000-0005-0000-0000-0000FA0E0000}"/>
    <cellStyle name="Normal 2 4 18 8" xfId="3654" xr:uid="{00000000-0005-0000-0000-0000FB0E0000}"/>
    <cellStyle name="Normal 2 4 18 8 10" xfId="3655" xr:uid="{00000000-0005-0000-0000-0000FC0E0000}"/>
    <cellStyle name="Normal 2 4 18 8 10 2" xfId="21546" xr:uid="{00000000-0005-0000-0000-0000FD0E0000}"/>
    <cellStyle name="Normal 2 4 18 8 11" xfId="3656" xr:uid="{00000000-0005-0000-0000-0000FE0E0000}"/>
    <cellStyle name="Normal 2 4 18 8 11 2" xfId="21547" xr:uid="{00000000-0005-0000-0000-0000FF0E0000}"/>
    <cellStyle name="Normal 2 4 18 8 12" xfId="3657" xr:uid="{00000000-0005-0000-0000-0000000F0000}"/>
    <cellStyle name="Normal 2 4 18 8 12 2" xfId="21548" xr:uid="{00000000-0005-0000-0000-0000010F0000}"/>
    <cellStyle name="Normal 2 4 18 8 13" xfId="3658" xr:uid="{00000000-0005-0000-0000-0000020F0000}"/>
    <cellStyle name="Normal 2 4 18 8 13 2" xfId="21549" xr:uid="{00000000-0005-0000-0000-0000030F0000}"/>
    <cellStyle name="Normal 2 4 18 8 14" xfId="3659" xr:uid="{00000000-0005-0000-0000-0000040F0000}"/>
    <cellStyle name="Normal 2 4 18 8 14 2" xfId="21550" xr:uid="{00000000-0005-0000-0000-0000050F0000}"/>
    <cellStyle name="Normal 2 4 18 8 15" xfId="21545" xr:uid="{00000000-0005-0000-0000-0000060F0000}"/>
    <cellStyle name="Normal 2 4 18 8 2" xfId="3660" xr:uid="{00000000-0005-0000-0000-0000070F0000}"/>
    <cellStyle name="Normal 2 4 18 8 2 2" xfId="21551" xr:uid="{00000000-0005-0000-0000-0000080F0000}"/>
    <cellStyle name="Normal 2 4 18 8 3" xfId="3661" xr:uid="{00000000-0005-0000-0000-0000090F0000}"/>
    <cellStyle name="Normal 2 4 18 8 3 2" xfId="21552" xr:uid="{00000000-0005-0000-0000-00000A0F0000}"/>
    <cellStyle name="Normal 2 4 18 8 4" xfId="3662" xr:uid="{00000000-0005-0000-0000-00000B0F0000}"/>
    <cellStyle name="Normal 2 4 18 8 4 2" xfId="21553" xr:uid="{00000000-0005-0000-0000-00000C0F0000}"/>
    <cellStyle name="Normal 2 4 18 8 5" xfId="3663" xr:uid="{00000000-0005-0000-0000-00000D0F0000}"/>
    <cellStyle name="Normal 2 4 18 8 5 2" xfId="21554" xr:uid="{00000000-0005-0000-0000-00000E0F0000}"/>
    <cellStyle name="Normal 2 4 18 8 6" xfId="3664" xr:uid="{00000000-0005-0000-0000-00000F0F0000}"/>
    <cellStyle name="Normal 2 4 18 8 6 2" xfId="21555" xr:uid="{00000000-0005-0000-0000-0000100F0000}"/>
    <cellStyle name="Normal 2 4 18 8 7" xfId="3665" xr:uid="{00000000-0005-0000-0000-0000110F0000}"/>
    <cellStyle name="Normal 2 4 18 8 7 2" xfId="21556" xr:uid="{00000000-0005-0000-0000-0000120F0000}"/>
    <cellStyle name="Normal 2 4 18 8 8" xfId="3666" xr:uid="{00000000-0005-0000-0000-0000130F0000}"/>
    <cellStyle name="Normal 2 4 18 8 8 2" xfId="21557" xr:uid="{00000000-0005-0000-0000-0000140F0000}"/>
    <cellStyle name="Normal 2 4 18 8 9" xfId="3667" xr:uid="{00000000-0005-0000-0000-0000150F0000}"/>
    <cellStyle name="Normal 2 4 18 8 9 2" xfId="21558" xr:uid="{00000000-0005-0000-0000-0000160F0000}"/>
    <cellStyle name="Normal 2 4 18 9" xfId="3668" xr:uid="{00000000-0005-0000-0000-0000170F0000}"/>
    <cellStyle name="Normal 2 4 18 9 10" xfId="3669" xr:uid="{00000000-0005-0000-0000-0000180F0000}"/>
    <cellStyle name="Normal 2 4 18 9 10 2" xfId="21560" xr:uid="{00000000-0005-0000-0000-0000190F0000}"/>
    <cellStyle name="Normal 2 4 18 9 11" xfId="3670" xr:uid="{00000000-0005-0000-0000-00001A0F0000}"/>
    <cellStyle name="Normal 2 4 18 9 11 2" xfId="21561" xr:uid="{00000000-0005-0000-0000-00001B0F0000}"/>
    <cellStyle name="Normal 2 4 18 9 12" xfId="3671" xr:uid="{00000000-0005-0000-0000-00001C0F0000}"/>
    <cellStyle name="Normal 2 4 18 9 12 2" xfId="21562" xr:uid="{00000000-0005-0000-0000-00001D0F0000}"/>
    <cellStyle name="Normal 2 4 18 9 13" xfId="3672" xr:uid="{00000000-0005-0000-0000-00001E0F0000}"/>
    <cellStyle name="Normal 2 4 18 9 13 2" xfId="21563" xr:uid="{00000000-0005-0000-0000-00001F0F0000}"/>
    <cellStyle name="Normal 2 4 18 9 14" xfId="3673" xr:uid="{00000000-0005-0000-0000-0000200F0000}"/>
    <cellStyle name="Normal 2 4 18 9 14 2" xfId="21564" xr:uid="{00000000-0005-0000-0000-0000210F0000}"/>
    <cellStyle name="Normal 2 4 18 9 15" xfId="21559" xr:uid="{00000000-0005-0000-0000-0000220F0000}"/>
    <cellStyle name="Normal 2 4 18 9 2" xfId="3674" xr:uid="{00000000-0005-0000-0000-0000230F0000}"/>
    <cellStyle name="Normal 2 4 18 9 2 2" xfId="21565" xr:uid="{00000000-0005-0000-0000-0000240F0000}"/>
    <cellStyle name="Normal 2 4 18 9 3" xfId="3675" xr:uid="{00000000-0005-0000-0000-0000250F0000}"/>
    <cellStyle name="Normal 2 4 18 9 3 2" xfId="21566" xr:uid="{00000000-0005-0000-0000-0000260F0000}"/>
    <cellStyle name="Normal 2 4 18 9 4" xfId="3676" xr:uid="{00000000-0005-0000-0000-0000270F0000}"/>
    <cellStyle name="Normal 2 4 18 9 4 2" xfId="21567" xr:uid="{00000000-0005-0000-0000-0000280F0000}"/>
    <cellStyle name="Normal 2 4 18 9 5" xfId="3677" xr:uid="{00000000-0005-0000-0000-0000290F0000}"/>
    <cellStyle name="Normal 2 4 18 9 5 2" xfId="21568" xr:uid="{00000000-0005-0000-0000-00002A0F0000}"/>
    <cellStyle name="Normal 2 4 18 9 6" xfId="3678" xr:uid="{00000000-0005-0000-0000-00002B0F0000}"/>
    <cellStyle name="Normal 2 4 18 9 6 2" xfId="21569" xr:uid="{00000000-0005-0000-0000-00002C0F0000}"/>
    <cellStyle name="Normal 2 4 18 9 7" xfId="3679" xr:uid="{00000000-0005-0000-0000-00002D0F0000}"/>
    <cellStyle name="Normal 2 4 18 9 7 2" xfId="21570" xr:uid="{00000000-0005-0000-0000-00002E0F0000}"/>
    <cellStyle name="Normal 2 4 18 9 8" xfId="3680" xr:uid="{00000000-0005-0000-0000-00002F0F0000}"/>
    <cellStyle name="Normal 2 4 18 9 8 2" xfId="21571" xr:uid="{00000000-0005-0000-0000-0000300F0000}"/>
    <cellStyle name="Normal 2 4 18 9 9" xfId="3681" xr:uid="{00000000-0005-0000-0000-0000310F0000}"/>
    <cellStyle name="Normal 2 4 18 9 9 2" xfId="21572" xr:uid="{00000000-0005-0000-0000-0000320F0000}"/>
    <cellStyle name="Normal 2 4 19" xfId="3682" xr:uid="{00000000-0005-0000-0000-0000330F0000}"/>
    <cellStyle name="Normal 2 4 19 10" xfId="3683" xr:uid="{00000000-0005-0000-0000-0000340F0000}"/>
    <cellStyle name="Normal 2 4 19 10 10" xfId="3684" xr:uid="{00000000-0005-0000-0000-0000350F0000}"/>
    <cellStyle name="Normal 2 4 19 10 10 2" xfId="21575" xr:uid="{00000000-0005-0000-0000-0000360F0000}"/>
    <cellStyle name="Normal 2 4 19 10 11" xfId="3685" xr:uid="{00000000-0005-0000-0000-0000370F0000}"/>
    <cellStyle name="Normal 2 4 19 10 11 2" xfId="21576" xr:uid="{00000000-0005-0000-0000-0000380F0000}"/>
    <cellStyle name="Normal 2 4 19 10 12" xfId="3686" xr:uid="{00000000-0005-0000-0000-0000390F0000}"/>
    <cellStyle name="Normal 2 4 19 10 12 2" xfId="21577" xr:uid="{00000000-0005-0000-0000-00003A0F0000}"/>
    <cellStyle name="Normal 2 4 19 10 13" xfId="3687" xr:uid="{00000000-0005-0000-0000-00003B0F0000}"/>
    <cellStyle name="Normal 2 4 19 10 13 2" xfId="21578" xr:uid="{00000000-0005-0000-0000-00003C0F0000}"/>
    <cellStyle name="Normal 2 4 19 10 14" xfId="3688" xr:uid="{00000000-0005-0000-0000-00003D0F0000}"/>
    <cellStyle name="Normal 2 4 19 10 14 2" xfId="21579" xr:uid="{00000000-0005-0000-0000-00003E0F0000}"/>
    <cellStyle name="Normal 2 4 19 10 15" xfId="21574" xr:uid="{00000000-0005-0000-0000-00003F0F0000}"/>
    <cellStyle name="Normal 2 4 19 10 2" xfId="3689" xr:uid="{00000000-0005-0000-0000-0000400F0000}"/>
    <cellStyle name="Normal 2 4 19 10 2 2" xfId="21580" xr:uid="{00000000-0005-0000-0000-0000410F0000}"/>
    <cellStyle name="Normal 2 4 19 10 3" xfId="3690" xr:uid="{00000000-0005-0000-0000-0000420F0000}"/>
    <cellStyle name="Normal 2 4 19 10 3 2" xfId="21581" xr:uid="{00000000-0005-0000-0000-0000430F0000}"/>
    <cellStyle name="Normal 2 4 19 10 4" xfId="3691" xr:uid="{00000000-0005-0000-0000-0000440F0000}"/>
    <cellStyle name="Normal 2 4 19 10 4 2" xfId="21582" xr:uid="{00000000-0005-0000-0000-0000450F0000}"/>
    <cellStyle name="Normal 2 4 19 10 5" xfId="3692" xr:uid="{00000000-0005-0000-0000-0000460F0000}"/>
    <cellStyle name="Normal 2 4 19 10 5 2" xfId="21583" xr:uid="{00000000-0005-0000-0000-0000470F0000}"/>
    <cellStyle name="Normal 2 4 19 10 6" xfId="3693" xr:uid="{00000000-0005-0000-0000-0000480F0000}"/>
    <cellStyle name="Normal 2 4 19 10 6 2" xfId="21584" xr:uid="{00000000-0005-0000-0000-0000490F0000}"/>
    <cellStyle name="Normal 2 4 19 10 7" xfId="3694" xr:uid="{00000000-0005-0000-0000-00004A0F0000}"/>
    <cellStyle name="Normal 2 4 19 10 7 2" xfId="21585" xr:uid="{00000000-0005-0000-0000-00004B0F0000}"/>
    <cellStyle name="Normal 2 4 19 10 8" xfId="3695" xr:uid="{00000000-0005-0000-0000-00004C0F0000}"/>
    <cellStyle name="Normal 2 4 19 10 8 2" xfId="21586" xr:uid="{00000000-0005-0000-0000-00004D0F0000}"/>
    <cellStyle name="Normal 2 4 19 10 9" xfId="3696" xr:uid="{00000000-0005-0000-0000-00004E0F0000}"/>
    <cellStyle name="Normal 2 4 19 10 9 2" xfId="21587" xr:uid="{00000000-0005-0000-0000-00004F0F0000}"/>
    <cellStyle name="Normal 2 4 19 11" xfId="3697" xr:uid="{00000000-0005-0000-0000-0000500F0000}"/>
    <cellStyle name="Normal 2 4 19 11 2" xfId="21588" xr:uid="{00000000-0005-0000-0000-0000510F0000}"/>
    <cellStyle name="Normal 2 4 19 12" xfId="3698" xr:uid="{00000000-0005-0000-0000-0000520F0000}"/>
    <cellStyle name="Normal 2 4 19 12 2" xfId="21589" xr:uid="{00000000-0005-0000-0000-0000530F0000}"/>
    <cellStyle name="Normal 2 4 19 13" xfId="3699" xr:uid="{00000000-0005-0000-0000-0000540F0000}"/>
    <cellStyle name="Normal 2 4 19 13 2" xfId="21590" xr:uid="{00000000-0005-0000-0000-0000550F0000}"/>
    <cellStyle name="Normal 2 4 19 14" xfId="3700" xr:uid="{00000000-0005-0000-0000-0000560F0000}"/>
    <cellStyle name="Normal 2 4 19 14 2" xfId="21591" xr:uid="{00000000-0005-0000-0000-0000570F0000}"/>
    <cellStyle name="Normal 2 4 19 15" xfId="3701" xr:uid="{00000000-0005-0000-0000-0000580F0000}"/>
    <cellStyle name="Normal 2 4 19 15 2" xfId="21592" xr:uid="{00000000-0005-0000-0000-0000590F0000}"/>
    <cellStyle name="Normal 2 4 19 16" xfId="3702" xr:uid="{00000000-0005-0000-0000-00005A0F0000}"/>
    <cellStyle name="Normal 2 4 19 16 2" xfId="21593" xr:uid="{00000000-0005-0000-0000-00005B0F0000}"/>
    <cellStyle name="Normal 2 4 19 17" xfId="3703" xr:uid="{00000000-0005-0000-0000-00005C0F0000}"/>
    <cellStyle name="Normal 2 4 19 17 2" xfId="21594" xr:uid="{00000000-0005-0000-0000-00005D0F0000}"/>
    <cellStyle name="Normal 2 4 19 18" xfId="3704" xr:uid="{00000000-0005-0000-0000-00005E0F0000}"/>
    <cellStyle name="Normal 2 4 19 18 2" xfId="21595" xr:uid="{00000000-0005-0000-0000-00005F0F0000}"/>
    <cellStyle name="Normal 2 4 19 19" xfId="3705" xr:uid="{00000000-0005-0000-0000-0000600F0000}"/>
    <cellStyle name="Normal 2 4 19 19 2" xfId="21596" xr:uid="{00000000-0005-0000-0000-0000610F0000}"/>
    <cellStyle name="Normal 2 4 19 2" xfId="3706" xr:uid="{00000000-0005-0000-0000-0000620F0000}"/>
    <cellStyle name="Normal 2 4 19 2 10" xfId="3707" xr:uid="{00000000-0005-0000-0000-0000630F0000}"/>
    <cellStyle name="Normal 2 4 19 2 10 2" xfId="21598" xr:uid="{00000000-0005-0000-0000-0000640F0000}"/>
    <cellStyle name="Normal 2 4 19 2 11" xfId="3708" xr:uid="{00000000-0005-0000-0000-0000650F0000}"/>
    <cellStyle name="Normal 2 4 19 2 11 2" xfId="21599" xr:uid="{00000000-0005-0000-0000-0000660F0000}"/>
    <cellStyle name="Normal 2 4 19 2 12" xfId="3709" xr:uid="{00000000-0005-0000-0000-0000670F0000}"/>
    <cellStyle name="Normal 2 4 19 2 12 2" xfId="21600" xr:uid="{00000000-0005-0000-0000-0000680F0000}"/>
    <cellStyle name="Normal 2 4 19 2 13" xfId="3710" xr:uid="{00000000-0005-0000-0000-0000690F0000}"/>
    <cellStyle name="Normal 2 4 19 2 13 2" xfId="21601" xr:uid="{00000000-0005-0000-0000-00006A0F0000}"/>
    <cellStyle name="Normal 2 4 19 2 14" xfId="3711" xr:uid="{00000000-0005-0000-0000-00006B0F0000}"/>
    <cellStyle name="Normal 2 4 19 2 14 2" xfId="21602" xr:uid="{00000000-0005-0000-0000-00006C0F0000}"/>
    <cellStyle name="Normal 2 4 19 2 15" xfId="3712" xr:uid="{00000000-0005-0000-0000-00006D0F0000}"/>
    <cellStyle name="Normal 2 4 19 2 15 2" xfId="21603" xr:uid="{00000000-0005-0000-0000-00006E0F0000}"/>
    <cellStyle name="Normal 2 4 19 2 16" xfId="21597" xr:uid="{00000000-0005-0000-0000-00006F0F0000}"/>
    <cellStyle name="Normal 2 4 19 2 2" xfId="3713" xr:uid="{00000000-0005-0000-0000-0000700F0000}"/>
    <cellStyle name="Normal 2 4 19 2 2 10" xfId="3714" xr:uid="{00000000-0005-0000-0000-0000710F0000}"/>
    <cellStyle name="Normal 2 4 19 2 2 10 2" xfId="21605" xr:uid="{00000000-0005-0000-0000-0000720F0000}"/>
    <cellStyle name="Normal 2 4 19 2 2 11" xfId="3715" xr:uid="{00000000-0005-0000-0000-0000730F0000}"/>
    <cellStyle name="Normal 2 4 19 2 2 11 2" xfId="21606" xr:uid="{00000000-0005-0000-0000-0000740F0000}"/>
    <cellStyle name="Normal 2 4 19 2 2 12" xfId="3716" xr:uid="{00000000-0005-0000-0000-0000750F0000}"/>
    <cellStyle name="Normal 2 4 19 2 2 12 2" xfId="21607" xr:uid="{00000000-0005-0000-0000-0000760F0000}"/>
    <cellStyle name="Normal 2 4 19 2 2 13" xfId="3717" xr:uid="{00000000-0005-0000-0000-0000770F0000}"/>
    <cellStyle name="Normal 2 4 19 2 2 13 2" xfId="21608" xr:uid="{00000000-0005-0000-0000-0000780F0000}"/>
    <cellStyle name="Normal 2 4 19 2 2 14" xfId="3718" xr:uid="{00000000-0005-0000-0000-0000790F0000}"/>
    <cellStyle name="Normal 2 4 19 2 2 14 2" xfId="21609" xr:uid="{00000000-0005-0000-0000-00007A0F0000}"/>
    <cellStyle name="Normal 2 4 19 2 2 15" xfId="21604" xr:uid="{00000000-0005-0000-0000-00007B0F0000}"/>
    <cellStyle name="Normal 2 4 19 2 2 2" xfId="3719" xr:uid="{00000000-0005-0000-0000-00007C0F0000}"/>
    <cellStyle name="Normal 2 4 19 2 2 2 2" xfId="21610" xr:uid="{00000000-0005-0000-0000-00007D0F0000}"/>
    <cellStyle name="Normal 2 4 19 2 2 3" xfId="3720" xr:uid="{00000000-0005-0000-0000-00007E0F0000}"/>
    <cellStyle name="Normal 2 4 19 2 2 3 2" xfId="21611" xr:uid="{00000000-0005-0000-0000-00007F0F0000}"/>
    <cellStyle name="Normal 2 4 19 2 2 4" xfId="3721" xr:uid="{00000000-0005-0000-0000-0000800F0000}"/>
    <cellStyle name="Normal 2 4 19 2 2 4 2" xfId="21612" xr:uid="{00000000-0005-0000-0000-0000810F0000}"/>
    <cellStyle name="Normal 2 4 19 2 2 5" xfId="3722" xr:uid="{00000000-0005-0000-0000-0000820F0000}"/>
    <cellStyle name="Normal 2 4 19 2 2 5 2" xfId="21613" xr:uid="{00000000-0005-0000-0000-0000830F0000}"/>
    <cellStyle name="Normal 2 4 19 2 2 6" xfId="3723" xr:uid="{00000000-0005-0000-0000-0000840F0000}"/>
    <cellStyle name="Normal 2 4 19 2 2 6 2" xfId="21614" xr:uid="{00000000-0005-0000-0000-0000850F0000}"/>
    <cellStyle name="Normal 2 4 19 2 2 7" xfId="3724" xr:uid="{00000000-0005-0000-0000-0000860F0000}"/>
    <cellStyle name="Normal 2 4 19 2 2 7 2" xfId="21615" xr:uid="{00000000-0005-0000-0000-0000870F0000}"/>
    <cellStyle name="Normal 2 4 19 2 2 8" xfId="3725" xr:uid="{00000000-0005-0000-0000-0000880F0000}"/>
    <cellStyle name="Normal 2 4 19 2 2 8 2" xfId="21616" xr:uid="{00000000-0005-0000-0000-0000890F0000}"/>
    <cellStyle name="Normal 2 4 19 2 2 9" xfId="3726" xr:uid="{00000000-0005-0000-0000-00008A0F0000}"/>
    <cellStyle name="Normal 2 4 19 2 2 9 2" xfId="21617" xr:uid="{00000000-0005-0000-0000-00008B0F0000}"/>
    <cellStyle name="Normal 2 4 19 2 3" xfId="3727" xr:uid="{00000000-0005-0000-0000-00008C0F0000}"/>
    <cellStyle name="Normal 2 4 19 2 3 2" xfId="21618" xr:uid="{00000000-0005-0000-0000-00008D0F0000}"/>
    <cellStyle name="Normal 2 4 19 2 4" xfId="3728" xr:uid="{00000000-0005-0000-0000-00008E0F0000}"/>
    <cellStyle name="Normal 2 4 19 2 4 2" xfId="21619" xr:uid="{00000000-0005-0000-0000-00008F0F0000}"/>
    <cellStyle name="Normal 2 4 19 2 5" xfId="3729" xr:uid="{00000000-0005-0000-0000-0000900F0000}"/>
    <cellStyle name="Normal 2 4 19 2 5 2" xfId="21620" xr:uid="{00000000-0005-0000-0000-0000910F0000}"/>
    <cellStyle name="Normal 2 4 19 2 6" xfId="3730" xr:uid="{00000000-0005-0000-0000-0000920F0000}"/>
    <cellStyle name="Normal 2 4 19 2 6 2" xfId="21621" xr:uid="{00000000-0005-0000-0000-0000930F0000}"/>
    <cellStyle name="Normal 2 4 19 2 7" xfId="3731" xr:uid="{00000000-0005-0000-0000-0000940F0000}"/>
    <cellStyle name="Normal 2 4 19 2 7 2" xfId="21622" xr:uid="{00000000-0005-0000-0000-0000950F0000}"/>
    <cellStyle name="Normal 2 4 19 2 8" xfId="3732" xr:uid="{00000000-0005-0000-0000-0000960F0000}"/>
    <cellStyle name="Normal 2 4 19 2 8 2" xfId="21623" xr:uid="{00000000-0005-0000-0000-0000970F0000}"/>
    <cellStyle name="Normal 2 4 19 2 9" xfId="3733" xr:uid="{00000000-0005-0000-0000-0000980F0000}"/>
    <cellStyle name="Normal 2 4 19 2 9 2" xfId="21624" xr:uid="{00000000-0005-0000-0000-0000990F0000}"/>
    <cellStyle name="Normal 2 4 19 20" xfId="3734" xr:uid="{00000000-0005-0000-0000-00009A0F0000}"/>
    <cellStyle name="Normal 2 4 19 20 2" xfId="21625" xr:uid="{00000000-0005-0000-0000-00009B0F0000}"/>
    <cellStyle name="Normal 2 4 19 21" xfId="3735" xr:uid="{00000000-0005-0000-0000-00009C0F0000}"/>
    <cellStyle name="Normal 2 4 19 21 2" xfId="21626" xr:uid="{00000000-0005-0000-0000-00009D0F0000}"/>
    <cellStyle name="Normal 2 4 19 22" xfId="3736" xr:uid="{00000000-0005-0000-0000-00009E0F0000}"/>
    <cellStyle name="Normal 2 4 19 22 2" xfId="21627" xr:uid="{00000000-0005-0000-0000-00009F0F0000}"/>
    <cellStyle name="Normal 2 4 19 23" xfId="3737" xr:uid="{00000000-0005-0000-0000-0000A00F0000}"/>
    <cellStyle name="Normal 2 4 19 23 2" xfId="21628" xr:uid="{00000000-0005-0000-0000-0000A10F0000}"/>
    <cellStyle name="Normal 2 4 19 24" xfId="21573" xr:uid="{00000000-0005-0000-0000-0000A20F0000}"/>
    <cellStyle name="Normal 2 4 19 3" xfId="3738" xr:uid="{00000000-0005-0000-0000-0000A30F0000}"/>
    <cellStyle name="Normal 2 4 19 3 10" xfId="3739" xr:uid="{00000000-0005-0000-0000-0000A40F0000}"/>
    <cellStyle name="Normal 2 4 19 3 10 2" xfId="21630" xr:uid="{00000000-0005-0000-0000-0000A50F0000}"/>
    <cellStyle name="Normal 2 4 19 3 11" xfId="3740" xr:uid="{00000000-0005-0000-0000-0000A60F0000}"/>
    <cellStyle name="Normal 2 4 19 3 11 2" xfId="21631" xr:uid="{00000000-0005-0000-0000-0000A70F0000}"/>
    <cellStyle name="Normal 2 4 19 3 12" xfId="3741" xr:uid="{00000000-0005-0000-0000-0000A80F0000}"/>
    <cellStyle name="Normal 2 4 19 3 12 2" xfId="21632" xr:uid="{00000000-0005-0000-0000-0000A90F0000}"/>
    <cellStyle name="Normal 2 4 19 3 13" xfId="3742" xr:uid="{00000000-0005-0000-0000-0000AA0F0000}"/>
    <cellStyle name="Normal 2 4 19 3 13 2" xfId="21633" xr:uid="{00000000-0005-0000-0000-0000AB0F0000}"/>
    <cellStyle name="Normal 2 4 19 3 14" xfId="3743" xr:uid="{00000000-0005-0000-0000-0000AC0F0000}"/>
    <cellStyle name="Normal 2 4 19 3 14 2" xfId="21634" xr:uid="{00000000-0005-0000-0000-0000AD0F0000}"/>
    <cellStyle name="Normal 2 4 19 3 15" xfId="3744" xr:uid="{00000000-0005-0000-0000-0000AE0F0000}"/>
    <cellStyle name="Normal 2 4 19 3 15 2" xfId="21635" xr:uid="{00000000-0005-0000-0000-0000AF0F0000}"/>
    <cellStyle name="Normal 2 4 19 3 16" xfId="21629" xr:uid="{00000000-0005-0000-0000-0000B00F0000}"/>
    <cellStyle name="Normal 2 4 19 3 2" xfId="3745" xr:uid="{00000000-0005-0000-0000-0000B10F0000}"/>
    <cellStyle name="Normal 2 4 19 3 2 10" xfId="3746" xr:uid="{00000000-0005-0000-0000-0000B20F0000}"/>
    <cellStyle name="Normal 2 4 19 3 2 10 2" xfId="21637" xr:uid="{00000000-0005-0000-0000-0000B30F0000}"/>
    <cellStyle name="Normal 2 4 19 3 2 11" xfId="3747" xr:uid="{00000000-0005-0000-0000-0000B40F0000}"/>
    <cellStyle name="Normal 2 4 19 3 2 11 2" xfId="21638" xr:uid="{00000000-0005-0000-0000-0000B50F0000}"/>
    <cellStyle name="Normal 2 4 19 3 2 12" xfId="3748" xr:uid="{00000000-0005-0000-0000-0000B60F0000}"/>
    <cellStyle name="Normal 2 4 19 3 2 12 2" xfId="21639" xr:uid="{00000000-0005-0000-0000-0000B70F0000}"/>
    <cellStyle name="Normal 2 4 19 3 2 13" xfId="3749" xr:uid="{00000000-0005-0000-0000-0000B80F0000}"/>
    <cellStyle name="Normal 2 4 19 3 2 13 2" xfId="21640" xr:uid="{00000000-0005-0000-0000-0000B90F0000}"/>
    <cellStyle name="Normal 2 4 19 3 2 14" xfId="3750" xr:uid="{00000000-0005-0000-0000-0000BA0F0000}"/>
    <cellStyle name="Normal 2 4 19 3 2 14 2" xfId="21641" xr:uid="{00000000-0005-0000-0000-0000BB0F0000}"/>
    <cellStyle name="Normal 2 4 19 3 2 15" xfId="21636" xr:uid="{00000000-0005-0000-0000-0000BC0F0000}"/>
    <cellStyle name="Normal 2 4 19 3 2 2" xfId="3751" xr:uid="{00000000-0005-0000-0000-0000BD0F0000}"/>
    <cellStyle name="Normal 2 4 19 3 2 2 2" xfId="21642" xr:uid="{00000000-0005-0000-0000-0000BE0F0000}"/>
    <cellStyle name="Normal 2 4 19 3 2 3" xfId="3752" xr:uid="{00000000-0005-0000-0000-0000BF0F0000}"/>
    <cellStyle name="Normal 2 4 19 3 2 3 2" xfId="21643" xr:uid="{00000000-0005-0000-0000-0000C00F0000}"/>
    <cellStyle name="Normal 2 4 19 3 2 4" xfId="3753" xr:uid="{00000000-0005-0000-0000-0000C10F0000}"/>
    <cellStyle name="Normal 2 4 19 3 2 4 2" xfId="21644" xr:uid="{00000000-0005-0000-0000-0000C20F0000}"/>
    <cellStyle name="Normal 2 4 19 3 2 5" xfId="3754" xr:uid="{00000000-0005-0000-0000-0000C30F0000}"/>
    <cellStyle name="Normal 2 4 19 3 2 5 2" xfId="21645" xr:uid="{00000000-0005-0000-0000-0000C40F0000}"/>
    <cellStyle name="Normal 2 4 19 3 2 6" xfId="3755" xr:uid="{00000000-0005-0000-0000-0000C50F0000}"/>
    <cellStyle name="Normal 2 4 19 3 2 6 2" xfId="21646" xr:uid="{00000000-0005-0000-0000-0000C60F0000}"/>
    <cellStyle name="Normal 2 4 19 3 2 7" xfId="3756" xr:uid="{00000000-0005-0000-0000-0000C70F0000}"/>
    <cellStyle name="Normal 2 4 19 3 2 7 2" xfId="21647" xr:uid="{00000000-0005-0000-0000-0000C80F0000}"/>
    <cellStyle name="Normal 2 4 19 3 2 8" xfId="3757" xr:uid="{00000000-0005-0000-0000-0000C90F0000}"/>
    <cellStyle name="Normal 2 4 19 3 2 8 2" xfId="21648" xr:uid="{00000000-0005-0000-0000-0000CA0F0000}"/>
    <cellStyle name="Normal 2 4 19 3 2 9" xfId="3758" xr:uid="{00000000-0005-0000-0000-0000CB0F0000}"/>
    <cellStyle name="Normal 2 4 19 3 2 9 2" xfId="21649" xr:uid="{00000000-0005-0000-0000-0000CC0F0000}"/>
    <cellStyle name="Normal 2 4 19 3 3" xfId="3759" xr:uid="{00000000-0005-0000-0000-0000CD0F0000}"/>
    <cellStyle name="Normal 2 4 19 3 3 2" xfId="21650" xr:uid="{00000000-0005-0000-0000-0000CE0F0000}"/>
    <cellStyle name="Normal 2 4 19 3 4" xfId="3760" xr:uid="{00000000-0005-0000-0000-0000CF0F0000}"/>
    <cellStyle name="Normal 2 4 19 3 4 2" xfId="21651" xr:uid="{00000000-0005-0000-0000-0000D00F0000}"/>
    <cellStyle name="Normal 2 4 19 3 5" xfId="3761" xr:uid="{00000000-0005-0000-0000-0000D10F0000}"/>
    <cellStyle name="Normal 2 4 19 3 5 2" xfId="21652" xr:uid="{00000000-0005-0000-0000-0000D20F0000}"/>
    <cellStyle name="Normal 2 4 19 3 6" xfId="3762" xr:uid="{00000000-0005-0000-0000-0000D30F0000}"/>
    <cellStyle name="Normal 2 4 19 3 6 2" xfId="21653" xr:uid="{00000000-0005-0000-0000-0000D40F0000}"/>
    <cellStyle name="Normal 2 4 19 3 7" xfId="3763" xr:uid="{00000000-0005-0000-0000-0000D50F0000}"/>
    <cellStyle name="Normal 2 4 19 3 7 2" xfId="21654" xr:uid="{00000000-0005-0000-0000-0000D60F0000}"/>
    <cellStyle name="Normal 2 4 19 3 8" xfId="3764" xr:uid="{00000000-0005-0000-0000-0000D70F0000}"/>
    <cellStyle name="Normal 2 4 19 3 8 2" xfId="21655" xr:uid="{00000000-0005-0000-0000-0000D80F0000}"/>
    <cellStyle name="Normal 2 4 19 3 9" xfId="3765" xr:uid="{00000000-0005-0000-0000-0000D90F0000}"/>
    <cellStyle name="Normal 2 4 19 3 9 2" xfId="21656" xr:uid="{00000000-0005-0000-0000-0000DA0F0000}"/>
    <cellStyle name="Normal 2 4 19 4" xfId="3766" xr:uid="{00000000-0005-0000-0000-0000DB0F0000}"/>
    <cellStyle name="Normal 2 4 19 4 10" xfId="3767" xr:uid="{00000000-0005-0000-0000-0000DC0F0000}"/>
    <cellStyle name="Normal 2 4 19 4 10 2" xfId="21658" xr:uid="{00000000-0005-0000-0000-0000DD0F0000}"/>
    <cellStyle name="Normal 2 4 19 4 11" xfId="3768" xr:uid="{00000000-0005-0000-0000-0000DE0F0000}"/>
    <cellStyle name="Normal 2 4 19 4 11 2" xfId="21659" xr:uid="{00000000-0005-0000-0000-0000DF0F0000}"/>
    <cellStyle name="Normal 2 4 19 4 12" xfId="3769" xr:uid="{00000000-0005-0000-0000-0000E00F0000}"/>
    <cellStyle name="Normal 2 4 19 4 12 2" xfId="21660" xr:uid="{00000000-0005-0000-0000-0000E10F0000}"/>
    <cellStyle name="Normal 2 4 19 4 13" xfId="3770" xr:uid="{00000000-0005-0000-0000-0000E20F0000}"/>
    <cellStyle name="Normal 2 4 19 4 13 2" xfId="21661" xr:uid="{00000000-0005-0000-0000-0000E30F0000}"/>
    <cellStyle name="Normal 2 4 19 4 14" xfId="3771" xr:uid="{00000000-0005-0000-0000-0000E40F0000}"/>
    <cellStyle name="Normal 2 4 19 4 14 2" xfId="21662" xr:uid="{00000000-0005-0000-0000-0000E50F0000}"/>
    <cellStyle name="Normal 2 4 19 4 15" xfId="3772" xr:uid="{00000000-0005-0000-0000-0000E60F0000}"/>
    <cellStyle name="Normal 2 4 19 4 15 2" xfId="21663" xr:uid="{00000000-0005-0000-0000-0000E70F0000}"/>
    <cellStyle name="Normal 2 4 19 4 16" xfId="21657" xr:uid="{00000000-0005-0000-0000-0000E80F0000}"/>
    <cellStyle name="Normal 2 4 19 4 2" xfId="3773" xr:uid="{00000000-0005-0000-0000-0000E90F0000}"/>
    <cellStyle name="Normal 2 4 19 4 2 10" xfId="3774" xr:uid="{00000000-0005-0000-0000-0000EA0F0000}"/>
    <cellStyle name="Normal 2 4 19 4 2 10 2" xfId="21665" xr:uid="{00000000-0005-0000-0000-0000EB0F0000}"/>
    <cellStyle name="Normal 2 4 19 4 2 11" xfId="3775" xr:uid="{00000000-0005-0000-0000-0000EC0F0000}"/>
    <cellStyle name="Normal 2 4 19 4 2 11 2" xfId="21666" xr:uid="{00000000-0005-0000-0000-0000ED0F0000}"/>
    <cellStyle name="Normal 2 4 19 4 2 12" xfId="3776" xr:uid="{00000000-0005-0000-0000-0000EE0F0000}"/>
    <cellStyle name="Normal 2 4 19 4 2 12 2" xfId="21667" xr:uid="{00000000-0005-0000-0000-0000EF0F0000}"/>
    <cellStyle name="Normal 2 4 19 4 2 13" xfId="3777" xr:uid="{00000000-0005-0000-0000-0000F00F0000}"/>
    <cellStyle name="Normal 2 4 19 4 2 13 2" xfId="21668" xr:uid="{00000000-0005-0000-0000-0000F10F0000}"/>
    <cellStyle name="Normal 2 4 19 4 2 14" xfId="3778" xr:uid="{00000000-0005-0000-0000-0000F20F0000}"/>
    <cellStyle name="Normal 2 4 19 4 2 14 2" xfId="21669" xr:uid="{00000000-0005-0000-0000-0000F30F0000}"/>
    <cellStyle name="Normal 2 4 19 4 2 15" xfId="21664" xr:uid="{00000000-0005-0000-0000-0000F40F0000}"/>
    <cellStyle name="Normal 2 4 19 4 2 2" xfId="3779" xr:uid="{00000000-0005-0000-0000-0000F50F0000}"/>
    <cellStyle name="Normal 2 4 19 4 2 2 2" xfId="21670" xr:uid="{00000000-0005-0000-0000-0000F60F0000}"/>
    <cellStyle name="Normal 2 4 19 4 2 3" xfId="3780" xr:uid="{00000000-0005-0000-0000-0000F70F0000}"/>
    <cellStyle name="Normal 2 4 19 4 2 3 2" xfId="21671" xr:uid="{00000000-0005-0000-0000-0000F80F0000}"/>
    <cellStyle name="Normal 2 4 19 4 2 4" xfId="3781" xr:uid="{00000000-0005-0000-0000-0000F90F0000}"/>
    <cellStyle name="Normal 2 4 19 4 2 4 2" xfId="21672" xr:uid="{00000000-0005-0000-0000-0000FA0F0000}"/>
    <cellStyle name="Normal 2 4 19 4 2 5" xfId="3782" xr:uid="{00000000-0005-0000-0000-0000FB0F0000}"/>
    <cellStyle name="Normal 2 4 19 4 2 5 2" xfId="21673" xr:uid="{00000000-0005-0000-0000-0000FC0F0000}"/>
    <cellStyle name="Normal 2 4 19 4 2 6" xfId="3783" xr:uid="{00000000-0005-0000-0000-0000FD0F0000}"/>
    <cellStyle name="Normal 2 4 19 4 2 6 2" xfId="21674" xr:uid="{00000000-0005-0000-0000-0000FE0F0000}"/>
    <cellStyle name="Normal 2 4 19 4 2 7" xfId="3784" xr:uid="{00000000-0005-0000-0000-0000FF0F0000}"/>
    <cellStyle name="Normal 2 4 19 4 2 7 2" xfId="21675" xr:uid="{00000000-0005-0000-0000-000000100000}"/>
    <cellStyle name="Normal 2 4 19 4 2 8" xfId="3785" xr:uid="{00000000-0005-0000-0000-000001100000}"/>
    <cellStyle name="Normal 2 4 19 4 2 8 2" xfId="21676" xr:uid="{00000000-0005-0000-0000-000002100000}"/>
    <cellStyle name="Normal 2 4 19 4 2 9" xfId="3786" xr:uid="{00000000-0005-0000-0000-000003100000}"/>
    <cellStyle name="Normal 2 4 19 4 2 9 2" xfId="21677" xr:uid="{00000000-0005-0000-0000-000004100000}"/>
    <cellStyle name="Normal 2 4 19 4 3" xfId="3787" xr:uid="{00000000-0005-0000-0000-000005100000}"/>
    <cellStyle name="Normal 2 4 19 4 3 2" xfId="21678" xr:uid="{00000000-0005-0000-0000-000006100000}"/>
    <cellStyle name="Normal 2 4 19 4 4" xfId="3788" xr:uid="{00000000-0005-0000-0000-000007100000}"/>
    <cellStyle name="Normal 2 4 19 4 4 2" xfId="21679" xr:uid="{00000000-0005-0000-0000-000008100000}"/>
    <cellStyle name="Normal 2 4 19 4 5" xfId="3789" xr:uid="{00000000-0005-0000-0000-000009100000}"/>
    <cellStyle name="Normal 2 4 19 4 5 2" xfId="21680" xr:uid="{00000000-0005-0000-0000-00000A100000}"/>
    <cellStyle name="Normal 2 4 19 4 6" xfId="3790" xr:uid="{00000000-0005-0000-0000-00000B100000}"/>
    <cellStyle name="Normal 2 4 19 4 6 2" xfId="21681" xr:uid="{00000000-0005-0000-0000-00000C100000}"/>
    <cellStyle name="Normal 2 4 19 4 7" xfId="3791" xr:uid="{00000000-0005-0000-0000-00000D100000}"/>
    <cellStyle name="Normal 2 4 19 4 7 2" xfId="21682" xr:uid="{00000000-0005-0000-0000-00000E100000}"/>
    <cellStyle name="Normal 2 4 19 4 8" xfId="3792" xr:uid="{00000000-0005-0000-0000-00000F100000}"/>
    <cellStyle name="Normal 2 4 19 4 8 2" xfId="21683" xr:uid="{00000000-0005-0000-0000-000010100000}"/>
    <cellStyle name="Normal 2 4 19 4 9" xfId="3793" xr:uid="{00000000-0005-0000-0000-000011100000}"/>
    <cellStyle name="Normal 2 4 19 4 9 2" xfId="21684" xr:uid="{00000000-0005-0000-0000-000012100000}"/>
    <cellStyle name="Normal 2 4 19 5" xfId="3794" xr:uid="{00000000-0005-0000-0000-000013100000}"/>
    <cellStyle name="Normal 2 4 19 5 10" xfId="3795" xr:uid="{00000000-0005-0000-0000-000014100000}"/>
    <cellStyle name="Normal 2 4 19 5 10 2" xfId="21686" xr:uid="{00000000-0005-0000-0000-000015100000}"/>
    <cellStyle name="Normal 2 4 19 5 11" xfId="3796" xr:uid="{00000000-0005-0000-0000-000016100000}"/>
    <cellStyle name="Normal 2 4 19 5 11 2" xfId="21687" xr:uid="{00000000-0005-0000-0000-000017100000}"/>
    <cellStyle name="Normal 2 4 19 5 12" xfId="3797" xr:uid="{00000000-0005-0000-0000-000018100000}"/>
    <cellStyle name="Normal 2 4 19 5 12 2" xfId="21688" xr:uid="{00000000-0005-0000-0000-000019100000}"/>
    <cellStyle name="Normal 2 4 19 5 13" xfId="3798" xr:uid="{00000000-0005-0000-0000-00001A100000}"/>
    <cellStyle name="Normal 2 4 19 5 13 2" xfId="21689" xr:uid="{00000000-0005-0000-0000-00001B100000}"/>
    <cellStyle name="Normal 2 4 19 5 14" xfId="3799" xr:uid="{00000000-0005-0000-0000-00001C100000}"/>
    <cellStyle name="Normal 2 4 19 5 14 2" xfId="21690" xr:uid="{00000000-0005-0000-0000-00001D100000}"/>
    <cellStyle name="Normal 2 4 19 5 15" xfId="21685" xr:uid="{00000000-0005-0000-0000-00001E100000}"/>
    <cellStyle name="Normal 2 4 19 5 2" xfId="3800" xr:uid="{00000000-0005-0000-0000-00001F100000}"/>
    <cellStyle name="Normal 2 4 19 5 2 2" xfId="21691" xr:uid="{00000000-0005-0000-0000-000020100000}"/>
    <cellStyle name="Normal 2 4 19 5 3" xfId="3801" xr:uid="{00000000-0005-0000-0000-000021100000}"/>
    <cellStyle name="Normal 2 4 19 5 3 2" xfId="21692" xr:uid="{00000000-0005-0000-0000-000022100000}"/>
    <cellStyle name="Normal 2 4 19 5 4" xfId="3802" xr:uid="{00000000-0005-0000-0000-000023100000}"/>
    <cellStyle name="Normal 2 4 19 5 4 2" xfId="21693" xr:uid="{00000000-0005-0000-0000-000024100000}"/>
    <cellStyle name="Normal 2 4 19 5 5" xfId="3803" xr:uid="{00000000-0005-0000-0000-000025100000}"/>
    <cellStyle name="Normal 2 4 19 5 5 2" xfId="21694" xr:uid="{00000000-0005-0000-0000-000026100000}"/>
    <cellStyle name="Normal 2 4 19 5 6" xfId="3804" xr:uid="{00000000-0005-0000-0000-000027100000}"/>
    <cellStyle name="Normal 2 4 19 5 6 2" xfId="21695" xr:uid="{00000000-0005-0000-0000-000028100000}"/>
    <cellStyle name="Normal 2 4 19 5 7" xfId="3805" xr:uid="{00000000-0005-0000-0000-000029100000}"/>
    <cellStyle name="Normal 2 4 19 5 7 2" xfId="21696" xr:uid="{00000000-0005-0000-0000-00002A100000}"/>
    <cellStyle name="Normal 2 4 19 5 8" xfId="3806" xr:uid="{00000000-0005-0000-0000-00002B100000}"/>
    <cellStyle name="Normal 2 4 19 5 8 2" xfId="21697" xr:uid="{00000000-0005-0000-0000-00002C100000}"/>
    <cellStyle name="Normal 2 4 19 5 9" xfId="3807" xr:uid="{00000000-0005-0000-0000-00002D100000}"/>
    <cellStyle name="Normal 2 4 19 5 9 2" xfId="21698" xr:uid="{00000000-0005-0000-0000-00002E100000}"/>
    <cellStyle name="Normal 2 4 19 6" xfId="3808" xr:uid="{00000000-0005-0000-0000-00002F100000}"/>
    <cellStyle name="Normal 2 4 19 6 10" xfId="3809" xr:uid="{00000000-0005-0000-0000-000030100000}"/>
    <cellStyle name="Normal 2 4 19 6 10 2" xfId="21700" xr:uid="{00000000-0005-0000-0000-000031100000}"/>
    <cellStyle name="Normal 2 4 19 6 11" xfId="3810" xr:uid="{00000000-0005-0000-0000-000032100000}"/>
    <cellStyle name="Normal 2 4 19 6 11 2" xfId="21701" xr:uid="{00000000-0005-0000-0000-000033100000}"/>
    <cellStyle name="Normal 2 4 19 6 12" xfId="3811" xr:uid="{00000000-0005-0000-0000-000034100000}"/>
    <cellStyle name="Normal 2 4 19 6 12 2" xfId="21702" xr:uid="{00000000-0005-0000-0000-000035100000}"/>
    <cellStyle name="Normal 2 4 19 6 13" xfId="3812" xr:uid="{00000000-0005-0000-0000-000036100000}"/>
    <cellStyle name="Normal 2 4 19 6 13 2" xfId="21703" xr:uid="{00000000-0005-0000-0000-000037100000}"/>
    <cellStyle name="Normal 2 4 19 6 14" xfId="3813" xr:uid="{00000000-0005-0000-0000-000038100000}"/>
    <cellStyle name="Normal 2 4 19 6 14 2" xfId="21704" xr:uid="{00000000-0005-0000-0000-000039100000}"/>
    <cellStyle name="Normal 2 4 19 6 15" xfId="21699" xr:uid="{00000000-0005-0000-0000-00003A100000}"/>
    <cellStyle name="Normal 2 4 19 6 2" xfId="3814" xr:uid="{00000000-0005-0000-0000-00003B100000}"/>
    <cellStyle name="Normal 2 4 19 6 2 2" xfId="21705" xr:uid="{00000000-0005-0000-0000-00003C100000}"/>
    <cellStyle name="Normal 2 4 19 6 3" xfId="3815" xr:uid="{00000000-0005-0000-0000-00003D100000}"/>
    <cellStyle name="Normal 2 4 19 6 3 2" xfId="21706" xr:uid="{00000000-0005-0000-0000-00003E100000}"/>
    <cellStyle name="Normal 2 4 19 6 4" xfId="3816" xr:uid="{00000000-0005-0000-0000-00003F100000}"/>
    <cellStyle name="Normal 2 4 19 6 4 2" xfId="21707" xr:uid="{00000000-0005-0000-0000-000040100000}"/>
    <cellStyle name="Normal 2 4 19 6 5" xfId="3817" xr:uid="{00000000-0005-0000-0000-000041100000}"/>
    <cellStyle name="Normal 2 4 19 6 5 2" xfId="21708" xr:uid="{00000000-0005-0000-0000-000042100000}"/>
    <cellStyle name="Normal 2 4 19 6 6" xfId="3818" xr:uid="{00000000-0005-0000-0000-000043100000}"/>
    <cellStyle name="Normal 2 4 19 6 6 2" xfId="21709" xr:uid="{00000000-0005-0000-0000-000044100000}"/>
    <cellStyle name="Normal 2 4 19 6 7" xfId="3819" xr:uid="{00000000-0005-0000-0000-000045100000}"/>
    <cellStyle name="Normal 2 4 19 6 7 2" xfId="21710" xr:uid="{00000000-0005-0000-0000-000046100000}"/>
    <cellStyle name="Normal 2 4 19 6 8" xfId="3820" xr:uid="{00000000-0005-0000-0000-000047100000}"/>
    <cellStyle name="Normal 2 4 19 6 8 2" xfId="21711" xr:uid="{00000000-0005-0000-0000-000048100000}"/>
    <cellStyle name="Normal 2 4 19 6 9" xfId="3821" xr:uid="{00000000-0005-0000-0000-000049100000}"/>
    <cellStyle name="Normal 2 4 19 6 9 2" xfId="21712" xr:uid="{00000000-0005-0000-0000-00004A100000}"/>
    <cellStyle name="Normal 2 4 19 7" xfId="3822" xr:uid="{00000000-0005-0000-0000-00004B100000}"/>
    <cellStyle name="Normal 2 4 19 7 10" xfId="3823" xr:uid="{00000000-0005-0000-0000-00004C100000}"/>
    <cellStyle name="Normal 2 4 19 7 10 2" xfId="21714" xr:uid="{00000000-0005-0000-0000-00004D100000}"/>
    <cellStyle name="Normal 2 4 19 7 11" xfId="3824" xr:uid="{00000000-0005-0000-0000-00004E100000}"/>
    <cellStyle name="Normal 2 4 19 7 11 2" xfId="21715" xr:uid="{00000000-0005-0000-0000-00004F100000}"/>
    <cellStyle name="Normal 2 4 19 7 12" xfId="3825" xr:uid="{00000000-0005-0000-0000-000050100000}"/>
    <cellStyle name="Normal 2 4 19 7 12 2" xfId="21716" xr:uid="{00000000-0005-0000-0000-000051100000}"/>
    <cellStyle name="Normal 2 4 19 7 13" xfId="3826" xr:uid="{00000000-0005-0000-0000-000052100000}"/>
    <cellStyle name="Normal 2 4 19 7 13 2" xfId="21717" xr:uid="{00000000-0005-0000-0000-000053100000}"/>
    <cellStyle name="Normal 2 4 19 7 14" xfId="3827" xr:uid="{00000000-0005-0000-0000-000054100000}"/>
    <cellStyle name="Normal 2 4 19 7 14 2" xfId="21718" xr:uid="{00000000-0005-0000-0000-000055100000}"/>
    <cellStyle name="Normal 2 4 19 7 15" xfId="21713" xr:uid="{00000000-0005-0000-0000-000056100000}"/>
    <cellStyle name="Normal 2 4 19 7 2" xfId="3828" xr:uid="{00000000-0005-0000-0000-000057100000}"/>
    <cellStyle name="Normal 2 4 19 7 2 2" xfId="21719" xr:uid="{00000000-0005-0000-0000-000058100000}"/>
    <cellStyle name="Normal 2 4 19 7 3" xfId="3829" xr:uid="{00000000-0005-0000-0000-000059100000}"/>
    <cellStyle name="Normal 2 4 19 7 3 2" xfId="21720" xr:uid="{00000000-0005-0000-0000-00005A100000}"/>
    <cellStyle name="Normal 2 4 19 7 4" xfId="3830" xr:uid="{00000000-0005-0000-0000-00005B100000}"/>
    <cellStyle name="Normal 2 4 19 7 4 2" xfId="21721" xr:uid="{00000000-0005-0000-0000-00005C100000}"/>
    <cellStyle name="Normal 2 4 19 7 5" xfId="3831" xr:uid="{00000000-0005-0000-0000-00005D100000}"/>
    <cellStyle name="Normal 2 4 19 7 5 2" xfId="21722" xr:uid="{00000000-0005-0000-0000-00005E100000}"/>
    <cellStyle name="Normal 2 4 19 7 6" xfId="3832" xr:uid="{00000000-0005-0000-0000-00005F100000}"/>
    <cellStyle name="Normal 2 4 19 7 6 2" xfId="21723" xr:uid="{00000000-0005-0000-0000-000060100000}"/>
    <cellStyle name="Normal 2 4 19 7 7" xfId="3833" xr:uid="{00000000-0005-0000-0000-000061100000}"/>
    <cellStyle name="Normal 2 4 19 7 7 2" xfId="21724" xr:uid="{00000000-0005-0000-0000-000062100000}"/>
    <cellStyle name="Normal 2 4 19 7 8" xfId="3834" xr:uid="{00000000-0005-0000-0000-000063100000}"/>
    <cellStyle name="Normal 2 4 19 7 8 2" xfId="21725" xr:uid="{00000000-0005-0000-0000-000064100000}"/>
    <cellStyle name="Normal 2 4 19 7 9" xfId="3835" xr:uid="{00000000-0005-0000-0000-000065100000}"/>
    <cellStyle name="Normal 2 4 19 7 9 2" xfId="21726" xr:uid="{00000000-0005-0000-0000-000066100000}"/>
    <cellStyle name="Normal 2 4 19 8" xfId="3836" xr:uid="{00000000-0005-0000-0000-000067100000}"/>
    <cellStyle name="Normal 2 4 19 8 10" xfId="3837" xr:uid="{00000000-0005-0000-0000-000068100000}"/>
    <cellStyle name="Normal 2 4 19 8 10 2" xfId="21728" xr:uid="{00000000-0005-0000-0000-000069100000}"/>
    <cellStyle name="Normal 2 4 19 8 11" xfId="3838" xr:uid="{00000000-0005-0000-0000-00006A100000}"/>
    <cellStyle name="Normal 2 4 19 8 11 2" xfId="21729" xr:uid="{00000000-0005-0000-0000-00006B100000}"/>
    <cellStyle name="Normal 2 4 19 8 12" xfId="3839" xr:uid="{00000000-0005-0000-0000-00006C100000}"/>
    <cellStyle name="Normal 2 4 19 8 12 2" xfId="21730" xr:uid="{00000000-0005-0000-0000-00006D100000}"/>
    <cellStyle name="Normal 2 4 19 8 13" xfId="3840" xr:uid="{00000000-0005-0000-0000-00006E100000}"/>
    <cellStyle name="Normal 2 4 19 8 13 2" xfId="21731" xr:uid="{00000000-0005-0000-0000-00006F100000}"/>
    <cellStyle name="Normal 2 4 19 8 14" xfId="3841" xr:uid="{00000000-0005-0000-0000-000070100000}"/>
    <cellStyle name="Normal 2 4 19 8 14 2" xfId="21732" xr:uid="{00000000-0005-0000-0000-000071100000}"/>
    <cellStyle name="Normal 2 4 19 8 15" xfId="21727" xr:uid="{00000000-0005-0000-0000-000072100000}"/>
    <cellStyle name="Normal 2 4 19 8 2" xfId="3842" xr:uid="{00000000-0005-0000-0000-000073100000}"/>
    <cellStyle name="Normal 2 4 19 8 2 2" xfId="21733" xr:uid="{00000000-0005-0000-0000-000074100000}"/>
    <cellStyle name="Normal 2 4 19 8 3" xfId="3843" xr:uid="{00000000-0005-0000-0000-000075100000}"/>
    <cellStyle name="Normal 2 4 19 8 3 2" xfId="21734" xr:uid="{00000000-0005-0000-0000-000076100000}"/>
    <cellStyle name="Normal 2 4 19 8 4" xfId="3844" xr:uid="{00000000-0005-0000-0000-000077100000}"/>
    <cellStyle name="Normal 2 4 19 8 4 2" xfId="21735" xr:uid="{00000000-0005-0000-0000-000078100000}"/>
    <cellStyle name="Normal 2 4 19 8 5" xfId="3845" xr:uid="{00000000-0005-0000-0000-000079100000}"/>
    <cellStyle name="Normal 2 4 19 8 5 2" xfId="21736" xr:uid="{00000000-0005-0000-0000-00007A100000}"/>
    <cellStyle name="Normal 2 4 19 8 6" xfId="3846" xr:uid="{00000000-0005-0000-0000-00007B100000}"/>
    <cellStyle name="Normal 2 4 19 8 6 2" xfId="21737" xr:uid="{00000000-0005-0000-0000-00007C100000}"/>
    <cellStyle name="Normal 2 4 19 8 7" xfId="3847" xr:uid="{00000000-0005-0000-0000-00007D100000}"/>
    <cellStyle name="Normal 2 4 19 8 7 2" xfId="21738" xr:uid="{00000000-0005-0000-0000-00007E100000}"/>
    <cellStyle name="Normal 2 4 19 8 8" xfId="3848" xr:uid="{00000000-0005-0000-0000-00007F100000}"/>
    <cellStyle name="Normal 2 4 19 8 8 2" xfId="21739" xr:uid="{00000000-0005-0000-0000-000080100000}"/>
    <cellStyle name="Normal 2 4 19 8 9" xfId="3849" xr:uid="{00000000-0005-0000-0000-000081100000}"/>
    <cellStyle name="Normal 2 4 19 8 9 2" xfId="21740" xr:uid="{00000000-0005-0000-0000-000082100000}"/>
    <cellStyle name="Normal 2 4 19 9" xfId="3850" xr:uid="{00000000-0005-0000-0000-000083100000}"/>
    <cellStyle name="Normal 2 4 19 9 10" xfId="3851" xr:uid="{00000000-0005-0000-0000-000084100000}"/>
    <cellStyle name="Normal 2 4 19 9 10 2" xfId="21742" xr:uid="{00000000-0005-0000-0000-000085100000}"/>
    <cellStyle name="Normal 2 4 19 9 11" xfId="3852" xr:uid="{00000000-0005-0000-0000-000086100000}"/>
    <cellStyle name="Normal 2 4 19 9 11 2" xfId="21743" xr:uid="{00000000-0005-0000-0000-000087100000}"/>
    <cellStyle name="Normal 2 4 19 9 12" xfId="3853" xr:uid="{00000000-0005-0000-0000-000088100000}"/>
    <cellStyle name="Normal 2 4 19 9 12 2" xfId="21744" xr:uid="{00000000-0005-0000-0000-000089100000}"/>
    <cellStyle name="Normal 2 4 19 9 13" xfId="3854" xr:uid="{00000000-0005-0000-0000-00008A100000}"/>
    <cellStyle name="Normal 2 4 19 9 13 2" xfId="21745" xr:uid="{00000000-0005-0000-0000-00008B100000}"/>
    <cellStyle name="Normal 2 4 19 9 14" xfId="3855" xr:uid="{00000000-0005-0000-0000-00008C100000}"/>
    <cellStyle name="Normal 2 4 19 9 14 2" xfId="21746" xr:uid="{00000000-0005-0000-0000-00008D100000}"/>
    <cellStyle name="Normal 2 4 19 9 15" xfId="21741" xr:uid="{00000000-0005-0000-0000-00008E100000}"/>
    <cellStyle name="Normal 2 4 19 9 2" xfId="3856" xr:uid="{00000000-0005-0000-0000-00008F100000}"/>
    <cellStyle name="Normal 2 4 19 9 2 2" xfId="21747" xr:uid="{00000000-0005-0000-0000-000090100000}"/>
    <cellStyle name="Normal 2 4 19 9 3" xfId="3857" xr:uid="{00000000-0005-0000-0000-000091100000}"/>
    <cellStyle name="Normal 2 4 19 9 3 2" xfId="21748" xr:uid="{00000000-0005-0000-0000-000092100000}"/>
    <cellStyle name="Normal 2 4 19 9 4" xfId="3858" xr:uid="{00000000-0005-0000-0000-000093100000}"/>
    <cellStyle name="Normal 2 4 19 9 4 2" xfId="21749" xr:uid="{00000000-0005-0000-0000-000094100000}"/>
    <cellStyle name="Normal 2 4 19 9 5" xfId="3859" xr:uid="{00000000-0005-0000-0000-000095100000}"/>
    <cellStyle name="Normal 2 4 19 9 5 2" xfId="21750" xr:uid="{00000000-0005-0000-0000-000096100000}"/>
    <cellStyle name="Normal 2 4 19 9 6" xfId="3860" xr:uid="{00000000-0005-0000-0000-000097100000}"/>
    <cellStyle name="Normal 2 4 19 9 6 2" xfId="21751" xr:uid="{00000000-0005-0000-0000-000098100000}"/>
    <cellStyle name="Normal 2 4 19 9 7" xfId="3861" xr:uid="{00000000-0005-0000-0000-000099100000}"/>
    <cellStyle name="Normal 2 4 19 9 7 2" xfId="21752" xr:uid="{00000000-0005-0000-0000-00009A100000}"/>
    <cellStyle name="Normal 2 4 19 9 8" xfId="3862" xr:uid="{00000000-0005-0000-0000-00009B100000}"/>
    <cellStyle name="Normal 2 4 19 9 8 2" xfId="21753" xr:uid="{00000000-0005-0000-0000-00009C100000}"/>
    <cellStyle name="Normal 2 4 19 9 9" xfId="3863" xr:uid="{00000000-0005-0000-0000-00009D100000}"/>
    <cellStyle name="Normal 2 4 19 9 9 2" xfId="21754" xr:uid="{00000000-0005-0000-0000-00009E100000}"/>
    <cellStyle name="Normal 2 4 2" xfId="47" xr:uid="{00000000-0005-0000-0000-00009F100000}"/>
    <cellStyle name="Normal 2 4 2 10" xfId="3864" xr:uid="{00000000-0005-0000-0000-0000A0100000}"/>
    <cellStyle name="Normal 2 4 2 11" xfId="3865" xr:uid="{00000000-0005-0000-0000-0000A1100000}"/>
    <cellStyle name="Normal 2 4 2 12" xfId="3866" xr:uid="{00000000-0005-0000-0000-0000A2100000}"/>
    <cellStyle name="Normal 2 4 2 13" xfId="3867" xr:uid="{00000000-0005-0000-0000-0000A3100000}"/>
    <cellStyle name="Normal 2 4 2 14" xfId="3868" xr:uid="{00000000-0005-0000-0000-0000A4100000}"/>
    <cellStyle name="Normal 2 4 2 15" xfId="3869" xr:uid="{00000000-0005-0000-0000-0000A5100000}"/>
    <cellStyle name="Normal 2 4 2 16" xfId="3870" xr:uid="{00000000-0005-0000-0000-0000A6100000}"/>
    <cellStyle name="Normal 2 4 2 16 10" xfId="3871" xr:uid="{00000000-0005-0000-0000-0000A7100000}"/>
    <cellStyle name="Normal 2 4 2 16 10 2" xfId="21757" xr:uid="{00000000-0005-0000-0000-0000A8100000}"/>
    <cellStyle name="Normal 2 4 2 16 11" xfId="3872" xr:uid="{00000000-0005-0000-0000-0000A9100000}"/>
    <cellStyle name="Normal 2 4 2 16 11 2" xfId="21758" xr:uid="{00000000-0005-0000-0000-0000AA100000}"/>
    <cellStyle name="Normal 2 4 2 16 12" xfId="3873" xr:uid="{00000000-0005-0000-0000-0000AB100000}"/>
    <cellStyle name="Normal 2 4 2 16 12 2" xfId="21759" xr:uid="{00000000-0005-0000-0000-0000AC100000}"/>
    <cellStyle name="Normal 2 4 2 16 13" xfId="3874" xr:uid="{00000000-0005-0000-0000-0000AD100000}"/>
    <cellStyle name="Normal 2 4 2 16 13 2" xfId="21760" xr:uid="{00000000-0005-0000-0000-0000AE100000}"/>
    <cellStyle name="Normal 2 4 2 16 14" xfId="3875" xr:uid="{00000000-0005-0000-0000-0000AF100000}"/>
    <cellStyle name="Normal 2 4 2 16 14 2" xfId="21761" xr:uid="{00000000-0005-0000-0000-0000B0100000}"/>
    <cellStyle name="Normal 2 4 2 16 15" xfId="3876" xr:uid="{00000000-0005-0000-0000-0000B1100000}"/>
    <cellStyle name="Normal 2 4 2 16 15 2" xfId="21762" xr:uid="{00000000-0005-0000-0000-0000B2100000}"/>
    <cellStyle name="Normal 2 4 2 16 16" xfId="3877" xr:uid="{00000000-0005-0000-0000-0000B3100000}"/>
    <cellStyle name="Normal 2 4 2 16 16 2" xfId="21763" xr:uid="{00000000-0005-0000-0000-0000B4100000}"/>
    <cellStyle name="Normal 2 4 2 16 17" xfId="3878" xr:uid="{00000000-0005-0000-0000-0000B5100000}"/>
    <cellStyle name="Normal 2 4 2 16 17 2" xfId="21764" xr:uid="{00000000-0005-0000-0000-0000B6100000}"/>
    <cellStyle name="Normal 2 4 2 16 18" xfId="21756" xr:uid="{00000000-0005-0000-0000-0000B7100000}"/>
    <cellStyle name="Normal 2 4 2 16 2" xfId="3879" xr:uid="{00000000-0005-0000-0000-0000B8100000}"/>
    <cellStyle name="Normal 2 4 2 16 3" xfId="3880" xr:uid="{00000000-0005-0000-0000-0000B9100000}"/>
    <cellStyle name="Normal 2 4 2 16 4" xfId="3881" xr:uid="{00000000-0005-0000-0000-0000BA100000}"/>
    <cellStyle name="Normal 2 4 2 16 5" xfId="3882" xr:uid="{00000000-0005-0000-0000-0000BB100000}"/>
    <cellStyle name="Normal 2 4 2 16 5 2" xfId="21765" xr:uid="{00000000-0005-0000-0000-0000BC100000}"/>
    <cellStyle name="Normal 2 4 2 16 6" xfId="3883" xr:uid="{00000000-0005-0000-0000-0000BD100000}"/>
    <cellStyle name="Normal 2 4 2 16 6 2" xfId="21766" xr:uid="{00000000-0005-0000-0000-0000BE100000}"/>
    <cellStyle name="Normal 2 4 2 16 7" xfId="3884" xr:uid="{00000000-0005-0000-0000-0000BF100000}"/>
    <cellStyle name="Normal 2 4 2 16 7 2" xfId="21767" xr:uid="{00000000-0005-0000-0000-0000C0100000}"/>
    <cellStyle name="Normal 2 4 2 16 8" xfId="3885" xr:uid="{00000000-0005-0000-0000-0000C1100000}"/>
    <cellStyle name="Normal 2 4 2 16 8 2" xfId="21768" xr:uid="{00000000-0005-0000-0000-0000C2100000}"/>
    <cellStyle name="Normal 2 4 2 16 9" xfId="3886" xr:uid="{00000000-0005-0000-0000-0000C3100000}"/>
    <cellStyle name="Normal 2 4 2 16 9 2" xfId="21769" xr:uid="{00000000-0005-0000-0000-0000C4100000}"/>
    <cellStyle name="Normal 2 4 2 17" xfId="3887" xr:uid="{00000000-0005-0000-0000-0000C5100000}"/>
    <cellStyle name="Normal 2 4 2 18" xfId="3888" xr:uid="{00000000-0005-0000-0000-0000C6100000}"/>
    <cellStyle name="Normal 2 4 2 19" xfId="3889" xr:uid="{00000000-0005-0000-0000-0000C7100000}"/>
    <cellStyle name="Normal 2 4 2 19 10" xfId="3890" xr:uid="{00000000-0005-0000-0000-0000C8100000}"/>
    <cellStyle name="Normal 2 4 2 19 10 2" xfId="21771" xr:uid="{00000000-0005-0000-0000-0000C9100000}"/>
    <cellStyle name="Normal 2 4 2 19 11" xfId="3891" xr:uid="{00000000-0005-0000-0000-0000CA100000}"/>
    <cellStyle name="Normal 2 4 2 19 11 2" xfId="21772" xr:uid="{00000000-0005-0000-0000-0000CB100000}"/>
    <cellStyle name="Normal 2 4 2 19 12" xfId="3892" xr:uid="{00000000-0005-0000-0000-0000CC100000}"/>
    <cellStyle name="Normal 2 4 2 19 12 2" xfId="21773" xr:uid="{00000000-0005-0000-0000-0000CD100000}"/>
    <cellStyle name="Normal 2 4 2 19 13" xfId="3893" xr:uid="{00000000-0005-0000-0000-0000CE100000}"/>
    <cellStyle name="Normal 2 4 2 19 13 2" xfId="21774" xr:uid="{00000000-0005-0000-0000-0000CF100000}"/>
    <cellStyle name="Normal 2 4 2 19 14" xfId="3894" xr:uid="{00000000-0005-0000-0000-0000D0100000}"/>
    <cellStyle name="Normal 2 4 2 19 14 2" xfId="21775" xr:uid="{00000000-0005-0000-0000-0000D1100000}"/>
    <cellStyle name="Normal 2 4 2 19 15" xfId="3895" xr:uid="{00000000-0005-0000-0000-0000D2100000}"/>
    <cellStyle name="Normal 2 4 2 19 15 2" xfId="21776" xr:uid="{00000000-0005-0000-0000-0000D3100000}"/>
    <cellStyle name="Normal 2 4 2 19 16" xfId="21770" xr:uid="{00000000-0005-0000-0000-0000D4100000}"/>
    <cellStyle name="Normal 2 4 2 19 2" xfId="3896" xr:uid="{00000000-0005-0000-0000-0000D5100000}"/>
    <cellStyle name="Normal 2 4 2 19 2 10" xfId="3897" xr:uid="{00000000-0005-0000-0000-0000D6100000}"/>
    <cellStyle name="Normal 2 4 2 19 2 10 2" xfId="21778" xr:uid="{00000000-0005-0000-0000-0000D7100000}"/>
    <cellStyle name="Normal 2 4 2 19 2 11" xfId="3898" xr:uid="{00000000-0005-0000-0000-0000D8100000}"/>
    <cellStyle name="Normal 2 4 2 19 2 11 2" xfId="21779" xr:uid="{00000000-0005-0000-0000-0000D9100000}"/>
    <cellStyle name="Normal 2 4 2 19 2 12" xfId="3899" xr:uid="{00000000-0005-0000-0000-0000DA100000}"/>
    <cellStyle name="Normal 2 4 2 19 2 12 2" xfId="21780" xr:uid="{00000000-0005-0000-0000-0000DB100000}"/>
    <cellStyle name="Normal 2 4 2 19 2 13" xfId="3900" xr:uid="{00000000-0005-0000-0000-0000DC100000}"/>
    <cellStyle name="Normal 2 4 2 19 2 13 2" xfId="21781" xr:uid="{00000000-0005-0000-0000-0000DD100000}"/>
    <cellStyle name="Normal 2 4 2 19 2 14" xfId="3901" xr:uid="{00000000-0005-0000-0000-0000DE100000}"/>
    <cellStyle name="Normal 2 4 2 19 2 14 2" xfId="21782" xr:uid="{00000000-0005-0000-0000-0000DF100000}"/>
    <cellStyle name="Normal 2 4 2 19 2 15" xfId="21777" xr:uid="{00000000-0005-0000-0000-0000E0100000}"/>
    <cellStyle name="Normal 2 4 2 19 2 2" xfId="3902" xr:uid="{00000000-0005-0000-0000-0000E1100000}"/>
    <cellStyle name="Normal 2 4 2 19 2 2 2" xfId="21783" xr:uid="{00000000-0005-0000-0000-0000E2100000}"/>
    <cellStyle name="Normal 2 4 2 19 2 3" xfId="3903" xr:uid="{00000000-0005-0000-0000-0000E3100000}"/>
    <cellStyle name="Normal 2 4 2 19 2 3 2" xfId="21784" xr:uid="{00000000-0005-0000-0000-0000E4100000}"/>
    <cellStyle name="Normal 2 4 2 19 2 4" xfId="3904" xr:uid="{00000000-0005-0000-0000-0000E5100000}"/>
    <cellStyle name="Normal 2 4 2 19 2 4 2" xfId="21785" xr:uid="{00000000-0005-0000-0000-0000E6100000}"/>
    <cellStyle name="Normal 2 4 2 19 2 5" xfId="3905" xr:uid="{00000000-0005-0000-0000-0000E7100000}"/>
    <cellStyle name="Normal 2 4 2 19 2 5 2" xfId="21786" xr:uid="{00000000-0005-0000-0000-0000E8100000}"/>
    <cellStyle name="Normal 2 4 2 19 2 6" xfId="3906" xr:uid="{00000000-0005-0000-0000-0000E9100000}"/>
    <cellStyle name="Normal 2 4 2 19 2 6 2" xfId="21787" xr:uid="{00000000-0005-0000-0000-0000EA100000}"/>
    <cellStyle name="Normal 2 4 2 19 2 7" xfId="3907" xr:uid="{00000000-0005-0000-0000-0000EB100000}"/>
    <cellStyle name="Normal 2 4 2 19 2 7 2" xfId="21788" xr:uid="{00000000-0005-0000-0000-0000EC100000}"/>
    <cellStyle name="Normal 2 4 2 19 2 8" xfId="3908" xr:uid="{00000000-0005-0000-0000-0000ED100000}"/>
    <cellStyle name="Normal 2 4 2 19 2 8 2" xfId="21789" xr:uid="{00000000-0005-0000-0000-0000EE100000}"/>
    <cellStyle name="Normal 2 4 2 19 2 9" xfId="3909" xr:uid="{00000000-0005-0000-0000-0000EF100000}"/>
    <cellStyle name="Normal 2 4 2 19 2 9 2" xfId="21790" xr:uid="{00000000-0005-0000-0000-0000F0100000}"/>
    <cellStyle name="Normal 2 4 2 19 3" xfId="3910" xr:uid="{00000000-0005-0000-0000-0000F1100000}"/>
    <cellStyle name="Normal 2 4 2 19 3 2" xfId="21791" xr:uid="{00000000-0005-0000-0000-0000F2100000}"/>
    <cellStyle name="Normal 2 4 2 19 4" xfId="3911" xr:uid="{00000000-0005-0000-0000-0000F3100000}"/>
    <cellStyle name="Normal 2 4 2 19 4 2" xfId="21792" xr:uid="{00000000-0005-0000-0000-0000F4100000}"/>
    <cellStyle name="Normal 2 4 2 19 5" xfId="3912" xr:uid="{00000000-0005-0000-0000-0000F5100000}"/>
    <cellStyle name="Normal 2 4 2 19 5 2" xfId="21793" xr:uid="{00000000-0005-0000-0000-0000F6100000}"/>
    <cellStyle name="Normal 2 4 2 19 6" xfId="3913" xr:uid="{00000000-0005-0000-0000-0000F7100000}"/>
    <cellStyle name="Normal 2 4 2 19 6 2" xfId="21794" xr:uid="{00000000-0005-0000-0000-0000F8100000}"/>
    <cellStyle name="Normal 2 4 2 19 7" xfId="3914" xr:uid="{00000000-0005-0000-0000-0000F9100000}"/>
    <cellStyle name="Normal 2 4 2 19 7 2" xfId="21795" xr:uid="{00000000-0005-0000-0000-0000FA100000}"/>
    <cellStyle name="Normal 2 4 2 19 8" xfId="3915" xr:uid="{00000000-0005-0000-0000-0000FB100000}"/>
    <cellStyle name="Normal 2 4 2 19 8 2" xfId="21796" xr:uid="{00000000-0005-0000-0000-0000FC100000}"/>
    <cellStyle name="Normal 2 4 2 19 9" xfId="3916" xr:uid="{00000000-0005-0000-0000-0000FD100000}"/>
    <cellStyle name="Normal 2 4 2 19 9 2" xfId="21797" xr:uid="{00000000-0005-0000-0000-0000FE100000}"/>
    <cellStyle name="Normal 2 4 2 2" xfId="3917" xr:uid="{00000000-0005-0000-0000-0000FF100000}"/>
    <cellStyle name="Normal 2 4 2 2 10" xfId="3918" xr:uid="{00000000-0005-0000-0000-000000110000}"/>
    <cellStyle name="Normal 2 4 2 2 11" xfId="3919" xr:uid="{00000000-0005-0000-0000-000001110000}"/>
    <cellStyle name="Normal 2 4 2 2 12" xfId="3920" xr:uid="{00000000-0005-0000-0000-000002110000}"/>
    <cellStyle name="Normal 2 4 2 2 13" xfId="3921" xr:uid="{00000000-0005-0000-0000-000003110000}"/>
    <cellStyle name="Normal 2 4 2 2 14" xfId="3922" xr:uid="{00000000-0005-0000-0000-000004110000}"/>
    <cellStyle name="Normal 2 4 2 2 2" xfId="3923" xr:uid="{00000000-0005-0000-0000-000005110000}"/>
    <cellStyle name="Normal 2 4 2 2 2 2" xfId="3924" xr:uid="{00000000-0005-0000-0000-000006110000}"/>
    <cellStyle name="Normal 2 4 2 2 2 3" xfId="3925" xr:uid="{00000000-0005-0000-0000-000007110000}"/>
    <cellStyle name="Normal 2 4 2 2 2 4" xfId="3926" xr:uid="{00000000-0005-0000-0000-000008110000}"/>
    <cellStyle name="Normal 2 4 2 2 2 5" xfId="3927" xr:uid="{00000000-0005-0000-0000-000009110000}"/>
    <cellStyle name="Normal 2 4 2 2 2 6" xfId="3928" xr:uid="{00000000-0005-0000-0000-00000A110000}"/>
    <cellStyle name="Normal 2 4 2 2 3" xfId="3929" xr:uid="{00000000-0005-0000-0000-00000B110000}"/>
    <cellStyle name="Normal 2 4 2 2 4" xfId="3930" xr:uid="{00000000-0005-0000-0000-00000C110000}"/>
    <cellStyle name="Normal 2 4 2 2 5" xfId="3931" xr:uid="{00000000-0005-0000-0000-00000D110000}"/>
    <cellStyle name="Normal 2 4 2 2 6" xfId="3932" xr:uid="{00000000-0005-0000-0000-00000E110000}"/>
    <cellStyle name="Normal 2 4 2 2 7" xfId="3933" xr:uid="{00000000-0005-0000-0000-00000F110000}"/>
    <cellStyle name="Normal 2 4 2 2 8" xfId="3934" xr:uid="{00000000-0005-0000-0000-000010110000}"/>
    <cellStyle name="Normal 2 4 2 2 9" xfId="3935" xr:uid="{00000000-0005-0000-0000-000011110000}"/>
    <cellStyle name="Normal 2 4 2 20" xfId="3936" xr:uid="{00000000-0005-0000-0000-000012110000}"/>
    <cellStyle name="Normal 2 4 2 20 10" xfId="3937" xr:uid="{00000000-0005-0000-0000-000013110000}"/>
    <cellStyle name="Normal 2 4 2 20 10 2" xfId="21799" xr:uid="{00000000-0005-0000-0000-000014110000}"/>
    <cellStyle name="Normal 2 4 2 20 11" xfId="3938" xr:uid="{00000000-0005-0000-0000-000015110000}"/>
    <cellStyle name="Normal 2 4 2 20 11 2" xfId="21800" xr:uid="{00000000-0005-0000-0000-000016110000}"/>
    <cellStyle name="Normal 2 4 2 20 12" xfId="3939" xr:uid="{00000000-0005-0000-0000-000017110000}"/>
    <cellStyle name="Normal 2 4 2 20 12 2" xfId="21801" xr:uid="{00000000-0005-0000-0000-000018110000}"/>
    <cellStyle name="Normal 2 4 2 20 13" xfId="3940" xr:uid="{00000000-0005-0000-0000-000019110000}"/>
    <cellStyle name="Normal 2 4 2 20 13 2" xfId="21802" xr:uid="{00000000-0005-0000-0000-00001A110000}"/>
    <cellStyle name="Normal 2 4 2 20 14" xfId="3941" xr:uid="{00000000-0005-0000-0000-00001B110000}"/>
    <cellStyle name="Normal 2 4 2 20 14 2" xfId="21803" xr:uid="{00000000-0005-0000-0000-00001C110000}"/>
    <cellStyle name="Normal 2 4 2 20 15" xfId="3942" xr:uid="{00000000-0005-0000-0000-00001D110000}"/>
    <cellStyle name="Normal 2 4 2 20 15 2" xfId="21804" xr:uid="{00000000-0005-0000-0000-00001E110000}"/>
    <cellStyle name="Normal 2 4 2 20 16" xfId="21798" xr:uid="{00000000-0005-0000-0000-00001F110000}"/>
    <cellStyle name="Normal 2 4 2 20 2" xfId="3943" xr:uid="{00000000-0005-0000-0000-000020110000}"/>
    <cellStyle name="Normal 2 4 2 20 2 10" xfId="3944" xr:uid="{00000000-0005-0000-0000-000021110000}"/>
    <cellStyle name="Normal 2 4 2 20 2 10 2" xfId="21806" xr:uid="{00000000-0005-0000-0000-000022110000}"/>
    <cellStyle name="Normal 2 4 2 20 2 11" xfId="3945" xr:uid="{00000000-0005-0000-0000-000023110000}"/>
    <cellStyle name="Normal 2 4 2 20 2 11 2" xfId="21807" xr:uid="{00000000-0005-0000-0000-000024110000}"/>
    <cellStyle name="Normal 2 4 2 20 2 12" xfId="3946" xr:uid="{00000000-0005-0000-0000-000025110000}"/>
    <cellStyle name="Normal 2 4 2 20 2 12 2" xfId="21808" xr:uid="{00000000-0005-0000-0000-000026110000}"/>
    <cellStyle name="Normal 2 4 2 20 2 13" xfId="3947" xr:uid="{00000000-0005-0000-0000-000027110000}"/>
    <cellStyle name="Normal 2 4 2 20 2 13 2" xfId="21809" xr:uid="{00000000-0005-0000-0000-000028110000}"/>
    <cellStyle name="Normal 2 4 2 20 2 14" xfId="3948" xr:uid="{00000000-0005-0000-0000-000029110000}"/>
    <cellStyle name="Normal 2 4 2 20 2 14 2" xfId="21810" xr:uid="{00000000-0005-0000-0000-00002A110000}"/>
    <cellStyle name="Normal 2 4 2 20 2 15" xfId="21805" xr:uid="{00000000-0005-0000-0000-00002B110000}"/>
    <cellStyle name="Normal 2 4 2 20 2 2" xfId="3949" xr:uid="{00000000-0005-0000-0000-00002C110000}"/>
    <cellStyle name="Normal 2 4 2 20 2 2 2" xfId="21811" xr:uid="{00000000-0005-0000-0000-00002D110000}"/>
    <cellStyle name="Normal 2 4 2 20 2 3" xfId="3950" xr:uid="{00000000-0005-0000-0000-00002E110000}"/>
    <cellStyle name="Normal 2 4 2 20 2 3 2" xfId="21812" xr:uid="{00000000-0005-0000-0000-00002F110000}"/>
    <cellStyle name="Normal 2 4 2 20 2 4" xfId="3951" xr:uid="{00000000-0005-0000-0000-000030110000}"/>
    <cellStyle name="Normal 2 4 2 20 2 4 2" xfId="21813" xr:uid="{00000000-0005-0000-0000-000031110000}"/>
    <cellStyle name="Normal 2 4 2 20 2 5" xfId="3952" xr:uid="{00000000-0005-0000-0000-000032110000}"/>
    <cellStyle name="Normal 2 4 2 20 2 5 2" xfId="21814" xr:uid="{00000000-0005-0000-0000-000033110000}"/>
    <cellStyle name="Normal 2 4 2 20 2 6" xfId="3953" xr:uid="{00000000-0005-0000-0000-000034110000}"/>
    <cellStyle name="Normal 2 4 2 20 2 6 2" xfId="21815" xr:uid="{00000000-0005-0000-0000-000035110000}"/>
    <cellStyle name="Normal 2 4 2 20 2 7" xfId="3954" xr:uid="{00000000-0005-0000-0000-000036110000}"/>
    <cellStyle name="Normal 2 4 2 20 2 7 2" xfId="21816" xr:uid="{00000000-0005-0000-0000-000037110000}"/>
    <cellStyle name="Normal 2 4 2 20 2 8" xfId="3955" xr:uid="{00000000-0005-0000-0000-000038110000}"/>
    <cellStyle name="Normal 2 4 2 20 2 8 2" xfId="21817" xr:uid="{00000000-0005-0000-0000-000039110000}"/>
    <cellStyle name="Normal 2 4 2 20 2 9" xfId="3956" xr:uid="{00000000-0005-0000-0000-00003A110000}"/>
    <cellStyle name="Normal 2 4 2 20 2 9 2" xfId="21818" xr:uid="{00000000-0005-0000-0000-00003B110000}"/>
    <cellStyle name="Normal 2 4 2 20 3" xfId="3957" xr:uid="{00000000-0005-0000-0000-00003C110000}"/>
    <cellStyle name="Normal 2 4 2 20 3 2" xfId="21819" xr:uid="{00000000-0005-0000-0000-00003D110000}"/>
    <cellStyle name="Normal 2 4 2 20 4" xfId="3958" xr:uid="{00000000-0005-0000-0000-00003E110000}"/>
    <cellStyle name="Normal 2 4 2 20 4 2" xfId="21820" xr:uid="{00000000-0005-0000-0000-00003F110000}"/>
    <cellStyle name="Normal 2 4 2 20 5" xfId="3959" xr:uid="{00000000-0005-0000-0000-000040110000}"/>
    <cellStyle name="Normal 2 4 2 20 5 2" xfId="21821" xr:uid="{00000000-0005-0000-0000-000041110000}"/>
    <cellStyle name="Normal 2 4 2 20 6" xfId="3960" xr:uid="{00000000-0005-0000-0000-000042110000}"/>
    <cellStyle name="Normal 2 4 2 20 6 2" xfId="21822" xr:uid="{00000000-0005-0000-0000-000043110000}"/>
    <cellStyle name="Normal 2 4 2 20 7" xfId="3961" xr:uid="{00000000-0005-0000-0000-000044110000}"/>
    <cellStyle name="Normal 2 4 2 20 7 2" xfId="21823" xr:uid="{00000000-0005-0000-0000-000045110000}"/>
    <cellStyle name="Normal 2 4 2 20 8" xfId="3962" xr:uid="{00000000-0005-0000-0000-000046110000}"/>
    <cellStyle name="Normal 2 4 2 20 8 2" xfId="21824" xr:uid="{00000000-0005-0000-0000-000047110000}"/>
    <cellStyle name="Normal 2 4 2 20 9" xfId="3963" xr:uid="{00000000-0005-0000-0000-000048110000}"/>
    <cellStyle name="Normal 2 4 2 20 9 2" xfId="21825" xr:uid="{00000000-0005-0000-0000-000049110000}"/>
    <cellStyle name="Normal 2 4 2 21" xfId="3964" xr:uid="{00000000-0005-0000-0000-00004A110000}"/>
    <cellStyle name="Normal 2 4 2 21 10" xfId="3965" xr:uid="{00000000-0005-0000-0000-00004B110000}"/>
    <cellStyle name="Normal 2 4 2 21 10 2" xfId="21827" xr:uid="{00000000-0005-0000-0000-00004C110000}"/>
    <cellStyle name="Normal 2 4 2 21 11" xfId="3966" xr:uid="{00000000-0005-0000-0000-00004D110000}"/>
    <cellStyle name="Normal 2 4 2 21 11 2" xfId="21828" xr:uid="{00000000-0005-0000-0000-00004E110000}"/>
    <cellStyle name="Normal 2 4 2 21 12" xfId="3967" xr:uid="{00000000-0005-0000-0000-00004F110000}"/>
    <cellStyle name="Normal 2 4 2 21 12 2" xfId="21829" xr:uid="{00000000-0005-0000-0000-000050110000}"/>
    <cellStyle name="Normal 2 4 2 21 13" xfId="3968" xr:uid="{00000000-0005-0000-0000-000051110000}"/>
    <cellStyle name="Normal 2 4 2 21 13 2" xfId="21830" xr:uid="{00000000-0005-0000-0000-000052110000}"/>
    <cellStyle name="Normal 2 4 2 21 14" xfId="3969" xr:uid="{00000000-0005-0000-0000-000053110000}"/>
    <cellStyle name="Normal 2 4 2 21 14 2" xfId="21831" xr:uid="{00000000-0005-0000-0000-000054110000}"/>
    <cellStyle name="Normal 2 4 2 21 15" xfId="3970" xr:uid="{00000000-0005-0000-0000-000055110000}"/>
    <cellStyle name="Normal 2 4 2 21 15 2" xfId="21832" xr:uid="{00000000-0005-0000-0000-000056110000}"/>
    <cellStyle name="Normal 2 4 2 21 16" xfId="21826" xr:uid="{00000000-0005-0000-0000-000057110000}"/>
    <cellStyle name="Normal 2 4 2 21 2" xfId="3971" xr:uid="{00000000-0005-0000-0000-000058110000}"/>
    <cellStyle name="Normal 2 4 2 21 2 10" xfId="3972" xr:uid="{00000000-0005-0000-0000-000059110000}"/>
    <cellStyle name="Normal 2 4 2 21 2 10 2" xfId="21834" xr:uid="{00000000-0005-0000-0000-00005A110000}"/>
    <cellStyle name="Normal 2 4 2 21 2 11" xfId="3973" xr:uid="{00000000-0005-0000-0000-00005B110000}"/>
    <cellStyle name="Normal 2 4 2 21 2 11 2" xfId="21835" xr:uid="{00000000-0005-0000-0000-00005C110000}"/>
    <cellStyle name="Normal 2 4 2 21 2 12" xfId="3974" xr:uid="{00000000-0005-0000-0000-00005D110000}"/>
    <cellStyle name="Normal 2 4 2 21 2 12 2" xfId="21836" xr:uid="{00000000-0005-0000-0000-00005E110000}"/>
    <cellStyle name="Normal 2 4 2 21 2 13" xfId="3975" xr:uid="{00000000-0005-0000-0000-00005F110000}"/>
    <cellStyle name="Normal 2 4 2 21 2 13 2" xfId="21837" xr:uid="{00000000-0005-0000-0000-000060110000}"/>
    <cellStyle name="Normal 2 4 2 21 2 14" xfId="3976" xr:uid="{00000000-0005-0000-0000-000061110000}"/>
    <cellStyle name="Normal 2 4 2 21 2 14 2" xfId="21838" xr:uid="{00000000-0005-0000-0000-000062110000}"/>
    <cellStyle name="Normal 2 4 2 21 2 15" xfId="21833" xr:uid="{00000000-0005-0000-0000-000063110000}"/>
    <cellStyle name="Normal 2 4 2 21 2 2" xfId="3977" xr:uid="{00000000-0005-0000-0000-000064110000}"/>
    <cellStyle name="Normal 2 4 2 21 2 2 2" xfId="21839" xr:uid="{00000000-0005-0000-0000-000065110000}"/>
    <cellStyle name="Normal 2 4 2 21 2 3" xfId="3978" xr:uid="{00000000-0005-0000-0000-000066110000}"/>
    <cellStyle name="Normal 2 4 2 21 2 3 2" xfId="21840" xr:uid="{00000000-0005-0000-0000-000067110000}"/>
    <cellStyle name="Normal 2 4 2 21 2 4" xfId="3979" xr:uid="{00000000-0005-0000-0000-000068110000}"/>
    <cellStyle name="Normal 2 4 2 21 2 4 2" xfId="21841" xr:uid="{00000000-0005-0000-0000-000069110000}"/>
    <cellStyle name="Normal 2 4 2 21 2 5" xfId="3980" xr:uid="{00000000-0005-0000-0000-00006A110000}"/>
    <cellStyle name="Normal 2 4 2 21 2 5 2" xfId="21842" xr:uid="{00000000-0005-0000-0000-00006B110000}"/>
    <cellStyle name="Normal 2 4 2 21 2 6" xfId="3981" xr:uid="{00000000-0005-0000-0000-00006C110000}"/>
    <cellStyle name="Normal 2 4 2 21 2 6 2" xfId="21843" xr:uid="{00000000-0005-0000-0000-00006D110000}"/>
    <cellStyle name="Normal 2 4 2 21 2 7" xfId="3982" xr:uid="{00000000-0005-0000-0000-00006E110000}"/>
    <cellStyle name="Normal 2 4 2 21 2 7 2" xfId="21844" xr:uid="{00000000-0005-0000-0000-00006F110000}"/>
    <cellStyle name="Normal 2 4 2 21 2 8" xfId="3983" xr:uid="{00000000-0005-0000-0000-000070110000}"/>
    <cellStyle name="Normal 2 4 2 21 2 8 2" xfId="21845" xr:uid="{00000000-0005-0000-0000-000071110000}"/>
    <cellStyle name="Normal 2 4 2 21 2 9" xfId="3984" xr:uid="{00000000-0005-0000-0000-000072110000}"/>
    <cellStyle name="Normal 2 4 2 21 2 9 2" xfId="21846" xr:uid="{00000000-0005-0000-0000-000073110000}"/>
    <cellStyle name="Normal 2 4 2 21 3" xfId="3985" xr:uid="{00000000-0005-0000-0000-000074110000}"/>
    <cellStyle name="Normal 2 4 2 21 3 2" xfId="21847" xr:uid="{00000000-0005-0000-0000-000075110000}"/>
    <cellStyle name="Normal 2 4 2 21 4" xfId="3986" xr:uid="{00000000-0005-0000-0000-000076110000}"/>
    <cellStyle name="Normal 2 4 2 21 4 2" xfId="21848" xr:uid="{00000000-0005-0000-0000-000077110000}"/>
    <cellStyle name="Normal 2 4 2 21 5" xfId="3987" xr:uid="{00000000-0005-0000-0000-000078110000}"/>
    <cellStyle name="Normal 2 4 2 21 5 2" xfId="21849" xr:uid="{00000000-0005-0000-0000-000079110000}"/>
    <cellStyle name="Normal 2 4 2 21 6" xfId="3988" xr:uid="{00000000-0005-0000-0000-00007A110000}"/>
    <cellStyle name="Normal 2 4 2 21 6 2" xfId="21850" xr:uid="{00000000-0005-0000-0000-00007B110000}"/>
    <cellStyle name="Normal 2 4 2 21 7" xfId="3989" xr:uid="{00000000-0005-0000-0000-00007C110000}"/>
    <cellStyle name="Normal 2 4 2 21 7 2" xfId="21851" xr:uid="{00000000-0005-0000-0000-00007D110000}"/>
    <cellStyle name="Normal 2 4 2 21 8" xfId="3990" xr:uid="{00000000-0005-0000-0000-00007E110000}"/>
    <cellStyle name="Normal 2 4 2 21 8 2" xfId="21852" xr:uid="{00000000-0005-0000-0000-00007F110000}"/>
    <cellStyle name="Normal 2 4 2 21 9" xfId="3991" xr:uid="{00000000-0005-0000-0000-000080110000}"/>
    <cellStyle name="Normal 2 4 2 21 9 2" xfId="21853" xr:uid="{00000000-0005-0000-0000-000081110000}"/>
    <cellStyle name="Normal 2 4 2 22" xfId="3992" xr:uid="{00000000-0005-0000-0000-000082110000}"/>
    <cellStyle name="Normal 2 4 2 22 10" xfId="3993" xr:uid="{00000000-0005-0000-0000-000083110000}"/>
    <cellStyle name="Normal 2 4 2 22 10 2" xfId="21855" xr:uid="{00000000-0005-0000-0000-000084110000}"/>
    <cellStyle name="Normal 2 4 2 22 11" xfId="3994" xr:uid="{00000000-0005-0000-0000-000085110000}"/>
    <cellStyle name="Normal 2 4 2 22 11 2" xfId="21856" xr:uid="{00000000-0005-0000-0000-000086110000}"/>
    <cellStyle name="Normal 2 4 2 22 12" xfId="3995" xr:uid="{00000000-0005-0000-0000-000087110000}"/>
    <cellStyle name="Normal 2 4 2 22 12 2" xfId="21857" xr:uid="{00000000-0005-0000-0000-000088110000}"/>
    <cellStyle name="Normal 2 4 2 22 13" xfId="3996" xr:uid="{00000000-0005-0000-0000-000089110000}"/>
    <cellStyle name="Normal 2 4 2 22 13 2" xfId="21858" xr:uid="{00000000-0005-0000-0000-00008A110000}"/>
    <cellStyle name="Normal 2 4 2 22 14" xfId="3997" xr:uid="{00000000-0005-0000-0000-00008B110000}"/>
    <cellStyle name="Normal 2 4 2 22 14 2" xfId="21859" xr:uid="{00000000-0005-0000-0000-00008C110000}"/>
    <cellStyle name="Normal 2 4 2 22 15" xfId="21854" xr:uid="{00000000-0005-0000-0000-00008D110000}"/>
    <cellStyle name="Normal 2 4 2 22 2" xfId="3998" xr:uid="{00000000-0005-0000-0000-00008E110000}"/>
    <cellStyle name="Normal 2 4 2 22 2 2" xfId="21860" xr:uid="{00000000-0005-0000-0000-00008F110000}"/>
    <cellStyle name="Normal 2 4 2 22 3" xfId="3999" xr:uid="{00000000-0005-0000-0000-000090110000}"/>
    <cellStyle name="Normal 2 4 2 22 3 2" xfId="21861" xr:uid="{00000000-0005-0000-0000-000091110000}"/>
    <cellStyle name="Normal 2 4 2 22 4" xfId="4000" xr:uid="{00000000-0005-0000-0000-000092110000}"/>
    <cellStyle name="Normal 2 4 2 22 4 2" xfId="21862" xr:uid="{00000000-0005-0000-0000-000093110000}"/>
    <cellStyle name="Normal 2 4 2 22 5" xfId="4001" xr:uid="{00000000-0005-0000-0000-000094110000}"/>
    <cellStyle name="Normal 2 4 2 22 5 2" xfId="21863" xr:uid="{00000000-0005-0000-0000-000095110000}"/>
    <cellStyle name="Normal 2 4 2 22 6" xfId="4002" xr:uid="{00000000-0005-0000-0000-000096110000}"/>
    <cellStyle name="Normal 2 4 2 22 6 2" xfId="21864" xr:uid="{00000000-0005-0000-0000-000097110000}"/>
    <cellStyle name="Normal 2 4 2 22 7" xfId="4003" xr:uid="{00000000-0005-0000-0000-000098110000}"/>
    <cellStyle name="Normal 2 4 2 22 7 2" xfId="21865" xr:uid="{00000000-0005-0000-0000-000099110000}"/>
    <cellStyle name="Normal 2 4 2 22 8" xfId="4004" xr:uid="{00000000-0005-0000-0000-00009A110000}"/>
    <cellStyle name="Normal 2 4 2 22 8 2" xfId="21866" xr:uid="{00000000-0005-0000-0000-00009B110000}"/>
    <cellStyle name="Normal 2 4 2 22 9" xfId="4005" xr:uid="{00000000-0005-0000-0000-00009C110000}"/>
    <cellStyle name="Normal 2 4 2 22 9 2" xfId="21867" xr:uid="{00000000-0005-0000-0000-00009D110000}"/>
    <cellStyle name="Normal 2 4 2 23" xfId="4006" xr:uid="{00000000-0005-0000-0000-00009E110000}"/>
    <cellStyle name="Normal 2 4 2 23 10" xfId="4007" xr:uid="{00000000-0005-0000-0000-00009F110000}"/>
    <cellStyle name="Normal 2 4 2 23 10 2" xfId="21869" xr:uid="{00000000-0005-0000-0000-0000A0110000}"/>
    <cellStyle name="Normal 2 4 2 23 11" xfId="4008" xr:uid="{00000000-0005-0000-0000-0000A1110000}"/>
    <cellStyle name="Normal 2 4 2 23 11 2" xfId="21870" xr:uid="{00000000-0005-0000-0000-0000A2110000}"/>
    <cellStyle name="Normal 2 4 2 23 12" xfId="4009" xr:uid="{00000000-0005-0000-0000-0000A3110000}"/>
    <cellStyle name="Normal 2 4 2 23 12 2" xfId="21871" xr:uid="{00000000-0005-0000-0000-0000A4110000}"/>
    <cellStyle name="Normal 2 4 2 23 13" xfId="4010" xr:uid="{00000000-0005-0000-0000-0000A5110000}"/>
    <cellStyle name="Normal 2 4 2 23 13 2" xfId="21872" xr:uid="{00000000-0005-0000-0000-0000A6110000}"/>
    <cellStyle name="Normal 2 4 2 23 14" xfId="4011" xr:uid="{00000000-0005-0000-0000-0000A7110000}"/>
    <cellStyle name="Normal 2 4 2 23 14 2" xfId="21873" xr:uid="{00000000-0005-0000-0000-0000A8110000}"/>
    <cellStyle name="Normal 2 4 2 23 15" xfId="21868" xr:uid="{00000000-0005-0000-0000-0000A9110000}"/>
    <cellStyle name="Normal 2 4 2 23 2" xfId="4012" xr:uid="{00000000-0005-0000-0000-0000AA110000}"/>
    <cellStyle name="Normal 2 4 2 23 2 2" xfId="21874" xr:uid="{00000000-0005-0000-0000-0000AB110000}"/>
    <cellStyle name="Normal 2 4 2 23 3" xfId="4013" xr:uid="{00000000-0005-0000-0000-0000AC110000}"/>
    <cellStyle name="Normal 2 4 2 23 3 2" xfId="21875" xr:uid="{00000000-0005-0000-0000-0000AD110000}"/>
    <cellStyle name="Normal 2 4 2 23 4" xfId="4014" xr:uid="{00000000-0005-0000-0000-0000AE110000}"/>
    <cellStyle name="Normal 2 4 2 23 4 2" xfId="21876" xr:uid="{00000000-0005-0000-0000-0000AF110000}"/>
    <cellStyle name="Normal 2 4 2 23 5" xfId="4015" xr:uid="{00000000-0005-0000-0000-0000B0110000}"/>
    <cellStyle name="Normal 2 4 2 23 5 2" xfId="21877" xr:uid="{00000000-0005-0000-0000-0000B1110000}"/>
    <cellStyle name="Normal 2 4 2 23 6" xfId="4016" xr:uid="{00000000-0005-0000-0000-0000B2110000}"/>
    <cellStyle name="Normal 2 4 2 23 6 2" xfId="21878" xr:uid="{00000000-0005-0000-0000-0000B3110000}"/>
    <cellStyle name="Normal 2 4 2 23 7" xfId="4017" xr:uid="{00000000-0005-0000-0000-0000B4110000}"/>
    <cellStyle name="Normal 2 4 2 23 7 2" xfId="21879" xr:uid="{00000000-0005-0000-0000-0000B5110000}"/>
    <cellStyle name="Normal 2 4 2 23 8" xfId="4018" xr:uid="{00000000-0005-0000-0000-0000B6110000}"/>
    <cellStyle name="Normal 2 4 2 23 8 2" xfId="21880" xr:uid="{00000000-0005-0000-0000-0000B7110000}"/>
    <cellStyle name="Normal 2 4 2 23 9" xfId="4019" xr:uid="{00000000-0005-0000-0000-0000B8110000}"/>
    <cellStyle name="Normal 2 4 2 23 9 2" xfId="21881" xr:uid="{00000000-0005-0000-0000-0000B9110000}"/>
    <cellStyle name="Normal 2 4 2 24" xfId="4020" xr:uid="{00000000-0005-0000-0000-0000BA110000}"/>
    <cellStyle name="Normal 2 4 2 24 10" xfId="4021" xr:uid="{00000000-0005-0000-0000-0000BB110000}"/>
    <cellStyle name="Normal 2 4 2 24 10 2" xfId="21883" xr:uid="{00000000-0005-0000-0000-0000BC110000}"/>
    <cellStyle name="Normal 2 4 2 24 11" xfId="4022" xr:uid="{00000000-0005-0000-0000-0000BD110000}"/>
    <cellStyle name="Normal 2 4 2 24 11 2" xfId="21884" xr:uid="{00000000-0005-0000-0000-0000BE110000}"/>
    <cellStyle name="Normal 2 4 2 24 12" xfId="4023" xr:uid="{00000000-0005-0000-0000-0000BF110000}"/>
    <cellStyle name="Normal 2 4 2 24 12 2" xfId="21885" xr:uid="{00000000-0005-0000-0000-0000C0110000}"/>
    <cellStyle name="Normal 2 4 2 24 13" xfId="4024" xr:uid="{00000000-0005-0000-0000-0000C1110000}"/>
    <cellStyle name="Normal 2 4 2 24 13 2" xfId="21886" xr:uid="{00000000-0005-0000-0000-0000C2110000}"/>
    <cellStyle name="Normal 2 4 2 24 14" xfId="4025" xr:uid="{00000000-0005-0000-0000-0000C3110000}"/>
    <cellStyle name="Normal 2 4 2 24 14 2" xfId="21887" xr:uid="{00000000-0005-0000-0000-0000C4110000}"/>
    <cellStyle name="Normal 2 4 2 24 15" xfId="21882" xr:uid="{00000000-0005-0000-0000-0000C5110000}"/>
    <cellStyle name="Normal 2 4 2 24 2" xfId="4026" xr:uid="{00000000-0005-0000-0000-0000C6110000}"/>
    <cellStyle name="Normal 2 4 2 24 2 2" xfId="21888" xr:uid="{00000000-0005-0000-0000-0000C7110000}"/>
    <cellStyle name="Normal 2 4 2 24 3" xfId="4027" xr:uid="{00000000-0005-0000-0000-0000C8110000}"/>
    <cellStyle name="Normal 2 4 2 24 3 2" xfId="21889" xr:uid="{00000000-0005-0000-0000-0000C9110000}"/>
    <cellStyle name="Normal 2 4 2 24 4" xfId="4028" xr:uid="{00000000-0005-0000-0000-0000CA110000}"/>
    <cellStyle name="Normal 2 4 2 24 4 2" xfId="21890" xr:uid="{00000000-0005-0000-0000-0000CB110000}"/>
    <cellStyle name="Normal 2 4 2 24 5" xfId="4029" xr:uid="{00000000-0005-0000-0000-0000CC110000}"/>
    <cellStyle name="Normal 2 4 2 24 5 2" xfId="21891" xr:uid="{00000000-0005-0000-0000-0000CD110000}"/>
    <cellStyle name="Normal 2 4 2 24 6" xfId="4030" xr:uid="{00000000-0005-0000-0000-0000CE110000}"/>
    <cellStyle name="Normal 2 4 2 24 6 2" xfId="21892" xr:uid="{00000000-0005-0000-0000-0000CF110000}"/>
    <cellStyle name="Normal 2 4 2 24 7" xfId="4031" xr:uid="{00000000-0005-0000-0000-0000D0110000}"/>
    <cellStyle name="Normal 2 4 2 24 7 2" xfId="21893" xr:uid="{00000000-0005-0000-0000-0000D1110000}"/>
    <cellStyle name="Normal 2 4 2 24 8" xfId="4032" xr:uid="{00000000-0005-0000-0000-0000D2110000}"/>
    <cellStyle name="Normal 2 4 2 24 8 2" xfId="21894" xr:uid="{00000000-0005-0000-0000-0000D3110000}"/>
    <cellStyle name="Normal 2 4 2 24 9" xfId="4033" xr:uid="{00000000-0005-0000-0000-0000D4110000}"/>
    <cellStyle name="Normal 2 4 2 24 9 2" xfId="21895" xr:uid="{00000000-0005-0000-0000-0000D5110000}"/>
    <cellStyle name="Normal 2 4 2 25" xfId="4034" xr:uid="{00000000-0005-0000-0000-0000D6110000}"/>
    <cellStyle name="Normal 2 4 2 25 10" xfId="4035" xr:uid="{00000000-0005-0000-0000-0000D7110000}"/>
    <cellStyle name="Normal 2 4 2 25 10 2" xfId="21897" xr:uid="{00000000-0005-0000-0000-0000D8110000}"/>
    <cellStyle name="Normal 2 4 2 25 11" xfId="4036" xr:uid="{00000000-0005-0000-0000-0000D9110000}"/>
    <cellStyle name="Normal 2 4 2 25 11 2" xfId="21898" xr:uid="{00000000-0005-0000-0000-0000DA110000}"/>
    <cellStyle name="Normal 2 4 2 25 12" xfId="4037" xr:uid="{00000000-0005-0000-0000-0000DB110000}"/>
    <cellStyle name="Normal 2 4 2 25 12 2" xfId="21899" xr:uid="{00000000-0005-0000-0000-0000DC110000}"/>
    <cellStyle name="Normal 2 4 2 25 13" xfId="4038" xr:uid="{00000000-0005-0000-0000-0000DD110000}"/>
    <cellStyle name="Normal 2 4 2 25 13 2" xfId="21900" xr:uid="{00000000-0005-0000-0000-0000DE110000}"/>
    <cellStyle name="Normal 2 4 2 25 14" xfId="4039" xr:uid="{00000000-0005-0000-0000-0000DF110000}"/>
    <cellStyle name="Normal 2 4 2 25 14 2" xfId="21901" xr:uid="{00000000-0005-0000-0000-0000E0110000}"/>
    <cellStyle name="Normal 2 4 2 25 15" xfId="21896" xr:uid="{00000000-0005-0000-0000-0000E1110000}"/>
    <cellStyle name="Normal 2 4 2 25 2" xfId="4040" xr:uid="{00000000-0005-0000-0000-0000E2110000}"/>
    <cellStyle name="Normal 2 4 2 25 2 2" xfId="21902" xr:uid="{00000000-0005-0000-0000-0000E3110000}"/>
    <cellStyle name="Normal 2 4 2 25 3" xfId="4041" xr:uid="{00000000-0005-0000-0000-0000E4110000}"/>
    <cellStyle name="Normal 2 4 2 25 3 2" xfId="21903" xr:uid="{00000000-0005-0000-0000-0000E5110000}"/>
    <cellStyle name="Normal 2 4 2 25 4" xfId="4042" xr:uid="{00000000-0005-0000-0000-0000E6110000}"/>
    <cellStyle name="Normal 2 4 2 25 4 2" xfId="21904" xr:uid="{00000000-0005-0000-0000-0000E7110000}"/>
    <cellStyle name="Normal 2 4 2 25 5" xfId="4043" xr:uid="{00000000-0005-0000-0000-0000E8110000}"/>
    <cellStyle name="Normal 2 4 2 25 5 2" xfId="21905" xr:uid="{00000000-0005-0000-0000-0000E9110000}"/>
    <cellStyle name="Normal 2 4 2 25 6" xfId="4044" xr:uid="{00000000-0005-0000-0000-0000EA110000}"/>
    <cellStyle name="Normal 2 4 2 25 6 2" xfId="21906" xr:uid="{00000000-0005-0000-0000-0000EB110000}"/>
    <cellStyle name="Normal 2 4 2 25 7" xfId="4045" xr:uid="{00000000-0005-0000-0000-0000EC110000}"/>
    <cellStyle name="Normal 2 4 2 25 7 2" xfId="21907" xr:uid="{00000000-0005-0000-0000-0000ED110000}"/>
    <cellStyle name="Normal 2 4 2 25 8" xfId="4046" xr:uid="{00000000-0005-0000-0000-0000EE110000}"/>
    <cellStyle name="Normal 2 4 2 25 8 2" xfId="21908" xr:uid="{00000000-0005-0000-0000-0000EF110000}"/>
    <cellStyle name="Normal 2 4 2 25 9" xfId="4047" xr:uid="{00000000-0005-0000-0000-0000F0110000}"/>
    <cellStyle name="Normal 2 4 2 25 9 2" xfId="21909" xr:uid="{00000000-0005-0000-0000-0000F1110000}"/>
    <cellStyle name="Normal 2 4 2 26" xfId="4048" xr:uid="{00000000-0005-0000-0000-0000F2110000}"/>
    <cellStyle name="Normal 2 4 2 26 10" xfId="4049" xr:uid="{00000000-0005-0000-0000-0000F3110000}"/>
    <cellStyle name="Normal 2 4 2 26 10 2" xfId="21911" xr:uid="{00000000-0005-0000-0000-0000F4110000}"/>
    <cellStyle name="Normal 2 4 2 26 11" xfId="4050" xr:uid="{00000000-0005-0000-0000-0000F5110000}"/>
    <cellStyle name="Normal 2 4 2 26 11 2" xfId="21912" xr:uid="{00000000-0005-0000-0000-0000F6110000}"/>
    <cellStyle name="Normal 2 4 2 26 12" xfId="4051" xr:uid="{00000000-0005-0000-0000-0000F7110000}"/>
    <cellStyle name="Normal 2 4 2 26 12 2" xfId="21913" xr:uid="{00000000-0005-0000-0000-0000F8110000}"/>
    <cellStyle name="Normal 2 4 2 26 13" xfId="4052" xr:uid="{00000000-0005-0000-0000-0000F9110000}"/>
    <cellStyle name="Normal 2 4 2 26 13 2" xfId="21914" xr:uid="{00000000-0005-0000-0000-0000FA110000}"/>
    <cellStyle name="Normal 2 4 2 26 14" xfId="4053" xr:uid="{00000000-0005-0000-0000-0000FB110000}"/>
    <cellStyle name="Normal 2 4 2 26 14 2" xfId="21915" xr:uid="{00000000-0005-0000-0000-0000FC110000}"/>
    <cellStyle name="Normal 2 4 2 26 15" xfId="21910" xr:uid="{00000000-0005-0000-0000-0000FD110000}"/>
    <cellStyle name="Normal 2 4 2 26 2" xfId="4054" xr:uid="{00000000-0005-0000-0000-0000FE110000}"/>
    <cellStyle name="Normal 2 4 2 26 2 2" xfId="21916" xr:uid="{00000000-0005-0000-0000-0000FF110000}"/>
    <cellStyle name="Normal 2 4 2 26 3" xfId="4055" xr:uid="{00000000-0005-0000-0000-000000120000}"/>
    <cellStyle name="Normal 2 4 2 26 3 2" xfId="21917" xr:uid="{00000000-0005-0000-0000-000001120000}"/>
    <cellStyle name="Normal 2 4 2 26 4" xfId="4056" xr:uid="{00000000-0005-0000-0000-000002120000}"/>
    <cellStyle name="Normal 2 4 2 26 4 2" xfId="21918" xr:uid="{00000000-0005-0000-0000-000003120000}"/>
    <cellStyle name="Normal 2 4 2 26 5" xfId="4057" xr:uid="{00000000-0005-0000-0000-000004120000}"/>
    <cellStyle name="Normal 2 4 2 26 5 2" xfId="21919" xr:uid="{00000000-0005-0000-0000-000005120000}"/>
    <cellStyle name="Normal 2 4 2 26 6" xfId="4058" xr:uid="{00000000-0005-0000-0000-000006120000}"/>
    <cellStyle name="Normal 2 4 2 26 6 2" xfId="21920" xr:uid="{00000000-0005-0000-0000-000007120000}"/>
    <cellStyle name="Normal 2 4 2 26 7" xfId="4059" xr:uid="{00000000-0005-0000-0000-000008120000}"/>
    <cellStyle name="Normal 2 4 2 26 7 2" xfId="21921" xr:uid="{00000000-0005-0000-0000-000009120000}"/>
    <cellStyle name="Normal 2 4 2 26 8" xfId="4060" xr:uid="{00000000-0005-0000-0000-00000A120000}"/>
    <cellStyle name="Normal 2 4 2 26 8 2" xfId="21922" xr:uid="{00000000-0005-0000-0000-00000B120000}"/>
    <cellStyle name="Normal 2 4 2 26 9" xfId="4061" xr:uid="{00000000-0005-0000-0000-00000C120000}"/>
    <cellStyle name="Normal 2 4 2 26 9 2" xfId="21923" xr:uid="{00000000-0005-0000-0000-00000D120000}"/>
    <cellStyle name="Normal 2 4 2 27" xfId="4062" xr:uid="{00000000-0005-0000-0000-00000E120000}"/>
    <cellStyle name="Normal 2 4 2 27 10" xfId="4063" xr:uid="{00000000-0005-0000-0000-00000F120000}"/>
    <cellStyle name="Normal 2 4 2 27 10 2" xfId="21925" xr:uid="{00000000-0005-0000-0000-000010120000}"/>
    <cellStyle name="Normal 2 4 2 27 11" xfId="4064" xr:uid="{00000000-0005-0000-0000-000011120000}"/>
    <cellStyle name="Normal 2 4 2 27 11 2" xfId="21926" xr:uid="{00000000-0005-0000-0000-000012120000}"/>
    <cellStyle name="Normal 2 4 2 27 12" xfId="4065" xr:uid="{00000000-0005-0000-0000-000013120000}"/>
    <cellStyle name="Normal 2 4 2 27 12 2" xfId="21927" xr:uid="{00000000-0005-0000-0000-000014120000}"/>
    <cellStyle name="Normal 2 4 2 27 13" xfId="4066" xr:uid="{00000000-0005-0000-0000-000015120000}"/>
    <cellStyle name="Normal 2 4 2 27 13 2" xfId="21928" xr:uid="{00000000-0005-0000-0000-000016120000}"/>
    <cellStyle name="Normal 2 4 2 27 14" xfId="4067" xr:uid="{00000000-0005-0000-0000-000017120000}"/>
    <cellStyle name="Normal 2 4 2 27 14 2" xfId="21929" xr:uid="{00000000-0005-0000-0000-000018120000}"/>
    <cellStyle name="Normal 2 4 2 27 15" xfId="21924" xr:uid="{00000000-0005-0000-0000-000019120000}"/>
    <cellStyle name="Normal 2 4 2 27 2" xfId="4068" xr:uid="{00000000-0005-0000-0000-00001A120000}"/>
    <cellStyle name="Normal 2 4 2 27 2 2" xfId="21930" xr:uid="{00000000-0005-0000-0000-00001B120000}"/>
    <cellStyle name="Normal 2 4 2 27 3" xfId="4069" xr:uid="{00000000-0005-0000-0000-00001C120000}"/>
    <cellStyle name="Normal 2 4 2 27 3 2" xfId="21931" xr:uid="{00000000-0005-0000-0000-00001D120000}"/>
    <cellStyle name="Normal 2 4 2 27 4" xfId="4070" xr:uid="{00000000-0005-0000-0000-00001E120000}"/>
    <cellStyle name="Normal 2 4 2 27 4 2" xfId="21932" xr:uid="{00000000-0005-0000-0000-00001F120000}"/>
    <cellStyle name="Normal 2 4 2 27 5" xfId="4071" xr:uid="{00000000-0005-0000-0000-000020120000}"/>
    <cellStyle name="Normal 2 4 2 27 5 2" xfId="21933" xr:uid="{00000000-0005-0000-0000-000021120000}"/>
    <cellStyle name="Normal 2 4 2 27 6" xfId="4072" xr:uid="{00000000-0005-0000-0000-000022120000}"/>
    <cellStyle name="Normal 2 4 2 27 6 2" xfId="21934" xr:uid="{00000000-0005-0000-0000-000023120000}"/>
    <cellStyle name="Normal 2 4 2 27 7" xfId="4073" xr:uid="{00000000-0005-0000-0000-000024120000}"/>
    <cellStyle name="Normal 2 4 2 27 7 2" xfId="21935" xr:uid="{00000000-0005-0000-0000-000025120000}"/>
    <cellStyle name="Normal 2 4 2 27 8" xfId="4074" xr:uid="{00000000-0005-0000-0000-000026120000}"/>
    <cellStyle name="Normal 2 4 2 27 8 2" xfId="21936" xr:uid="{00000000-0005-0000-0000-000027120000}"/>
    <cellStyle name="Normal 2 4 2 27 9" xfId="4075" xr:uid="{00000000-0005-0000-0000-000028120000}"/>
    <cellStyle name="Normal 2 4 2 27 9 2" xfId="21937" xr:uid="{00000000-0005-0000-0000-000029120000}"/>
    <cellStyle name="Normal 2 4 2 28" xfId="4076" xr:uid="{00000000-0005-0000-0000-00002A120000}"/>
    <cellStyle name="Normal 2 4 2 28 10" xfId="4077" xr:uid="{00000000-0005-0000-0000-00002B120000}"/>
    <cellStyle name="Normal 2 4 2 28 10 2" xfId="21939" xr:uid="{00000000-0005-0000-0000-00002C120000}"/>
    <cellStyle name="Normal 2 4 2 28 11" xfId="4078" xr:uid="{00000000-0005-0000-0000-00002D120000}"/>
    <cellStyle name="Normal 2 4 2 28 11 2" xfId="21940" xr:uid="{00000000-0005-0000-0000-00002E120000}"/>
    <cellStyle name="Normal 2 4 2 28 12" xfId="4079" xr:uid="{00000000-0005-0000-0000-00002F120000}"/>
    <cellStyle name="Normal 2 4 2 28 12 2" xfId="21941" xr:uid="{00000000-0005-0000-0000-000030120000}"/>
    <cellStyle name="Normal 2 4 2 28 13" xfId="4080" xr:uid="{00000000-0005-0000-0000-000031120000}"/>
    <cellStyle name="Normal 2 4 2 28 13 2" xfId="21942" xr:uid="{00000000-0005-0000-0000-000032120000}"/>
    <cellStyle name="Normal 2 4 2 28 14" xfId="4081" xr:uid="{00000000-0005-0000-0000-000033120000}"/>
    <cellStyle name="Normal 2 4 2 28 14 2" xfId="21943" xr:uid="{00000000-0005-0000-0000-000034120000}"/>
    <cellStyle name="Normal 2 4 2 28 15" xfId="21938" xr:uid="{00000000-0005-0000-0000-000035120000}"/>
    <cellStyle name="Normal 2 4 2 28 2" xfId="4082" xr:uid="{00000000-0005-0000-0000-000036120000}"/>
    <cellStyle name="Normal 2 4 2 28 2 2" xfId="21944" xr:uid="{00000000-0005-0000-0000-000037120000}"/>
    <cellStyle name="Normal 2 4 2 28 3" xfId="4083" xr:uid="{00000000-0005-0000-0000-000038120000}"/>
    <cellStyle name="Normal 2 4 2 28 3 2" xfId="21945" xr:uid="{00000000-0005-0000-0000-000039120000}"/>
    <cellStyle name="Normal 2 4 2 28 4" xfId="4084" xr:uid="{00000000-0005-0000-0000-00003A120000}"/>
    <cellStyle name="Normal 2 4 2 28 4 2" xfId="21946" xr:uid="{00000000-0005-0000-0000-00003B120000}"/>
    <cellStyle name="Normal 2 4 2 28 5" xfId="4085" xr:uid="{00000000-0005-0000-0000-00003C120000}"/>
    <cellStyle name="Normal 2 4 2 28 5 2" xfId="21947" xr:uid="{00000000-0005-0000-0000-00003D120000}"/>
    <cellStyle name="Normal 2 4 2 28 6" xfId="4086" xr:uid="{00000000-0005-0000-0000-00003E120000}"/>
    <cellStyle name="Normal 2 4 2 28 6 2" xfId="21948" xr:uid="{00000000-0005-0000-0000-00003F120000}"/>
    <cellStyle name="Normal 2 4 2 28 7" xfId="4087" xr:uid="{00000000-0005-0000-0000-000040120000}"/>
    <cellStyle name="Normal 2 4 2 28 7 2" xfId="21949" xr:uid="{00000000-0005-0000-0000-000041120000}"/>
    <cellStyle name="Normal 2 4 2 28 8" xfId="4088" xr:uid="{00000000-0005-0000-0000-000042120000}"/>
    <cellStyle name="Normal 2 4 2 28 8 2" xfId="21950" xr:uid="{00000000-0005-0000-0000-000043120000}"/>
    <cellStyle name="Normal 2 4 2 28 9" xfId="4089" xr:uid="{00000000-0005-0000-0000-000044120000}"/>
    <cellStyle name="Normal 2 4 2 28 9 2" xfId="21951" xr:uid="{00000000-0005-0000-0000-000045120000}"/>
    <cellStyle name="Normal 2 4 2 29" xfId="4090" xr:uid="{00000000-0005-0000-0000-000046120000}"/>
    <cellStyle name="Normal 2 4 2 29 10" xfId="4091" xr:uid="{00000000-0005-0000-0000-000047120000}"/>
    <cellStyle name="Normal 2 4 2 29 10 2" xfId="21953" xr:uid="{00000000-0005-0000-0000-000048120000}"/>
    <cellStyle name="Normal 2 4 2 29 11" xfId="4092" xr:uid="{00000000-0005-0000-0000-000049120000}"/>
    <cellStyle name="Normal 2 4 2 29 11 2" xfId="21954" xr:uid="{00000000-0005-0000-0000-00004A120000}"/>
    <cellStyle name="Normal 2 4 2 29 12" xfId="4093" xr:uid="{00000000-0005-0000-0000-00004B120000}"/>
    <cellStyle name="Normal 2 4 2 29 12 2" xfId="21955" xr:uid="{00000000-0005-0000-0000-00004C120000}"/>
    <cellStyle name="Normal 2 4 2 29 13" xfId="4094" xr:uid="{00000000-0005-0000-0000-00004D120000}"/>
    <cellStyle name="Normal 2 4 2 29 13 2" xfId="21956" xr:uid="{00000000-0005-0000-0000-00004E120000}"/>
    <cellStyle name="Normal 2 4 2 29 14" xfId="4095" xr:uid="{00000000-0005-0000-0000-00004F120000}"/>
    <cellStyle name="Normal 2 4 2 29 14 2" xfId="21957" xr:uid="{00000000-0005-0000-0000-000050120000}"/>
    <cellStyle name="Normal 2 4 2 29 15" xfId="21952" xr:uid="{00000000-0005-0000-0000-000051120000}"/>
    <cellStyle name="Normal 2 4 2 29 2" xfId="4096" xr:uid="{00000000-0005-0000-0000-000052120000}"/>
    <cellStyle name="Normal 2 4 2 29 2 2" xfId="21958" xr:uid="{00000000-0005-0000-0000-000053120000}"/>
    <cellStyle name="Normal 2 4 2 29 3" xfId="4097" xr:uid="{00000000-0005-0000-0000-000054120000}"/>
    <cellStyle name="Normal 2 4 2 29 3 2" xfId="21959" xr:uid="{00000000-0005-0000-0000-000055120000}"/>
    <cellStyle name="Normal 2 4 2 29 4" xfId="4098" xr:uid="{00000000-0005-0000-0000-000056120000}"/>
    <cellStyle name="Normal 2 4 2 29 4 2" xfId="21960" xr:uid="{00000000-0005-0000-0000-000057120000}"/>
    <cellStyle name="Normal 2 4 2 29 5" xfId="4099" xr:uid="{00000000-0005-0000-0000-000058120000}"/>
    <cellStyle name="Normal 2 4 2 29 5 2" xfId="21961" xr:uid="{00000000-0005-0000-0000-000059120000}"/>
    <cellStyle name="Normal 2 4 2 29 6" xfId="4100" xr:uid="{00000000-0005-0000-0000-00005A120000}"/>
    <cellStyle name="Normal 2 4 2 29 6 2" xfId="21962" xr:uid="{00000000-0005-0000-0000-00005B120000}"/>
    <cellStyle name="Normal 2 4 2 29 7" xfId="4101" xr:uid="{00000000-0005-0000-0000-00005C120000}"/>
    <cellStyle name="Normal 2 4 2 29 7 2" xfId="21963" xr:uid="{00000000-0005-0000-0000-00005D120000}"/>
    <cellStyle name="Normal 2 4 2 29 8" xfId="4102" xr:uid="{00000000-0005-0000-0000-00005E120000}"/>
    <cellStyle name="Normal 2 4 2 29 8 2" xfId="21964" xr:uid="{00000000-0005-0000-0000-00005F120000}"/>
    <cellStyle name="Normal 2 4 2 29 9" xfId="4103" xr:uid="{00000000-0005-0000-0000-000060120000}"/>
    <cellStyle name="Normal 2 4 2 29 9 2" xfId="21965" xr:uid="{00000000-0005-0000-0000-000061120000}"/>
    <cellStyle name="Normal 2 4 2 3" xfId="4104" xr:uid="{00000000-0005-0000-0000-000062120000}"/>
    <cellStyle name="Normal 2 4 2 3 2" xfId="4105" xr:uid="{00000000-0005-0000-0000-000063120000}"/>
    <cellStyle name="Normal 2 4 2 30" xfId="4106" xr:uid="{00000000-0005-0000-0000-000064120000}"/>
    <cellStyle name="Normal 2 4 2 30 10" xfId="4107" xr:uid="{00000000-0005-0000-0000-000065120000}"/>
    <cellStyle name="Normal 2 4 2 30 10 2" xfId="21967" xr:uid="{00000000-0005-0000-0000-000066120000}"/>
    <cellStyle name="Normal 2 4 2 30 11" xfId="4108" xr:uid="{00000000-0005-0000-0000-000067120000}"/>
    <cellStyle name="Normal 2 4 2 30 11 2" xfId="21968" xr:uid="{00000000-0005-0000-0000-000068120000}"/>
    <cellStyle name="Normal 2 4 2 30 12" xfId="4109" xr:uid="{00000000-0005-0000-0000-000069120000}"/>
    <cellStyle name="Normal 2 4 2 30 12 2" xfId="21969" xr:uid="{00000000-0005-0000-0000-00006A120000}"/>
    <cellStyle name="Normal 2 4 2 30 13" xfId="4110" xr:uid="{00000000-0005-0000-0000-00006B120000}"/>
    <cellStyle name="Normal 2 4 2 30 13 2" xfId="21970" xr:uid="{00000000-0005-0000-0000-00006C120000}"/>
    <cellStyle name="Normal 2 4 2 30 14" xfId="4111" xr:uid="{00000000-0005-0000-0000-00006D120000}"/>
    <cellStyle name="Normal 2 4 2 30 14 2" xfId="21971" xr:uid="{00000000-0005-0000-0000-00006E120000}"/>
    <cellStyle name="Normal 2 4 2 30 15" xfId="21966" xr:uid="{00000000-0005-0000-0000-00006F120000}"/>
    <cellStyle name="Normal 2 4 2 30 2" xfId="4112" xr:uid="{00000000-0005-0000-0000-000070120000}"/>
    <cellStyle name="Normal 2 4 2 30 2 2" xfId="21972" xr:uid="{00000000-0005-0000-0000-000071120000}"/>
    <cellStyle name="Normal 2 4 2 30 3" xfId="4113" xr:uid="{00000000-0005-0000-0000-000072120000}"/>
    <cellStyle name="Normal 2 4 2 30 3 2" xfId="21973" xr:uid="{00000000-0005-0000-0000-000073120000}"/>
    <cellStyle name="Normal 2 4 2 30 4" xfId="4114" xr:uid="{00000000-0005-0000-0000-000074120000}"/>
    <cellStyle name="Normal 2 4 2 30 4 2" xfId="21974" xr:uid="{00000000-0005-0000-0000-000075120000}"/>
    <cellStyle name="Normal 2 4 2 30 5" xfId="4115" xr:uid="{00000000-0005-0000-0000-000076120000}"/>
    <cellStyle name="Normal 2 4 2 30 5 2" xfId="21975" xr:uid="{00000000-0005-0000-0000-000077120000}"/>
    <cellStyle name="Normal 2 4 2 30 6" xfId="4116" xr:uid="{00000000-0005-0000-0000-000078120000}"/>
    <cellStyle name="Normal 2 4 2 30 6 2" xfId="21976" xr:uid="{00000000-0005-0000-0000-000079120000}"/>
    <cellStyle name="Normal 2 4 2 30 7" xfId="4117" xr:uid="{00000000-0005-0000-0000-00007A120000}"/>
    <cellStyle name="Normal 2 4 2 30 7 2" xfId="21977" xr:uid="{00000000-0005-0000-0000-00007B120000}"/>
    <cellStyle name="Normal 2 4 2 30 8" xfId="4118" xr:uid="{00000000-0005-0000-0000-00007C120000}"/>
    <cellStyle name="Normal 2 4 2 30 8 2" xfId="21978" xr:uid="{00000000-0005-0000-0000-00007D120000}"/>
    <cellStyle name="Normal 2 4 2 30 9" xfId="4119" xr:uid="{00000000-0005-0000-0000-00007E120000}"/>
    <cellStyle name="Normal 2 4 2 30 9 2" xfId="21979" xr:uid="{00000000-0005-0000-0000-00007F120000}"/>
    <cellStyle name="Normal 2 4 2 31" xfId="4120" xr:uid="{00000000-0005-0000-0000-000080120000}"/>
    <cellStyle name="Normal 2 4 2 31 10" xfId="4121" xr:uid="{00000000-0005-0000-0000-000081120000}"/>
    <cellStyle name="Normal 2 4 2 31 10 2" xfId="21981" xr:uid="{00000000-0005-0000-0000-000082120000}"/>
    <cellStyle name="Normal 2 4 2 31 11" xfId="4122" xr:uid="{00000000-0005-0000-0000-000083120000}"/>
    <cellStyle name="Normal 2 4 2 31 11 2" xfId="21982" xr:uid="{00000000-0005-0000-0000-000084120000}"/>
    <cellStyle name="Normal 2 4 2 31 12" xfId="4123" xr:uid="{00000000-0005-0000-0000-000085120000}"/>
    <cellStyle name="Normal 2 4 2 31 12 2" xfId="21983" xr:uid="{00000000-0005-0000-0000-000086120000}"/>
    <cellStyle name="Normal 2 4 2 31 13" xfId="4124" xr:uid="{00000000-0005-0000-0000-000087120000}"/>
    <cellStyle name="Normal 2 4 2 31 13 2" xfId="21984" xr:uid="{00000000-0005-0000-0000-000088120000}"/>
    <cellStyle name="Normal 2 4 2 31 14" xfId="4125" xr:uid="{00000000-0005-0000-0000-000089120000}"/>
    <cellStyle name="Normal 2 4 2 31 14 2" xfId="21985" xr:uid="{00000000-0005-0000-0000-00008A120000}"/>
    <cellStyle name="Normal 2 4 2 31 15" xfId="21980" xr:uid="{00000000-0005-0000-0000-00008B120000}"/>
    <cellStyle name="Normal 2 4 2 31 2" xfId="4126" xr:uid="{00000000-0005-0000-0000-00008C120000}"/>
    <cellStyle name="Normal 2 4 2 31 2 2" xfId="21986" xr:uid="{00000000-0005-0000-0000-00008D120000}"/>
    <cellStyle name="Normal 2 4 2 31 3" xfId="4127" xr:uid="{00000000-0005-0000-0000-00008E120000}"/>
    <cellStyle name="Normal 2 4 2 31 3 2" xfId="21987" xr:uid="{00000000-0005-0000-0000-00008F120000}"/>
    <cellStyle name="Normal 2 4 2 31 4" xfId="4128" xr:uid="{00000000-0005-0000-0000-000090120000}"/>
    <cellStyle name="Normal 2 4 2 31 4 2" xfId="21988" xr:uid="{00000000-0005-0000-0000-000091120000}"/>
    <cellStyle name="Normal 2 4 2 31 5" xfId="4129" xr:uid="{00000000-0005-0000-0000-000092120000}"/>
    <cellStyle name="Normal 2 4 2 31 5 2" xfId="21989" xr:uid="{00000000-0005-0000-0000-000093120000}"/>
    <cellStyle name="Normal 2 4 2 31 6" xfId="4130" xr:uid="{00000000-0005-0000-0000-000094120000}"/>
    <cellStyle name="Normal 2 4 2 31 6 2" xfId="21990" xr:uid="{00000000-0005-0000-0000-000095120000}"/>
    <cellStyle name="Normal 2 4 2 31 7" xfId="4131" xr:uid="{00000000-0005-0000-0000-000096120000}"/>
    <cellStyle name="Normal 2 4 2 31 7 2" xfId="21991" xr:uid="{00000000-0005-0000-0000-000097120000}"/>
    <cellStyle name="Normal 2 4 2 31 8" xfId="4132" xr:uid="{00000000-0005-0000-0000-000098120000}"/>
    <cellStyle name="Normal 2 4 2 31 8 2" xfId="21992" xr:uid="{00000000-0005-0000-0000-000099120000}"/>
    <cellStyle name="Normal 2 4 2 31 9" xfId="4133" xr:uid="{00000000-0005-0000-0000-00009A120000}"/>
    <cellStyle name="Normal 2 4 2 31 9 2" xfId="21993" xr:uid="{00000000-0005-0000-0000-00009B120000}"/>
    <cellStyle name="Normal 2 4 2 32" xfId="4134" xr:uid="{00000000-0005-0000-0000-00009C120000}"/>
    <cellStyle name="Normal 2 4 2 33" xfId="4135" xr:uid="{00000000-0005-0000-0000-00009D120000}"/>
    <cellStyle name="Normal 2 4 2 33 2" xfId="21994" xr:uid="{00000000-0005-0000-0000-00009E120000}"/>
    <cellStyle name="Normal 2 4 2 34" xfId="4136" xr:uid="{00000000-0005-0000-0000-00009F120000}"/>
    <cellStyle name="Normal 2 4 2 34 2" xfId="21995" xr:uid="{00000000-0005-0000-0000-0000A0120000}"/>
    <cellStyle name="Normal 2 4 2 35" xfId="4137" xr:uid="{00000000-0005-0000-0000-0000A1120000}"/>
    <cellStyle name="Normal 2 4 2 35 2" xfId="21996" xr:uid="{00000000-0005-0000-0000-0000A2120000}"/>
    <cellStyle name="Normal 2 4 2 36" xfId="4138" xr:uid="{00000000-0005-0000-0000-0000A3120000}"/>
    <cellStyle name="Normal 2 4 2 36 2" xfId="21997" xr:uid="{00000000-0005-0000-0000-0000A4120000}"/>
    <cellStyle name="Normal 2 4 2 37" xfId="4139" xr:uid="{00000000-0005-0000-0000-0000A5120000}"/>
    <cellStyle name="Normal 2 4 2 37 2" xfId="21998" xr:uid="{00000000-0005-0000-0000-0000A6120000}"/>
    <cellStyle name="Normal 2 4 2 38" xfId="4140" xr:uid="{00000000-0005-0000-0000-0000A7120000}"/>
    <cellStyle name="Normal 2 4 2 38 2" xfId="21999" xr:uid="{00000000-0005-0000-0000-0000A8120000}"/>
    <cellStyle name="Normal 2 4 2 39" xfId="4141" xr:uid="{00000000-0005-0000-0000-0000A9120000}"/>
    <cellStyle name="Normal 2 4 2 39 2" xfId="22000" xr:uid="{00000000-0005-0000-0000-0000AA120000}"/>
    <cellStyle name="Normal 2 4 2 4" xfId="4142" xr:uid="{00000000-0005-0000-0000-0000AB120000}"/>
    <cellStyle name="Normal 2 4 2 4 2" xfId="4143" xr:uid="{00000000-0005-0000-0000-0000AC120000}"/>
    <cellStyle name="Normal 2 4 2 40" xfId="4144" xr:uid="{00000000-0005-0000-0000-0000AD120000}"/>
    <cellStyle name="Normal 2 4 2 40 2" xfId="22001" xr:uid="{00000000-0005-0000-0000-0000AE120000}"/>
    <cellStyle name="Normal 2 4 2 41" xfId="4145" xr:uid="{00000000-0005-0000-0000-0000AF120000}"/>
    <cellStyle name="Normal 2 4 2 41 2" xfId="22002" xr:uid="{00000000-0005-0000-0000-0000B0120000}"/>
    <cellStyle name="Normal 2 4 2 42" xfId="4146" xr:uid="{00000000-0005-0000-0000-0000B1120000}"/>
    <cellStyle name="Normal 2 4 2 42 2" xfId="22003" xr:uid="{00000000-0005-0000-0000-0000B2120000}"/>
    <cellStyle name="Normal 2 4 2 43" xfId="4147" xr:uid="{00000000-0005-0000-0000-0000B3120000}"/>
    <cellStyle name="Normal 2 4 2 43 2" xfId="22004" xr:uid="{00000000-0005-0000-0000-0000B4120000}"/>
    <cellStyle name="Normal 2 4 2 44" xfId="4148" xr:uid="{00000000-0005-0000-0000-0000B5120000}"/>
    <cellStyle name="Normal 2 4 2 44 2" xfId="22005" xr:uid="{00000000-0005-0000-0000-0000B6120000}"/>
    <cellStyle name="Normal 2 4 2 45" xfId="4149" xr:uid="{00000000-0005-0000-0000-0000B7120000}"/>
    <cellStyle name="Normal 2 4 2 45 2" xfId="22006" xr:uid="{00000000-0005-0000-0000-0000B8120000}"/>
    <cellStyle name="Normal 2 4 2 46" xfId="37665" xr:uid="{00000000-0005-0000-0000-0000B9120000}"/>
    <cellStyle name="Normal 2 4 2 47" xfId="21755" xr:uid="{00000000-0005-0000-0000-0000BA120000}"/>
    <cellStyle name="Normal 2 4 2 5" xfId="4150" xr:uid="{00000000-0005-0000-0000-0000BB120000}"/>
    <cellStyle name="Normal 2 4 2 5 2" xfId="4151" xr:uid="{00000000-0005-0000-0000-0000BC120000}"/>
    <cellStyle name="Normal 2 4 2 6" xfId="4152" xr:uid="{00000000-0005-0000-0000-0000BD120000}"/>
    <cellStyle name="Normal 2 4 2 6 2" xfId="4153" xr:uid="{00000000-0005-0000-0000-0000BE120000}"/>
    <cellStyle name="Normal 2 4 2 7" xfId="4154" xr:uid="{00000000-0005-0000-0000-0000BF120000}"/>
    <cellStyle name="Normal 2 4 2 7 2" xfId="4155" xr:uid="{00000000-0005-0000-0000-0000C0120000}"/>
    <cellStyle name="Normal 2 4 2 8" xfId="4156" xr:uid="{00000000-0005-0000-0000-0000C1120000}"/>
    <cellStyle name="Normal 2 4 2 9" xfId="4157" xr:uid="{00000000-0005-0000-0000-0000C2120000}"/>
    <cellStyle name="Normal 2 4 20" xfId="4158" xr:uid="{00000000-0005-0000-0000-0000C3120000}"/>
    <cellStyle name="Normal 2 4 20 10" xfId="4159" xr:uid="{00000000-0005-0000-0000-0000C4120000}"/>
    <cellStyle name="Normal 2 4 20 10 2" xfId="22008" xr:uid="{00000000-0005-0000-0000-0000C5120000}"/>
    <cellStyle name="Normal 2 4 20 11" xfId="4160" xr:uid="{00000000-0005-0000-0000-0000C6120000}"/>
    <cellStyle name="Normal 2 4 20 11 2" xfId="22009" xr:uid="{00000000-0005-0000-0000-0000C7120000}"/>
    <cellStyle name="Normal 2 4 20 12" xfId="4161" xr:uid="{00000000-0005-0000-0000-0000C8120000}"/>
    <cellStyle name="Normal 2 4 20 12 2" xfId="22010" xr:uid="{00000000-0005-0000-0000-0000C9120000}"/>
    <cellStyle name="Normal 2 4 20 13" xfId="4162" xr:uid="{00000000-0005-0000-0000-0000CA120000}"/>
    <cellStyle name="Normal 2 4 20 13 2" xfId="22011" xr:uid="{00000000-0005-0000-0000-0000CB120000}"/>
    <cellStyle name="Normal 2 4 20 14" xfId="4163" xr:uid="{00000000-0005-0000-0000-0000CC120000}"/>
    <cellStyle name="Normal 2 4 20 14 2" xfId="22012" xr:uid="{00000000-0005-0000-0000-0000CD120000}"/>
    <cellStyle name="Normal 2 4 20 15" xfId="22007" xr:uid="{00000000-0005-0000-0000-0000CE120000}"/>
    <cellStyle name="Normal 2 4 20 2" xfId="4164" xr:uid="{00000000-0005-0000-0000-0000CF120000}"/>
    <cellStyle name="Normal 2 4 20 2 2" xfId="22013" xr:uid="{00000000-0005-0000-0000-0000D0120000}"/>
    <cellStyle name="Normal 2 4 20 3" xfId="4165" xr:uid="{00000000-0005-0000-0000-0000D1120000}"/>
    <cellStyle name="Normal 2 4 20 3 2" xfId="22014" xr:uid="{00000000-0005-0000-0000-0000D2120000}"/>
    <cellStyle name="Normal 2 4 20 4" xfId="4166" xr:uid="{00000000-0005-0000-0000-0000D3120000}"/>
    <cellStyle name="Normal 2 4 20 4 2" xfId="22015" xr:uid="{00000000-0005-0000-0000-0000D4120000}"/>
    <cellStyle name="Normal 2 4 20 5" xfId="4167" xr:uid="{00000000-0005-0000-0000-0000D5120000}"/>
    <cellStyle name="Normal 2 4 20 5 2" xfId="22016" xr:uid="{00000000-0005-0000-0000-0000D6120000}"/>
    <cellStyle name="Normal 2 4 20 6" xfId="4168" xr:uid="{00000000-0005-0000-0000-0000D7120000}"/>
    <cellStyle name="Normal 2 4 20 6 2" xfId="22017" xr:uid="{00000000-0005-0000-0000-0000D8120000}"/>
    <cellStyle name="Normal 2 4 20 7" xfId="4169" xr:uid="{00000000-0005-0000-0000-0000D9120000}"/>
    <cellStyle name="Normal 2 4 20 7 2" xfId="22018" xr:uid="{00000000-0005-0000-0000-0000DA120000}"/>
    <cellStyle name="Normal 2 4 20 8" xfId="4170" xr:uid="{00000000-0005-0000-0000-0000DB120000}"/>
    <cellStyle name="Normal 2 4 20 8 2" xfId="22019" xr:uid="{00000000-0005-0000-0000-0000DC120000}"/>
    <cellStyle name="Normal 2 4 20 9" xfId="4171" xr:uid="{00000000-0005-0000-0000-0000DD120000}"/>
    <cellStyle name="Normal 2 4 20 9 2" xfId="22020" xr:uid="{00000000-0005-0000-0000-0000DE120000}"/>
    <cellStyle name="Normal 2 4 21" xfId="37664" xr:uid="{00000000-0005-0000-0000-0000DF120000}"/>
    <cellStyle name="Normal 2 4 3" xfId="4172" xr:uid="{00000000-0005-0000-0000-0000E0120000}"/>
    <cellStyle name="Normal 2 4 3 10" xfId="4173" xr:uid="{00000000-0005-0000-0000-0000E1120000}"/>
    <cellStyle name="Normal 2 4 3 11" xfId="4174" xr:uid="{00000000-0005-0000-0000-0000E2120000}"/>
    <cellStyle name="Normal 2 4 3 11 2" xfId="4175" xr:uid="{00000000-0005-0000-0000-0000E3120000}"/>
    <cellStyle name="Normal 2 4 3 11 2 10" xfId="4176" xr:uid="{00000000-0005-0000-0000-0000E4120000}"/>
    <cellStyle name="Normal 2 4 3 11 2 10 2" xfId="22023" xr:uid="{00000000-0005-0000-0000-0000E5120000}"/>
    <cellStyle name="Normal 2 4 3 11 2 11" xfId="4177" xr:uid="{00000000-0005-0000-0000-0000E6120000}"/>
    <cellStyle name="Normal 2 4 3 11 2 11 2" xfId="22024" xr:uid="{00000000-0005-0000-0000-0000E7120000}"/>
    <cellStyle name="Normal 2 4 3 11 2 12" xfId="4178" xr:uid="{00000000-0005-0000-0000-0000E8120000}"/>
    <cellStyle name="Normal 2 4 3 11 2 12 2" xfId="22025" xr:uid="{00000000-0005-0000-0000-0000E9120000}"/>
    <cellStyle name="Normal 2 4 3 11 2 13" xfId="4179" xr:uid="{00000000-0005-0000-0000-0000EA120000}"/>
    <cellStyle name="Normal 2 4 3 11 2 13 2" xfId="22026" xr:uid="{00000000-0005-0000-0000-0000EB120000}"/>
    <cellStyle name="Normal 2 4 3 11 2 14" xfId="4180" xr:uid="{00000000-0005-0000-0000-0000EC120000}"/>
    <cellStyle name="Normal 2 4 3 11 2 14 2" xfId="22027" xr:uid="{00000000-0005-0000-0000-0000ED120000}"/>
    <cellStyle name="Normal 2 4 3 11 2 15" xfId="22022" xr:uid="{00000000-0005-0000-0000-0000EE120000}"/>
    <cellStyle name="Normal 2 4 3 11 2 2" xfId="4181" xr:uid="{00000000-0005-0000-0000-0000EF120000}"/>
    <cellStyle name="Normal 2 4 3 11 2 2 2" xfId="22028" xr:uid="{00000000-0005-0000-0000-0000F0120000}"/>
    <cellStyle name="Normal 2 4 3 11 2 3" xfId="4182" xr:uid="{00000000-0005-0000-0000-0000F1120000}"/>
    <cellStyle name="Normal 2 4 3 11 2 3 2" xfId="22029" xr:uid="{00000000-0005-0000-0000-0000F2120000}"/>
    <cellStyle name="Normal 2 4 3 11 2 4" xfId="4183" xr:uid="{00000000-0005-0000-0000-0000F3120000}"/>
    <cellStyle name="Normal 2 4 3 11 2 4 2" xfId="22030" xr:uid="{00000000-0005-0000-0000-0000F4120000}"/>
    <cellStyle name="Normal 2 4 3 11 2 5" xfId="4184" xr:uid="{00000000-0005-0000-0000-0000F5120000}"/>
    <cellStyle name="Normal 2 4 3 11 2 5 2" xfId="22031" xr:uid="{00000000-0005-0000-0000-0000F6120000}"/>
    <cellStyle name="Normal 2 4 3 11 2 6" xfId="4185" xr:uid="{00000000-0005-0000-0000-0000F7120000}"/>
    <cellStyle name="Normal 2 4 3 11 2 6 2" xfId="22032" xr:uid="{00000000-0005-0000-0000-0000F8120000}"/>
    <cellStyle name="Normal 2 4 3 11 2 7" xfId="4186" xr:uid="{00000000-0005-0000-0000-0000F9120000}"/>
    <cellStyle name="Normal 2 4 3 11 2 7 2" xfId="22033" xr:uid="{00000000-0005-0000-0000-0000FA120000}"/>
    <cellStyle name="Normal 2 4 3 11 2 8" xfId="4187" xr:uid="{00000000-0005-0000-0000-0000FB120000}"/>
    <cellStyle name="Normal 2 4 3 11 2 8 2" xfId="22034" xr:uid="{00000000-0005-0000-0000-0000FC120000}"/>
    <cellStyle name="Normal 2 4 3 11 2 9" xfId="4188" xr:uid="{00000000-0005-0000-0000-0000FD120000}"/>
    <cellStyle name="Normal 2 4 3 11 2 9 2" xfId="22035" xr:uid="{00000000-0005-0000-0000-0000FE120000}"/>
    <cellStyle name="Normal 2 4 3 11 3" xfId="4189" xr:uid="{00000000-0005-0000-0000-0000FF120000}"/>
    <cellStyle name="Normal 2 4 3 11 3 10" xfId="4190" xr:uid="{00000000-0005-0000-0000-000000130000}"/>
    <cellStyle name="Normal 2 4 3 11 3 10 2" xfId="22037" xr:uid="{00000000-0005-0000-0000-000001130000}"/>
    <cellStyle name="Normal 2 4 3 11 3 11" xfId="4191" xr:uid="{00000000-0005-0000-0000-000002130000}"/>
    <cellStyle name="Normal 2 4 3 11 3 11 2" xfId="22038" xr:uid="{00000000-0005-0000-0000-000003130000}"/>
    <cellStyle name="Normal 2 4 3 11 3 12" xfId="4192" xr:uid="{00000000-0005-0000-0000-000004130000}"/>
    <cellStyle name="Normal 2 4 3 11 3 12 2" xfId="22039" xr:uid="{00000000-0005-0000-0000-000005130000}"/>
    <cellStyle name="Normal 2 4 3 11 3 13" xfId="4193" xr:uid="{00000000-0005-0000-0000-000006130000}"/>
    <cellStyle name="Normal 2 4 3 11 3 13 2" xfId="22040" xr:uid="{00000000-0005-0000-0000-000007130000}"/>
    <cellStyle name="Normal 2 4 3 11 3 14" xfId="4194" xr:uid="{00000000-0005-0000-0000-000008130000}"/>
    <cellStyle name="Normal 2 4 3 11 3 14 2" xfId="22041" xr:uid="{00000000-0005-0000-0000-000009130000}"/>
    <cellStyle name="Normal 2 4 3 11 3 15" xfId="22036" xr:uid="{00000000-0005-0000-0000-00000A130000}"/>
    <cellStyle name="Normal 2 4 3 11 3 2" xfId="4195" xr:uid="{00000000-0005-0000-0000-00000B130000}"/>
    <cellStyle name="Normal 2 4 3 11 3 2 2" xfId="22042" xr:uid="{00000000-0005-0000-0000-00000C130000}"/>
    <cellStyle name="Normal 2 4 3 11 3 3" xfId="4196" xr:uid="{00000000-0005-0000-0000-00000D130000}"/>
    <cellStyle name="Normal 2 4 3 11 3 3 2" xfId="22043" xr:uid="{00000000-0005-0000-0000-00000E130000}"/>
    <cellStyle name="Normal 2 4 3 11 3 4" xfId="4197" xr:uid="{00000000-0005-0000-0000-00000F130000}"/>
    <cellStyle name="Normal 2 4 3 11 3 4 2" xfId="22044" xr:uid="{00000000-0005-0000-0000-000010130000}"/>
    <cellStyle name="Normal 2 4 3 11 3 5" xfId="4198" xr:uid="{00000000-0005-0000-0000-000011130000}"/>
    <cellStyle name="Normal 2 4 3 11 3 5 2" xfId="22045" xr:uid="{00000000-0005-0000-0000-000012130000}"/>
    <cellStyle name="Normal 2 4 3 11 3 6" xfId="4199" xr:uid="{00000000-0005-0000-0000-000013130000}"/>
    <cellStyle name="Normal 2 4 3 11 3 6 2" xfId="22046" xr:uid="{00000000-0005-0000-0000-000014130000}"/>
    <cellStyle name="Normal 2 4 3 11 3 7" xfId="4200" xr:uid="{00000000-0005-0000-0000-000015130000}"/>
    <cellStyle name="Normal 2 4 3 11 3 7 2" xfId="22047" xr:uid="{00000000-0005-0000-0000-000016130000}"/>
    <cellStyle name="Normal 2 4 3 11 3 8" xfId="4201" xr:uid="{00000000-0005-0000-0000-000017130000}"/>
    <cellStyle name="Normal 2 4 3 11 3 8 2" xfId="22048" xr:uid="{00000000-0005-0000-0000-000018130000}"/>
    <cellStyle name="Normal 2 4 3 11 3 9" xfId="4202" xr:uid="{00000000-0005-0000-0000-000019130000}"/>
    <cellStyle name="Normal 2 4 3 11 3 9 2" xfId="22049" xr:uid="{00000000-0005-0000-0000-00001A130000}"/>
    <cellStyle name="Normal 2 4 3 11 4" xfId="4203" xr:uid="{00000000-0005-0000-0000-00001B130000}"/>
    <cellStyle name="Normal 2 4 3 11 4 10" xfId="4204" xr:uid="{00000000-0005-0000-0000-00001C130000}"/>
    <cellStyle name="Normal 2 4 3 11 4 10 2" xfId="22051" xr:uid="{00000000-0005-0000-0000-00001D130000}"/>
    <cellStyle name="Normal 2 4 3 11 4 11" xfId="4205" xr:uid="{00000000-0005-0000-0000-00001E130000}"/>
    <cellStyle name="Normal 2 4 3 11 4 11 2" xfId="22052" xr:uid="{00000000-0005-0000-0000-00001F130000}"/>
    <cellStyle name="Normal 2 4 3 11 4 12" xfId="4206" xr:uid="{00000000-0005-0000-0000-000020130000}"/>
    <cellStyle name="Normal 2 4 3 11 4 12 2" xfId="22053" xr:uid="{00000000-0005-0000-0000-000021130000}"/>
    <cellStyle name="Normal 2 4 3 11 4 13" xfId="4207" xr:uid="{00000000-0005-0000-0000-000022130000}"/>
    <cellStyle name="Normal 2 4 3 11 4 13 2" xfId="22054" xr:uid="{00000000-0005-0000-0000-000023130000}"/>
    <cellStyle name="Normal 2 4 3 11 4 14" xfId="4208" xr:uid="{00000000-0005-0000-0000-000024130000}"/>
    <cellStyle name="Normal 2 4 3 11 4 14 2" xfId="22055" xr:uid="{00000000-0005-0000-0000-000025130000}"/>
    <cellStyle name="Normal 2 4 3 11 4 15" xfId="22050" xr:uid="{00000000-0005-0000-0000-000026130000}"/>
    <cellStyle name="Normal 2 4 3 11 4 2" xfId="4209" xr:uid="{00000000-0005-0000-0000-000027130000}"/>
    <cellStyle name="Normal 2 4 3 11 4 2 2" xfId="22056" xr:uid="{00000000-0005-0000-0000-000028130000}"/>
    <cellStyle name="Normal 2 4 3 11 4 3" xfId="4210" xr:uid="{00000000-0005-0000-0000-000029130000}"/>
    <cellStyle name="Normal 2 4 3 11 4 3 2" xfId="22057" xr:uid="{00000000-0005-0000-0000-00002A130000}"/>
    <cellStyle name="Normal 2 4 3 11 4 4" xfId="4211" xr:uid="{00000000-0005-0000-0000-00002B130000}"/>
    <cellStyle name="Normal 2 4 3 11 4 4 2" xfId="22058" xr:uid="{00000000-0005-0000-0000-00002C130000}"/>
    <cellStyle name="Normal 2 4 3 11 4 5" xfId="4212" xr:uid="{00000000-0005-0000-0000-00002D130000}"/>
    <cellStyle name="Normal 2 4 3 11 4 5 2" xfId="22059" xr:uid="{00000000-0005-0000-0000-00002E130000}"/>
    <cellStyle name="Normal 2 4 3 11 4 6" xfId="4213" xr:uid="{00000000-0005-0000-0000-00002F130000}"/>
    <cellStyle name="Normal 2 4 3 11 4 6 2" xfId="22060" xr:uid="{00000000-0005-0000-0000-000030130000}"/>
    <cellStyle name="Normal 2 4 3 11 4 7" xfId="4214" xr:uid="{00000000-0005-0000-0000-000031130000}"/>
    <cellStyle name="Normal 2 4 3 11 4 7 2" xfId="22061" xr:uid="{00000000-0005-0000-0000-000032130000}"/>
    <cellStyle name="Normal 2 4 3 11 4 8" xfId="4215" xr:uid="{00000000-0005-0000-0000-000033130000}"/>
    <cellStyle name="Normal 2 4 3 11 4 8 2" xfId="22062" xr:uid="{00000000-0005-0000-0000-000034130000}"/>
    <cellStyle name="Normal 2 4 3 11 4 9" xfId="4216" xr:uid="{00000000-0005-0000-0000-000035130000}"/>
    <cellStyle name="Normal 2 4 3 11 4 9 2" xfId="22063" xr:uid="{00000000-0005-0000-0000-000036130000}"/>
    <cellStyle name="Normal 2 4 3 12" xfId="4217" xr:uid="{00000000-0005-0000-0000-000037130000}"/>
    <cellStyle name="Normal 2 4 3 12 10" xfId="4218" xr:uid="{00000000-0005-0000-0000-000038130000}"/>
    <cellStyle name="Normal 2 4 3 12 10 2" xfId="22065" xr:uid="{00000000-0005-0000-0000-000039130000}"/>
    <cellStyle name="Normal 2 4 3 12 11" xfId="4219" xr:uid="{00000000-0005-0000-0000-00003A130000}"/>
    <cellStyle name="Normal 2 4 3 12 11 2" xfId="22066" xr:uid="{00000000-0005-0000-0000-00003B130000}"/>
    <cellStyle name="Normal 2 4 3 12 12" xfId="4220" xr:uid="{00000000-0005-0000-0000-00003C130000}"/>
    <cellStyle name="Normal 2 4 3 12 12 2" xfId="22067" xr:uid="{00000000-0005-0000-0000-00003D130000}"/>
    <cellStyle name="Normal 2 4 3 12 13" xfId="4221" xr:uid="{00000000-0005-0000-0000-00003E130000}"/>
    <cellStyle name="Normal 2 4 3 12 13 2" xfId="22068" xr:uid="{00000000-0005-0000-0000-00003F130000}"/>
    <cellStyle name="Normal 2 4 3 12 14" xfId="4222" xr:uid="{00000000-0005-0000-0000-000040130000}"/>
    <cellStyle name="Normal 2 4 3 12 14 2" xfId="22069" xr:uid="{00000000-0005-0000-0000-000041130000}"/>
    <cellStyle name="Normal 2 4 3 12 15" xfId="22064" xr:uid="{00000000-0005-0000-0000-000042130000}"/>
    <cellStyle name="Normal 2 4 3 12 2" xfId="4223" xr:uid="{00000000-0005-0000-0000-000043130000}"/>
    <cellStyle name="Normal 2 4 3 12 2 2" xfId="22070" xr:uid="{00000000-0005-0000-0000-000044130000}"/>
    <cellStyle name="Normal 2 4 3 12 3" xfId="4224" xr:uid="{00000000-0005-0000-0000-000045130000}"/>
    <cellStyle name="Normal 2 4 3 12 3 2" xfId="22071" xr:uid="{00000000-0005-0000-0000-000046130000}"/>
    <cellStyle name="Normal 2 4 3 12 4" xfId="4225" xr:uid="{00000000-0005-0000-0000-000047130000}"/>
    <cellStyle name="Normal 2 4 3 12 4 2" xfId="22072" xr:uid="{00000000-0005-0000-0000-000048130000}"/>
    <cellStyle name="Normal 2 4 3 12 5" xfId="4226" xr:uid="{00000000-0005-0000-0000-000049130000}"/>
    <cellStyle name="Normal 2 4 3 12 5 2" xfId="22073" xr:uid="{00000000-0005-0000-0000-00004A130000}"/>
    <cellStyle name="Normal 2 4 3 12 6" xfId="4227" xr:uid="{00000000-0005-0000-0000-00004B130000}"/>
    <cellStyle name="Normal 2 4 3 12 6 2" xfId="22074" xr:uid="{00000000-0005-0000-0000-00004C130000}"/>
    <cellStyle name="Normal 2 4 3 12 7" xfId="4228" xr:uid="{00000000-0005-0000-0000-00004D130000}"/>
    <cellStyle name="Normal 2 4 3 12 7 2" xfId="22075" xr:uid="{00000000-0005-0000-0000-00004E130000}"/>
    <cellStyle name="Normal 2 4 3 12 8" xfId="4229" xr:uid="{00000000-0005-0000-0000-00004F130000}"/>
    <cellStyle name="Normal 2 4 3 12 8 2" xfId="22076" xr:uid="{00000000-0005-0000-0000-000050130000}"/>
    <cellStyle name="Normal 2 4 3 12 9" xfId="4230" xr:uid="{00000000-0005-0000-0000-000051130000}"/>
    <cellStyle name="Normal 2 4 3 12 9 2" xfId="22077" xr:uid="{00000000-0005-0000-0000-000052130000}"/>
    <cellStyle name="Normal 2 4 3 13" xfId="4231" xr:uid="{00000000-0005-0000-0000-000053130000}"/>
    <cellStyle name="Normal 2 4 3 14" xfId="4232" xr:uid="{00000000-0005-0000-0000-000054130000}"/>
    <cellStyle name="Normal 2 4 3 15" xfId="4233" xr:uid="{00000000-0005-0000-0000-000055130000}"/>
    <cellStyle name="Normal 2 4 3 16" xfId="4234" xr:uid="{00000000-0005-0000-0000-000056130000}"/>
    <cellStyle name="Normal 2 4 3 16 2" xfId="22078" xr:uid="{00000000-0005-0000-0000-000057130000}"/>
    <cellStyle name="Normal 2 4 3 17" xfId="4235" xr:uid="{00000000-0005-0000-0000-000058130000}"/>
    <cellStyle name="Normal 2 4 3 17 2" xfId="22079" xr:uid="{00000000-0005-0000-0000-000059130000}"/>
    <cellStyle name="Normal 2 4 3 18" xfId="4236" xr:uid="{00000000-0005-0000-0000-00005A130000}"/>
    <cellStyle name="Normal 2 4 3 18 2" xfId="22080" xr:uid="{00000000-0005-0000-0000-00005B130000}"/>
    <cellStyle name="Normal 2 4 3 19" xfId="4237" xr:uid="{00000000-0005-0000-0000-00005C130000}"/>
    <cellStyle name="Normal 2 4 3 19 2" xfId="22081" xr:uid="{00000000-0005-0000-0000-00005D130000}"/>
    <cellStyle name="Normal 2 4 3 2" xfId="4238" xr:uid="{00000000-0005-0000-0000-00005E130000}"/>
    <cellStyle name="Normal 2 4 3 2 2" xfId="4239" xr:uid="{00000000-0005-0000-0000-00005F130000}"/>
    <cellStyle name="Normal 2 4 3 2 2 2" xfId="4240" xr:uid="{00000000-0005-0000-0000-000060130000}"/>
    <cellStyle name="Normal 2 4 3 2 2 2 2" xfId="4241" xr:uid="{00000000-0005-0000-0000-000061130000}"/>
    <cellStyle name="Normal 2 4 3 2 2 2 3" xfId="4242" xr:uid="{00000000-0005-0000-0000-000062130000}"/>
    <cellStyle name="Normal 2 4 3 2 2 2 4" xfId="4243" xr:uid="{00000000-0005-0000-0000-000063130000}"/>
    <cellStyle name="Normal 2 4 3 2 2 3" xfId="4244" xr:uid="{00000000-0005-0000-0000-000064130000}"/>
    <cellStyle name="Normal 2 4 3 2 2 4" xfId="4245" xr:uid="{00000000-0005-0000-0000-000065130000}"/>
    <cellStyle name="Normal 2 4 3 2 2 5" xfId="4246" xr:uid="{00000000-0005-0000-0000-000066130000}"/>
    <cellStyle name="Normal 2 4 3 2 3" xfId="4247" xr:uid="{00000000-0005-0000-0000-000067130000}"/>
    <cellStyle name="Normal 2 4 3 2 3 2" xfId="4248" xr:uid="{00000000-0005-0000-0000-000068130000}"/>
    <cellStyle name="Normal 2 4 3 2 3 3" xfId="4249" xr:uid="{00000000-0005-0000-0000-000069130000}"/>
    <cellStyle name="Normal 2 4 3 2 3 4" xfId="4250" xr:uid="{00000000-0005-0000-0000-00006A130000}"/>
    <cellStyle name="Normal 2 4 3 2 4" xfId="4251" xr:uid="{00000000-0005-0000-0000-00006B130000}"/>
    <cellStyle name="Normal 2 4 3 2 5" xfId="4252" xr:uid="{00000000-0005-0000-0000-00006C130000}"/>
    <cellStyle name="Normal 2 4 3 2 6" xfId="4253" xr:uid="{00000000-0005-0000-0000-00006D130000}"/>
    <cellStyle name="Normal 2 4 3 20" xfId="4254" xr:uid="{00000000-0005-0000-0000-00006E130000}"/>
    <cellStyle name="Normal 2 4 3 20 2" xfId="22082" xr:uid="{00000000-0005-0000-0000-00006F130000}"/>
    <cellStyle name="Normal 2 4 3 21" xfId="4255" xr:uid="{00000000-0005-0000-0000-000070130000}"/>
    <cellStyle name="Normal 2 4 3 21 2" xfId="22083" xr:uid="{00000000-0005-0000-0000-000071130000}"/>
    <cellStyle name="Normal 2 4 3 22" xfId="4256" xr:uid="{00000000-0005-0000-0000-000072130000}"/>
    <cellStyle name="Normal 2 4 3 22 2" xfId="22084" xr:uid="{00000000-0005-0000-0000-000073130000}"/>
    <cellStyle name="Normal 2 4 3 23" xfId="4257" xr:uid="{00000000-0005-0000-0000-000074130000}"/>
    <cellStyle name="Normal 2 4 3 23 2" xfId="22085" xr:uid="{00000000-0005-0000-0000-000075130000}"/>
    <cellStyle name="Normal 2 4 3 24" xfId="4258" xr:uid="{00000000-0005-0000-0000-000076130000}"/>
    <cellStyle name="Normal 2 4 3 24 2" xfId="22086" xr:uid="{00000000-0005-0000-0000-000077130000}"/>
    <cellStyle name="Normal 2 4 3 25" xfId="4259" xr:uid="{00000000-0005-0000-0000-000078130000}"/>
    <cellStyle name="Normal 2 4 3 25 2" xfId="22087" xr:uid="{00000000-0005-0000-0000-000079130000}"/>
    <cellStyle name="Normal 2 4 3 26" xfId="4260" xr:uid="{00000000-0005-0000-0000-00007A130000}"/>
    <cellStyle name="Normal 2 4 3 26 2" xfId="22088" xr:uid="{00000000-0005-0000-0000-00007B130000}"/>
    <cellStyle name="Normal 2 4 3 27" xfId="4261" xr:uid="{00000000-0005-0000-0000-00007C130000}"/>
    <cellStyle name="Normal 2 4 3 27 2" xfId="22089" xr:uid="{00000000-0005-0000-0000-00007D130000}"/>
    <cellStyle name="Normal 2 4 3 28" xfId="4262" xr:uid="{00000000-0005-0000-0000-00007E130000}"/>
    <cellStyle name="Normal 2 4 3 28 2" xfId="22090" xr:uid="{00000000-0005-0000-0000-00007F130000}"/>
    <cellStyle name="Normal 2 4 3 29" xfId="22021" xr:uid="{00000000-0005-0000-0000-000080130000}"/>
    <cellStyle name="Normal 2 4 3 3" xfId="4263" xr:uid="{00000000-0005-0000-0000-000081130000}"/>
    <cellStyle name="Normal 2 4 3 4" xfId="4264" xr:uid="{00000000-0005-0000-0000-000082130000}"/>
    <cellStyle name="Normal 2 4 3 5" xfId="4265" xr:uid="{00000000-0005-0000-0000-000083130000}"/>
    <cellStyle name="Normal 2 4 3 6" xfId="4266" xr:uid="{00000000-0005-0000-0000-000084130000}"/>
    <cellStyle name="Normal 2 4 3 7" xfId="4267" xr:uid="{00000000-0005-0000-0000-000085130000}"/>
    <cellStyle name="Normal 2 4 3 8" xfId="4268" xr:uid="{00000000-0005-0000-0000-000086130000}"/>
    <cellStyle name="Normal 2 4 3 9" xfId="4269" xr:uid="{00000000-0005-0000-0000-000087130000}"/>
    <cellStyle name="Normal 2 4 4" xfId="4270" xr:uid="{00000000-0005-0000-0000-000088130000}"/>
    <cellStyle name="Normal 2 4 4 10" xfId="4271" xr:uid="{00000000-0005-0000-0000-000089130000}"/>
    <cellStyle name="Normal 2 4 4 10 2" xfId="22092" xr:uid="{00000000-0005-0000-0000-00008A130000}"/>
    <cellStyle name="Normal 2 4 4 11" xfId="4272" xr:uid="{00000000-0005-0000-0000-00008B130000}"/>
    <cellStyle name="Normal 2 4 4 11 2" xfId="22093" xr:uid="{00000000-0005-0000-0000-00008C130000}"/>
    <cellStyle name="Normal 2 4 4 12" xfId="4273" xr:uid="{00000000-0005-0000-0000-00008D130000}"/>
    <cellStyle name="Normal 2 4 4 12 2" xfId="22094" xr:uid="{00000000-0005-0000-0000-00008E130000}"/>
    <cellStyle name="Normal 2 4 4 13" xfId="4274" xr:uid="{00000000-0005-0000-0000-00008F130000}"/>
    <cellStyle name="Normal 2 4 4 13 2" xfId="22095" xr:uid="{00000000-0005-0000-0000-000090130000}"/>
    <cellStyle name="Normal 2 4 4 14" xfId="4275" xr:uid="{00000000-0005-0000-0000-000091130000}"/>
    <cellStyle name="Normal 2 4 4 14 2" xfId="22096" xr:uid="{00000000-0005-0000-0000-000092130000}"/>
    <cellStyle name="Normal 2 4 4 15" xfId="4276" xr:uid="{00000000-0005-0000-0000-000093130000}"/>
    <cellStyle name="Normal 2 4 4 15 2" xfId="22097" xr:uid="{00000000-0005-0000-0000-000094130000}"/>
    <cellStyle name="Normal 2 4 4 16" xfId="4277" xr:uid="{00000000-0005-0000-0000-000095130000}"/>
    <cellStyle name="Normal 2 4 4 16 2" xfId="22098" xr:uid="{00000000-0005-0000-0000-000096130000}"/>
    <cellStyle name="Normal 2 4 4 17" xfId="4278" xr:uid="{00000000-0005-0000-0000-000097130000}"/>
    <cellStyle name="Normal 2 4 4 17 2" xfId="22099" xr:uid="{00000000-0005-0000-0000-000098130000}"/>
    <cellStyle name="Normal 2 4 4 18" xfId="4279" xr:uid="{00000000-0005-0000-0000-000099130000}"/>
    <cellStyle name="Normal 2 4 4 18 2" xfId="22100" xr:uid="{00000000-0005-0000-0000-00009A130000}"/>
    <cellStyle name="Normal 2 4 4 19" xfId="4280" xr:uid="{00000000-0005-0000-0000-00009B130000}"/>
    <cellStyle name="Normal 2 4 4 19 2" xfId="22101" xr:uid="{00000000-0005-0000-0000-00009C130000}"/>
    <cellStyle name="Normal 2 4 4 2" xfId="4281" xr:uid="{00000000-0005-0000-0000-00009D130000}"/>
    <cellStyle name="Normal 2 4 4 2 2" xfId="4282" xr:uid="{00000000-0005-0000-0000-00009E130000}"/>
    <cellStyle name="Normal 2 4 4 2 2 10" xfId="4283" xr:uid="{00000000-0005-0000-0000-00009F130000}"/>
    <cellStyle name="Normal 2 4 4 2 2 10 2" xfId="22103" xr:uid="{00000000-0005-0000-0000-0000A0130000}"/>
    <cellStyle name="Normal 2 4 4 2 2 11" xfId="4284" xr:uid="{00000000-0005-0000-0000-0000A1130000}"/>
    <cellStyle name="Normal 2 4 4 2 2 11 2" xfId="22104" xr:uid="{00000000-0005-0000-0000-0000A2130000}"/>
    <cellStyle name="Normal 2 4 4 2 2 12" xfId="4285" xr:uid="{00000000-0005-0000-0000-0000A3130000}"/>
    <cellStyle name="Normal 2 4 4 2 2 12 2" xfId="22105" xr:uid="{00000000-0005-0000-0000-0000A4130000}"/>
    <cellStyle name="Normal 2 4 4 2 2 13" xfId="4286" xr:uid="{00000000-0005-0000-0000-0000A5130000}"/>
    <cellStyle name="Normal 2 4 4 2 2 13 2" xfId="22106" xr:uid="{00000000-0005-0000-0000-0000A6130000}"/>
    <cellStyle name="Normal 2 4 4 2 2 14" xfId="4287" xr:uid="{00000000-0005-0000-0000-0000A7130000}"/>
    <cellStyle name="Normal 2 4 4 2 2 14 2" xfId="22107" xr:uid="{00000000-0005-0000-0000-0000A8130000}"/>
    <cellStyle name="Normal 2 4 4 2 2 15" xfId="4288" xr:uid="{00000000-0005-0000-0000-0000A9130000}"/>
    <cellStyle name="Normal 2 4 4 2 2 15 2" xfId="22108" xr:uid="{00000000-0005-0000-0000-0000AA130000}"/>
    <cellStyle name="Normal 2 4 4 2 2 16" xfId="4289" xr:uid="{00000000-0005-0000-0000-0000AB130000}"/>
    <cellStyle name="Normal 2 4 4 2 2 16 2" xfId="22109" xr:uid="{00000000-0005-0000-0000-0000AC130000}"/>
    <cellStyle name="Normal 2 4 4 2 2 17" xfId="4290" xr:uid="{00000000-0005-0000-0000-0000AD130000}"/>
    <cellStyle name="Normal 2 4 4 2 2 17 2" xfId="22110" xr:uid="{00000000-0005-0000-0000-0000AE130000}"/>
    <cellStyle name="Normal 2 4 4 2 2 18" xfId="22102" xr:uid="{00000000-0005-0000-0000-0000AF130000}"/>
    <cellStyle name="Normal 2 4 4 2 2 2" xfId="4291" xr:uid="{00000000-0005-0000-0000-0000B0130000}"/>
    <cellStyle name="Normal 2 4 4 2 2 3" xfId="4292" xr:uid="{00000000-0005-0000-0000-0000B1130000}"/>
    <cellStyle name="Normal 2 4 4 2 2 4" xfId="4293" xr:uid="{00000000-0005-0000-0000-0000B2130000}"/>
    <cellStyle name="Normal 2 4 4 2 2 5" xfId="4294" xr:uid="{00000000-0005-0000-0000-0000B3130000}"/>
    <cellStyle name="Normal 2 4 4 2 2 5 2" xfId="22111" xr:uid="{00000000-0005-0000-0000-0000B4130000}"/>
    <cellStyle name="Normal 2 4 4 2 2 6" xfId="4295" xr:uid="{00000000-0005-0000-0000-0000B5130000}"/>
    <cellStyle name="Normal 2 4 4 2 2 6 2" xfId="22112" xr:uid="{00000000-0005-0000-0000-0000B6130000}"/>
    <cellStyle name="Normal 2 4 4 2 2 7" xfId="4296" xr:uid="{00000000-0005-0000-0000-0000B7130000}"/>
    <cellStyle name="Normal 2 4 4 2 2 7 2" xfId="22113" xr:uid="{00000000-0005-0000-0000-0000B8130000}"/>
    <cellStyle name="Normal 2 4 4 2 2 8" xfId="4297" xr:uid="{00000000-0005-0000-0000-0000B9130000}"/>
    <cellStyle name="Normal 2 4 4 2 2 8 2" xfId="22114" xr:uid="{00000000-0005-0000-0000-0000BA130000}"/>
    <cellStyle name="Normal 2 4 4 2 2 9" xfId="4298" xr:uid="{00000000-0005-0000-0000-0000BB130000}"/>
    <cellStyle name="Normal 2 4 4 2 2 9 2" xfId="22115" xr:uid="{00000000-0005-0000-0000-0000BC130000}"/>
    <cellStyle name="Normal 2 4 4 2 3" xfId="4299" xr:uid="{00000000-0005-0000-0000-0000BD130000}"/>
    <cellStyle name="Normal 2 4 4 2 4" xfId="4300" xr:uid="{00000000-0005-0000-0000-0000BE130000}"/>
    <cellStyle name="Normal 2 4 4 2 4 10" xfId="4301" xr:uid="{00000000-0005-0000-0000-0000BF130000}"/>
    <cellStyle name="Normal 2 4 4 2 4 10 2" xfId="22117" xr:uid="{00000000-0005-0000-0000-0000C0130000}"/>
    <cellStyle name="Normal 2 4 4 2 4 11" xfId="4302" xr:uid="{00000000-0005-0000-0000-0000C1130000}"/>
    <cellStyle name="Normal 2 4 4 2 4 11 2" xfId="22118" xr:uid="{00000000-0005-0000-0000-0000C2130000}"/>
    <cellStyle name="Normal 2 4 4 2 4 12" xfId="4303" xr:uid="{00000000-0005-0000-0000-0000C3130000}"/>
    <cellStyle name="Normal 2 4 4 2 4 12 2" xfId="22119" xr:uid="{00000000-0005-0000-0000-0000C4130000}"/>
    <cellStyle name="Normal 2 4 4 2 4 13" xfId="4304" xr:uid="{00000000-0005-0000-0000-0000C5130000}"/>
    <cellStyle name="Normal 2 4 4 2 4 13 2" xfId="22120" xr:uid="{00000000-0005-0000-0000-0000C6130000}"/>
    <cellStyle name="Normal 2 4 4 2 4 14" xfId="4305" xr:uid="{00000000-0005-0000-0000-0000C7130000}"/>
    <cellStyle name="Normal 2 4 4 2 4 14 2" xfId="22121" xr:uid="{00000000-0005-0000-0000-0000C8130000}"/>
    <cellStyle name="Normal 2 4 4 2 4 15" xfId="22116" xr:uid="{00000000-0005-0000-0000-0000C9130000}"/>
    <cellStyle name="Normal 2 4 4 2 4 2" xfId="4306" xr:uid="{00000000-0005-0000-0000-0000CA130000}"/>
    <cellStyle name="Normal 2 4 4 2 4 2 2" xfId="22122" xr:uid="{00000000-0005-0000-0000-0000CB130000}"/>
    <cellStyle name="Normal 2 4 4 2 4 3" xfId="4307" xr:uid="{00000000-0005-0000-0000-0000CC130000}"/>
    <cellStyle name="Normal 2 4 4 2 4 3 2" xfId="22123" xr:uid="{00000000-0005-0000-0000-0000CD130000}"/>
    <cellStyle name="Normal 2 4 4 2 4 4" xfId="4308" xr:uid="{00000000-0005-0000-0000-0000CE130000}"/>
    <cellStyle name="Normal 2 4 4 2 4 4 2" xfId="22124" xr:uid="{00000000-0005-0000-0000-0000CF130000}"/>
    <cellStyle name="Normal 2 4 4 2 4 5" xfId="4309" xr:uid="{00000000-0005-0000-0000-0000D0130000}"/>
    <cellStyle name="Normal 2 4 4 2 4 5 2" xfId="22125" xr:uid="{00000000-0005-0000-0000-0000D1130000}"/>
    <cellStyle name="Normal 2 4 4 2 4 6" xfId="4310" xr:uid="{00000000-0005-0000-0000-0000D2130000}"/>
    <cellStyle name="Normal 2 4 4 2 4 6 2" xfId="22126" xr:uid="{00000000-0005-0000-0000-0000D3130000}"/>
    <cellStyle name="Normal 2 4 4 2 4 7" xfId="4311" xr:uid="{00000000-0005-0000-0000-0000D4130000}"/>
    <cellStyle name="Normal 2 4 4 2 4 7 2" xfId="22127" xr:uid="{00000000-0005-0000-0000-0000D5130000}"/>
    <cellStyle name="Normal 2 4 4 2 4 8" xfId="4312" xr:uid="{00000000-0005-0000-0000-0000D6130000}"/>
    <cellStyle name="Normal 2 4 4 2 4 8 2" xfId="22128" xr:uid="{00000000-0005-0000-0000-0000D7130000}"/>
    <cellStyle name="Normal 2 4 4 2 4 9" xfId="4313" xr:uid="{00000000-0005-0000-0000-0000D8130000}"/>
    <cellStyle name="Normal 2 4 4 2 4 9 2" xfId="22129" xr:uid="{00000000-0005-0000-0000-0000D9130000}"/>
    <cellStyle name="Normal 2 4 4 2 5" xfId="4314" xr:uid="{00000000-0005-0000-0000-0000DA130000}"/>
    <cellStyle name="Normal 2 4 4 2 5 10" xfId="4315" xr:uid="{00000000-0005-0000-0000-0000DB130000}"/>
    <cellStyle name="Normal 2 4 4 2 5 10 2" xfId="22131" xr:uid="{00000000-0005-0000-0000-0000DC130000}"/>
    <cellStyle name="Normal 2 4 4 2 5 11" xfId="4316" xr:uid="{00000000-0005-0000-0000-0000DD130000}"/>
    <cellStyle name="Normal 2 4 4 2 5 11 2" xfId="22132" xr:uid="{00000000-0005-0000-0000-0000DE130000}"/>
    <cellStyle name="Normal 2 4 4 2 5 12" xfId="4317" xr:uid="{00000000-0005-0000-0000-0000DF130000}"/>
    <cellStyle name="Normal 2 4 4 2 5 12 2" xfId="22133" xr:uid="{00000000-0005-0000-0000-0000E0130000}"/>
    <cellStyle name="Normal 2 4 4 2 5 13" xfId="4318" xr:uid="{00000000-0005-0000-0000-0000E1130000}"/>
    <cellStyle name="Normal 2 4 4 2 5 13 2" xfId="22134" xr:uid="{00000000-0005-0000-0000-0000E2130000}"/>
    <cellStyle name="Normal 2 4 4 2 5 14" xfId="4319" xr:uid="{00000000-0005-0000-0000-0000E3130000}"/>
    <cellStyle name="Normal 2 4 4 2 5 14 2" xfId="22135" xr:uid="{00000000-0005-0000-0000-0000E4130000}"/>
    <cellStyle name="Normal 2 4 4 2 5 15" xfId="22130" xr:uid="{00000000-0005-0000-0000-0000E5130000}"/>
    <cellStyle name="Normal 2 4 4 2 5 2" xfId="4320" xr:uid="{00000000-0005-0000-0000-0000E6130000}"/>
    <cellStyle name="Normal 2 4 4 2 5 2 2" xfId="22136" xr:uid="{00000000-0005-0000-0000-0000E7130000}"/>
    <cellStyle name="Normal 2 4 4 2 5 3" xfId="4321" xr:uid="{00000000-0005-0000-0000-0000E8130000}"/>
    <cellStyle name="Normal 2 4 4 2 5 3 2" xfId="22137" xr:uid="{00000000-0005-0000-0000-0000E9130000}"/>
    <cellStyle name="Normal 2 4 4 2 5 4" xfId="4322" xr:uid="{00000000-0005-0000-0000-0000EA130000}"/>
    <cellStyle name="Normal 2 4 4 2 5 4 2" xfId="22138" xr:uid="{00000000-0005-0000-0000-0000EB130000}"/>
    <cellStyle name="Normal 2 4 4 2 5 5" xfId="4323" xr:uid="{00000000-0005-0000-0000-0000EC130000}"/>
    <cellStyle name="Normal 2 4 4 2 5 5 2" xfId="22139" xr:uid="{00000000-0005-0000-0000-0000ED130000}"/>
    <cellStyle name="Normal 2 4 4 2 5 6" xfId="4324" xr:uid="{00000000-0005-0000-0000-0000EE130000}"/>
    <cellStyle name="Normal 2 4 4 2 5 6 2" xfId="22140" xr:uid="{00000000-0005-0000-0000-0000EF130000}"/>
    <cellStyle name="Normal 2 4 4 2 5 7" xfId="4325" xr:uid="{00000000-0005-0000-0000-0000F0130000}"/>
    <cellStyle name="Normal 2 4 4 2 5 7 2" xfId="22141" xr:uid="{00000000-0005-0000-0000-0000F1130000}"/>
    <cellStyle name="Normal 2 4 4 2 5 8" xfId="4326" xr:uid="{00000000-0005-0000-0000-0000F2130000}"/>
    <cellStyle name="Normal 2 4 4 2 5 8 2" xfId="22142" xr:uid="{00000000-0005-0000-0000-0000F3130000}"/>
    <cellStyle name="Normal 2 4 4 2 5 9" xfId="4327" xr:uid="{00000000-0005-0000-0000-0000F4130000}"/>
    <cellStyle name="Normal 2 4 4 2 5 9 2" xfId="22143" xr:uid="{00000000-0005-0000-0000-0000F5130000}"/>
    <cellStyle name="Normal 2 4 4 20" xfId="22091" xr:uid="{00000000-0005-0000-0000-0000F6130000}"/>
    <cellStyle name="Normal 2 4 4 3" xfId="4328" xr:uid="{00000000-0005-0000-0000-0000F7130000}"/>
    <cellStyle name="Normal 2 4 4 3 2" xfId="4329" xr:uid="{00000000-0005-0000-0000-0000F8130000}"/>
    <cellStyle name="Normal 2 4 4 3 2 10" xfId="4330" xr:uid="{00000000-0005-0000-0000-0000F9130000}"/>
    <cellStyle name="Normal 2 4 4 3 2 10 2" xfId="22145" xr:uid="{00000000-0005-0000-0000-0000FA130000}"/>
    <cellStyle name="Normal 2 4 4 3 2 11" xfId="4331" xr:uid="{00000000-0005-0000-0000-0000FB130000}"/>
    <cellStyle name="Normal 2 4 4 3 2 11 2" xfId="22146" xr:uid="{00000000-0005-0000-0000-0000FC130000}"/>
    <cellStyle name="Normal 2 4 4 3 2 12" xfId="4332" xr:uid="{00000000-0005-0000-0000-0000FD130000}"/>
    <cellStyle name="Normal 2 4 4 3 2 12 2" xfId="22147" xr:uid="{00000000-0005-0000-0000-0000FE130000}"/>
    <cellStyle name="Normal 2 4 4 3 2 13" xfId="4333" xr:uid="{00000000-0005-0000-0000-0000FF130000}"/>
    <cellStyle name="Normal 2 4 4 3 2 13 2" xfId="22148" xr:uid="{00000000-0005-0000-0000-000000140000}"/>
    <cellStyle name="Normal 2 4 4 3 2 14" xfId="4334" xr:uid="{00000000-0005-0000-0000-000001140000}"/>
    <cellStyle name="Normal 2 4 4 3 2 14 2" xfId="22149" xr:uid="{00000000-0005-0000-0000-000002140000}"/>
    <cellStyle name="Normal 2 4 4 3 2 15" xfId="22144" xr:uid="{00000000-0005-0000-0000-000003140000}"/>
    <cellStyle name="Normal 2 4 4 3 2 2" xfId="4335" xr:uid="{00000000-0005-0000-0000-000004140000}"/>
    <cellStyle name="Normal 2 4 4 3 2 2 2" xfId="22150" xr:uid="{00000000-0005-0000-0000-000005140000}"/>
    <cellStyle name="Normal 2 4 4 3 2 3" xfId="4336" xr:uid="{00000000-0005-0000-0000-000006140000}"/>
    <cellStyle name="Normal 2 4 4 3 2 3 2" xfId="22151" xr:uid="{00000000-0005-0000-0000-000007140000}"/>
    <cellStyle name="Normal 2 4 4 3 2 4" xfId="4337" xr:uid="{00000000-0005-0000-0000-000008140000}"/>
    <cellStyle name="Normal 2 4 4 3 2 4 2" xfId="22152" xr:uid="{00000000-0005-0000-0000-000009140000}"/>
    <cellStyle name="Normal 2 4 4 3 2 5" xfId="4338" xr:uid="{00000000-0005-0000-0000-00000A140000}"/>
    <cellStyle name="Normal 2 4 4 3 2 5 2" xfId="22153" xr:uid="{00000000-0005-0000-0000-00000B140000}"/>
    <cellStyle name="Normal 2 4 4 3 2 6" xfId="4339" xr:uid="{00000000-0005-0000-0000-00000C140000}"/>
    <cellStyle name="Normal 2 4 4 3 2 6 2" xfId="22154" xr:uid="{00000000-0005-0000-0000-00000D140000}"/>
    <cellStyle name="Normal 2 4 4 3 2 7" xfId="4340" xr:uid="{00000000-0005-0000-0000-00000E140000}"/>
    <cellStyle name="Normal 2 4 4 3 2 7 2" xfId="22155" xr:uid="{00000000-0005-0000-0000-00000F140000}"/>
    <cellStyle name="Normal 2 4 4 3 2 8" xfId="4341" xr:uid="{00000000-0005-0000-0000-000010140000}"/>
    <cellStyle name="Normal 2 4 4 3 2 8 2" xfId="22156" xr:uid="{00000000-0005-0000-0000-000011140000}"/>
    <cellStyle name="Normal 2 4 4 3 2 9" xfId="4342" xr:uid="{00000000-0005-0000-0000-000012140000}"/>
    <cellStyle name="Normal 2 4 4 3 2 9 2" xfId="22157" xr:uid="{00000000-0005-0000-0000-000013140000}"/>
    <cellStyle name="Normal 2 4 4 3 3" xfId="4343" xr:uid="{00000000-0005-0000-0000-000014140000}"/>
    <cellStyle name="Normal 2 4 4 3 3 10" xfId="4344" xr:uid="{00000000-0005-0000-0000-000015140000}"/>
    <cellStyle name="Normal 2 4 4 3 3 10 2" xfId="22159" xr:uid="{00000000-0005-0000-0000-000016140000}"/>
    <cellStyle name="Normal 2 4 4 3 3 11" xfId="4345" xr:uid="{00000000-0005-0000-0000-000017140000}"/>
    <cellStyle name="Normal 2 4 4 3 3 11 2" xfId="22160" xr:uid="{00000000-0005-0000-0000-000018140000}"/>
    <cellStyle name="Normal 2 4 4 3 3 12" xfId="4346" xr:uid="{00000000-0005-0000-0000-000019140000}"/>
    <cellStyle name="Normal 2 4 4 3 3 12 2" xfId="22161" xr:uid="{00000000-0005-0000-0000-00001A140000}"/>
    <cellStyle name="Normal 2 4 4 3 3 13" xfId="4347" xr:uid="{00000000-0005-0000-0000-00001B140000}"/>
    <cellStyle name="Normal 2 4 4 3 3 13 2" xfId="22162" xr:uid="{00000000-0005-0000-0000-00001C140000}"/>
    <cellStyle name="Normal 2 4 4 3 3 14" xfId="4348" xr:uid="{00000000-0005-0000-0000-00001D140000}"/>
    <cellStyle name="Normal 2 4 4 3 3 14 2" xfId="22163" xr:uid="{00000000-0005-0000-0000-00001E140000}"/>
    <cellStyle name="Normal 2 4 4 3 3 15" xfId="22158" xr:uid="{00000000-0005-0000-0000-00001F140000}"/>
    <cellStyle name="Normal 2 4 4 3 3 2" xfId="4349" xr:uid="{00000000-0005-0000-0000-000020140000}"/>
    <cellStyle name="Normal 2 4 4 3 3 2 2" xfId="22164" xr:uid="{00000000-0005-0000-0000-000021140000}"/>
    <cellStyle name="Normal 2 4 4 3 3 3" xfId="4350" xr:uid="{00000000-0005-0000-0000-000022140000}"/>
    <cellStyle name="Normal 2 4 4 3 3 3 2" xfId="22165" xr:uid="{00000000-0005-0000-0000-000023140000}"/>
    <cellStyle name="Normal 2 4 4 3 3 4" xfId="4351" xr:uid="{00000000-0005-0000-0000-000024140000}"/>
    <cellStyle name="Normal 2 4 4 3 3 4 2" xfId="22166" xr:uid="{00000000-0005-0000-0000-000025140000}"/>
    <cellStyle name="Normal 2 4 4 3 3 5" xfId="4352" xr:uid="{00000000-0005-0000-0000-000026140000}"/>
    <cellStyle name="Normal 2 4 4 3 3 5 2" xfId="22167" xr:uid="{00000000-0005-0000-0000-000027140000}"/>
    <cellStyle name="Normal 2 4 4 3 3 6" xfId="4353" xr:uid="{00000000-0005-0000-0000-000028140000}"/>
    <cellStyle name="Normal 2 4 4 3 3 6 2" xfId="22168" xr:uid="{00000000-0005-0000-0000-000029140000}"/>
    <cellStyle name="Normal 2 4 4 3 3 7" xfId="4354" xr:uid="{00000000-0005-0000-0000-00002A140000}"/>
    <cellStyle name="Normal 2 4 4 3 3 7 2" xfId="22169" xr:uid="{00000000-0005-0000-0000-00002B140000}"/>
    <cellStyle name="Normal 2 4 4 3 3 8" xfId="4355" xr:uid="{00000000-0005-0000-0000-00002C140000}"/>
    <cellStyle name="Normal 2 4 4 3 3 8 2" xfId="22170" xr:uid="{00000000-0005-0000-0000-00002D140000}"/>
    <cellStyle name="Normal 2 4 4 3 3 9" xfId="4356" xr:uid="{00000000-0005-0000-0000-00002E140000}"/>
    <cellStyle name="Normal 2 4 4 3 3 9 2" xfId="22171" xr:uid="{00000000-0005-0000-0000-00002F140000}"/>
    <cellStyle name="Normal 2 4 4 3 4" xfId="4357" xr:uid="{00000000-0005-0000-0000-000030140000}"/>
    <cellStyle name="Normal 2 4 4 3 4 10" xfId="4358" xr:uid="{00000000-0005-0000-0000-000031140000}"/>
    <cellStyle name="Normal 2 4 4 3 4 10 2" xfId="22173" xr:uid="{00000000-0005-0000-0000-000032140000}"/>
    <cellStyle name="Normal 2 4 4 3 4 11" xfId="4359" xr:uid="{00000000-0005-0000-0000-000033140000}"/>
    <cellStyle name="Normal 2 4 4 3 4 11 2" xfId="22174" xr:uid="{00000000-0005-0000-0000-000034140000}"/>
    <cellStyle name="Normal 2 4 4 3 4 12" xfId="4360" xr:uid="{00000000-0005-0000-0000-000035140000}"/>
    <cellStyle name="Normal 2 4 4 3 4 12 2" xfId="22175" xr:uid="{00000000-0005-0000-0000-000036140000}"/>
    <cellStyle name="Normal 2 4 4 3 4 13" xfId="4361" xr:uid="{00000000-0005-0000-0000-000037140000}"/>
    <cellStyle name="Normal 2 4 4 3 4 13 2" xfId="22176" xr:uid="{00000000-0005-0000-0000-000038140000}"/>
    <cellStyle name="Normal 2 4 4 3 4 14" xfId="4362" xr:uid="{00000000-0005-0000-0000-000039140000}"/>
    <cellStyle name="Normal 2 4 4 3 4 14 2" xfId="22177" xr:uid="{00000000-0005-0000-0000-00003A140000}"/>
    <cellStyle name="Normal 2 4 4 3 4 15" xfId="22172" xr:uid="{00000000-0005-0000-0000-00003B140000}"/>
    <cellStyle name="Normal 2 4 4 3 4 2" xfId="4363" xr:uid="{00000000-0005-0000-0000-00003C140000}"/>
    <cellStyle name="Normal 2 4 4 3 4 2 2" xfId="22178" xr:uid="{00000000-0005-0000-0000-00003D140000}"/>
    <cellStyle name="Normal 2 4 4 3 4 3" xfId="4364" xr:uid="{00000000-0005-0000-0000-00003E140000}"/>
    <cellStyle name="Normal 2 4 4 3 4 3 2" xfId="22179" xr:uid="{00000000-0005-0000-0000-00003F140000}"/>
    <cellStyle name="Normal 2 4 4 3 4 4" xfId="4365" xr:uid="{00000000-0005-0000-0000-000040140000}"/>
    <cellStyle name="Normal 2 4 4 3 4 4 2" xfId="22180" xr:uid="{00000000-0005-0000-0000-000041140000}"/>
    <cellStyle name="Normal 2 4 4 3 4 5" xfId="4366" xr:uid="{00000000-0005-0000-0000-000042140000}"/>
    <cellStyle name="Normal 2 4 4 3 4 5 2" xfId="22181" xr:uid="{00000000-0005-0000-0000-000043140000}"/>
    <cellStyle name="Normal 2 4 4 3 4 6" xfId="4367" xr:uid="{00000000-0005-0000-0000-000044140000}"/>
    <cellStyle name="Normal 2 4 4 3 4 6 2" xfId="22182" xr:uid="{00000000-0005-0000-0000-000045140000}"/>
    <cellStyle name="Normal 2 4 4 3 4 7" xfId="4368" xr:uid="{00000000-0005-0000-0000-000046140000}"/>
    <cellStyle name="Normal 2 4 4 3 4 7 2" xfId="22183" xr:uid="{00000000-0005-0000-0000-000047140000}"/>
    <cellStyle name="Normal 2 4 4 3 4 8" xfId="4369" xr:uid="{00000000-0005-0000-0000-000048140000}"/>
    <cellStyle name="Normal 2 4 4 3 4 8 2" xfId="22184" xr:uid="{00000000-0005-0000-0000-000049140000}"/>
    <cellStyle name="Normal 2 4 4 3 4 9" xfId="4370" xr:uid="{00000000-0005-0000-0000-00004A140000}"/>
    <cellStyle name="Normal 2 4 4 3 4 9 2" xfId="22185" xr:uid="{00000000-0005-0000-0000-00004B140000}"/>
    <cellStyle name="Normal 2 4 4 4" xfId="4371" xr:uid="{00000000-0005-0000-0000-00004C140000}"/>
    <cellStyle name="Normal 2 4 4 5" xfId="4372" xr:uid="{00000000-0005-0000-0000-00004D140000}"/>
    <cellStyle name="Normal 2 4 4 6" xfId="4373" xr:uid="{00000000-0005-0000-0000-00004E140000}"/>
    <cellStyle name="Normal 2 4 4 7" xfId="4374" xr:uid="{00000000-0005-0000-0000-00004F140000}"/>
    <cellStyle name="Normal 2 4 4 7 2" xfId="22186" xr:uid="{00000000-0005-0000-0000-000050140000}"/>
    <cellStyle name="Normal 2 4 4 8" xfId="4375" xr:uid="{00000000-0005-0000-0000-000051140000}"/>
    <cellStyle name="Normal 2 4 4 8 2" xfId="22187" xr:uid="{00000000-0005-0000-0000-000052140000}"/>
    <cellStyle name="Normal 2 4 4 9" xfId="4376" xr:uid="{00000000-0005-0000-0000-000053140000}"/>
    <cellStyle name="Normal 2 4 4 9 2" xfId="22188" xr:uid="{00000000-0005-0000-0000-000054140000}"/>
    <cellStyle name="Normal 2 4 5" xfId="4377" xr:uid="{00000000-0005-0000-0000-000055140000}"/>
    <cellStyle name="Normal 2 4 5 10" xfId="4378" xr:uid="{00000000-0005-0000-0000-000056140000}"/>
    <cellStyle name="Normal 2 4 5 10 2" xfId="22190" xr:uid="{00000000-0005-0000-0000-000057140000}"/>
    <cellStyle name="Normal 2 4 5 11" xfId="4379" xr:uid="{00000000-0005-0000-0000-000058140000}"/>
    <cellStyle name="Normal 2 4 5 11 2" xfId="22191" xr:uid="{00000000-0005-0000-0000-000059140000}"/>
    <cellStyle name="Normal 2 4 5 12" xfId="4380" xr:uid="{00000000-0005-0000-0000-00005A140000}"/>
    <cellStyle name="Normal 2 4 5 12 2" xfId="22192" xr:uid="{00000000-0005-0000-0000-00005B140000}"/>
    <cellStyle name="Normal 2 4 5 13" xfId="4381" xr:uid="{00000000-0005-0000-0000-00005C140000}"/>
    <cellStyle name="Normal 2 4 5 13 2" xfId="22193" xr:uid="{00000000-0005-0000-0000-00005D140000}"/>
    <cellStyle name="Normal 2 4 5 14" xfId="4382" xr:uid="{00000000-0005-0000-0000-00005E140000}"/>
    <cellStyle name="Normal 2 4 5 14 2" xfId="22194" xr:uid="{00000000-0005-0000-0000-00005F140000}"/>
    <cellStyle name="Normal 2 4 5 15" xfId="4383" xr:uid="{00000000-0005-0000-0000-000060140000}"/>
    <cellStyle name="Normal 2 4 5 15 2" xfId="22195" xr:uid="{00000000-0005-0000-0000-000061140000}"/>
    <cellStyle name="Normal 2 4 5 16" xfId="4384" xr:uid="{00000000-0005-0000-0000-000062140000}"/>
    <cellStyle name="Normal 2 4 5 16 2" xfId="22196" xr:uid="{00000000-0005-0000-0000-000063140000}"/>
    <cellStyle name="Normal 2 4 5 17" xfId="4385" xr:uid="{00000000-0005-0000-0000-000064140000}"/>
    <cellStyle name="Normal 2 4 5 17 2" xfId="22197" xr:uid="{00000000-0005-0000-0000-000065140000}"/>
    <cellStyle name="Normal 2 4 5 18" xfId="4386" xr:uid="{00000000-0005-0000-0000-000066140000}"/>
    <cellStyle name="Normal 2 4 5 18 2" xfId="22198" xr:uid="{00000000-0005-0000-0000-000067140000}"/>
    <cellStyle name="Normal 2 4 5 19" xfId="4387" xr:uid="{00000000-0005-0000-0000-000068140000}"/>
    <cellStyle name="Normal 2 4 5 19 2" xfId="22199" xr:uid="{00000000-0005-0000-0000-000069140000}"/>
    <cellStyle name="Normal 2 4 5 2" xfId="4388" xr:uid="{00000000-0005-0000-0000-00006A140000}"/>
    <cellStyle name="Normal 2 4 5 2 2" xfId="4389" xr:uid="{00000000-0005-0000-0000-00006B140000}"/>
    <cellStyle name="Normal 2 4 5 2 2 10" xfId="4390" xr:uid="{00000000-0005-0000-0000-00006C140000}"/>
    <cellStyle name="Normal 2 4 5 2 2 10 2" xfId="22201" xr:uid="{00000000-0005-0000-0000-00006D140000}"/>
    <cellStyle name="Normal 2 4 5 2 2 11" xfId="4391" xr:uid="{00000000-0005-0000-0000-00006E140000}"/>
    <cellStyle name="Normal 2 4 5 2 2 11 2" xfId="22202" xr:uid="{00000000-0005-0000-0000-00006F140000}"/>
    <cellStyle name="Normal 2 4 5 2 2 12" xfId="4392" xr:uid="{00000000-0005-0000-0000-000070140000}"/>
    <cellStyle name="Normal 2 4 5 2 2 12 2" xfId="22203" xr:uid="{00000000-0005-0000-0000-000071140000}"/>
    <cellStyle name="Normal 2 4 5 2 2 13" xfId="4393" xr:uid="{00000000-0005-0000-0000-000072140000}"/>
    <cellStyle name="Normal 2 4 5 2 2 13 2" xfId="22204" xr:uid="{00000000-0005-0000-0000-000073140000}"/>
    <cellStyle name="Normal 2 4 5 2 2 14" xfId="4394" xr:uid="{00000000-0005-0000-0000-000074140000}"/>
    <cellStyle name="Normal 2 4 5 2 2 14 2" xfId="22205" xr:uid="{00000000-0005-0000-0000-000075140000}"/>
    <cellStyle name="Normal 2 4 5 2 2 15" xfId="4395" xr:uid="{00000000-0005-0000-0000-000076140000}"/>
    <cellStyle name="Normal 2 4 5 2 2 15 2" xfId="22206" xr:uid="{00000000-0005-0000-0000-000077140000}"/>
    <cellStyle name="Normal 2 4 5 2 2 16" xfId="4396" xr:uid="{00000000-0005-0000-0000-000078140000}"/>
    <cellStyle name="Normal 2 4 5 2 2 16 2" xfId="22207" xr:uid="{00000000-0005-0000-0000-000079140000}"/>
    <cellStyle name="Normal 2 4 5 2 2 17" xfId="4397" xr:uid="{00000000-0005-0000-0000-00007A140000}"/>
    <cellStyle name="Normal 2 4 5 2 2 17 2" xfId="22208" xr:uid="{00000000-0005-0000-0000-00007B140000}"/>
    <cellStyle name="Normal 2 4 5 2 2 18" xfId="22200" xr:uid="{00000000-0005-0000-0000-00007C140000}"/>
    <cellStyle name="Normal 2 4 5 2 2 2" xfId="4398" xr:uid="{00000000-0005-0000-0000-00007D140000}"/>
    <cellStyle name="Normal 2 4 5 2 2 3" xfId="4399" xr:uid="{00000000-0005-0000-0000-00007E140000}"/>
    <cellStyle name="Normal 2 4 5 2 2 4" xfId="4400" xr:uid="{00000000-0005-0000-0000-00007F140000}"/>
    <cellStyle name="Normal 2 4 5 2 2 5" xfId="4401" xr:uid="{00000000-0005-0000-0000-000080140000}"/>
    <cellStyle name="Normal 2 4 5 2 2 5 2" xfId="22209" xr:uid="{00000000-0005-0000-0000-000081140000}"/>
    <cellStyle name="Normal 2 4 5 2 2 6" xfId="4402" xr:uid="{00000000-0005-0000-0000-000082140000}"/>
    <cellStyle name="Normal 2 4 5 2 2 6 2" xfId="22210" xr:uid="{00000000-0005-0000-0000-000083140000}"/>
    <cellStyle name="Normal 2 4 5 2 2 7" xfId="4403" xr:uid="{00000000-0005-0000-0000-000084140000}"/>
    <cellStyle name="Normal 2 4 5 2 2 7 2" xfId="22211" xr:uid="{00000000-0005-0000-0000-000085140000}"/>
    <cellStyle name="Normal 2 4 5 2 2 8" xfId="4404" xr:uid="{00000000-0005-0000-0000-000086140000}"/>
    <cellStyle name="Normal 2 4 5 2 2 8 2" xfId="22212" xr:uid="{00000000-0005-0000-0000-000087140000}"/>
    <cellStyle name="Normal 2 4 5 2 2 9" xfId="4405" xr:uid="{00000000-0005-0000-0000-000088140000}"/>
    <cellStyle name="Normal 2 4 5 2 2 9 2" xfId="22213" xr:uid="{00000000-0005-0000-0000-000089140000}"/>
    <cellStyle name="Normal 2 4 5 2 3" xfId="4406" xr:uid="{00000000-0005-0000-0000-00008A140000}"/>
    <cellStyle name="Normal 2 4 5 2 4" xfId="4407" xr:uid="{00000000-0005-0000-0000-00008B140000}"/>
    <cellStyle name="Normal 2 4 5 2 4 10" xfId="4408" xr:uid="{00000000-0005-0000-0000-00008C140000}"/>
    <cellStyle name="Normal 2 4 5 2 4 10 2" xfId="22215" xr:uid="{00000000-0005-0000-0000-00008D140000}"/>
    <cellStyle name="Normal 2 4 5 2 4 11" xfId="4409" xr:uid="{00000000-0005-0000-0000-00008E140000}"/>
    <cellStyle name="Normal 2 4 5 2 4 11 2" xfId="22216" xr:uid="{00000000-0005-0000-0000-00008F140000}"/>
    <cellStyle name="Normal 2 4 5 2 4 12" xfId="4410" xr:uid="{00000000-0005-0000-0000-000090140000}"/>
    <cellStyle name="Normal 2 4 5 2 4 12 2" xfId="22217" xr:uid="{00000000-0005-0000-0000-000091140000}"/>
    <cellStyle name="Normal 2 4 5 2 4 13" xfId="4411" xr:uid="{00000000-0005-0000-0000-000092140000}"/>
    <cellStyle name="Normal 2 4 5 2 4 13 2" xfId="22218" xr:uid="{00000000-0005-0000-0000-000093140000}"/>
    <cellStyle name="Normal 2 4 5 2 4 14" xfId="4412" xr:uid="{00000000-0005-0000-0000-000094140000}"/>
    <cellStyle name="Normal 2 4 5 2 4 14 2" xfId="22219" xr:uid="{00000000-0005-0000-0000-000095140000}"/>
    <cellStyle name="Normal 2 4 5 2 4 15" xfId="22214" xr:uid="{00000000-0005-0000-0000-000096140000}"/>
    <cellStyle name="Normal 2 4 5 2 4 2" xfId="4413" xr:uid="{00000000-0005-0000-0000-000097140000}"/>
    <cellStyle name="Normal 2 4 5 2 4 2 2" xfId="22220" xr:uid="{00000000-0005-0000-0000-000098140000}"/>
    <cellStyle name="Normal 2 4 5 2 4 3" xfId="4414" xr:uid="{00000000-0005-0000-0000-000099140000}"/>
    <cellStyle name="Normal 2 4 5 2 4 3 2" xfId="22221" xr:uid="{00000000-0005-0000-0000-00009A140000}"/>
    <cellStyle name="Normal 2 4 5 2 4 4" xfId="4415" xr:uid="{00000000-0005-0000-0000-00009B140000}"/>
    <cellStyle name="Normal 2 4 5 2 4 4 2" xfId="22222" xr:uid="{00000000-0005-0000-0000-00009C140000}"/>
    <cellStyle name="Normal 2 4 5 2 4 5" xfId="4416" xr:uid="{00000000-0005-0000-0000-00009D140000}"/>
    <cellStyle name="Normal 2 4 5 2 4 5 2" xfId="22223" xr:uid="{00000000-0005-0000-0000-00009E140000}"/>
    <cellStyle name="Normal 2 4 5 2 4 6" xfId="4417" xr:uid="{00000000-0005-0000-0000-00009F140000}"/>
    <cellStyle name="Normal 2 4 5 2 4 6 2" xfId="22224" xr:uid="{00000000-0005-0000-0000-0000A0140000}"/>
    <cellStyle name="Normal 2 4 5 2 4 7" xfId="4418" xr:uid="{00000000-0005-0000-0000-0000A1140000}"/>
    <cellStyle name="Normal 2 4 5 2 4 7 2" xfId="22225" xr:uid="{00000000-0005-0000-0000-0000A2140000}"/>
    <cellStyle name="Normal 2 4 5 2 4 8" xfId="4419" xr:uid="{00000000-0005-0000-0000-0000A3140000}"/>
    <cellStyle name="Normal 2 4 5 2 4 8 2" xfId="22226" xr:uid="{00000000-0005-0000-0000-0000A4140000}"/>
    <cellStyle name="Normal 2 4 5 2 4 9" xfId="4420" xr:uid="{00000000-0005-0000-0000-0000A5140000}"/>
    <cellStyle name="Normal 2 4 5 2 4 9 2" xfId="22227" xr:uid="{00000000-0005-0000-0000-0000A6140000}"/>
    <cellStyle name="Normal 2 4 5 2 5" xfId="4421" xr:uid="{00000000-0005-0000-0000-0000A7140000}"/>
    <cellStyle name="Normal 2 4 5 2 5 10" xfId="4422" xr:uid="{00000000-0005-0000-0000-0000A8140000}"/>
    <cellStyle name="Normal 2 4 5 2 5 10 2" xfId="22229" xr:uid="{00000000-0005-0000-0000-0000A9140000}"/>
    <cellStyle name="Normal 2 4 5 2 5 11" xfId="4423" xr:uid="{00000000-0005-0000-0000-0000AA140000}"/>
    <cellStyle name="Normal 2 4 5 2 5 11 2" xfId="22230" xr:uid="{00000000-0005-0000-0000-0000AB140000}"/>
    <cellStyle name="Normal 2 4 5 2 5 12" xfId="4424" xr:uid="{00000000-0005-0000-0000-0000AC140000}"/>
    <cellStyle name="Normal 2 4 5 2 5 12 2" xfId="22231" xr:uid="{00000000-0005-0000-0000-0000AD140000}"/>
    <cellStyle name="Normal 2 4 5 2 5 13" xfId="4425" xr:uid="{00000000-0005-0000-0000-0000AE140000}"/>
    <cellStyle name="Normal 2 4 5 2 5 13 2" xfId="22232" xr:uid="{00000000-0005-0000-0000-0000AF140000}"/>
    <cellStyle name="Normal 2 4 5 2 5 14" xfId="4426" xr:uid="{00000000-0005-0000-0000-0000B0140000}"/>
    <cellStyle name="Normal 2 4 5 2 5 14 2" xfId="22233" xr:uid="{00000000-0005-0000-0000-0000B1140000}"/>
    <cellStyle name="Normal 2 4 5 2 5 15" xfId="22228" xr:uid="{00000000-0005-0000-0000-0000B2140000}"/>
    <cellStyle name="Normal 2 4 5 2 5 2" xfId="4427" xr:uid="{00000000-0005-0000-0000-0000B3140000}"/>
    <cellStyle name="Normal 2 4 5 2 5 2 2" xfId="22234" xr:uid="{00000000-0005-0000-0000-0000B4140000}"/>
    <cellStyle name="Normal 2 4 5 2 5 3" xfId="4428" xr:uid="{00000000-0005-0000-0000-0000B5140000}"/>
    <cellStyle name="Normal 2 4 5 2 5 3 2" xfId="22235" xr:uid="{00000000-0005-0000-0000-0000B6140000}"/>
    <cellStyle name="Normal 2 4 5 2 5 4" xfId="4429" xr:uid="{00000000-0005-0000-0000-0000B7140000}"/>
    <cellStyle name="Normal 2 4 5 2 5 4 2" xfId="22236" xr:uid="{00000000-0005-0000-0000-0000B8140000}"/>
    <cellStyle name="Normal 2 4 5 2 5 5" xfId="4430" xr:uid="{00000000-0005-0000-0000-0000B9140000}"/>
    <cellStyle name="Normal 2 4 5 2 5 5 2" xfId="22237" xr:uid="{00000000-0005-0000-0000-0000BA140000}"/>
    <cellStyle name="Normal 2 4 5 2 5 6" xfId="4431" xr:uid="{00000000-0005-0000-0000-0000BB140000}"/>
    <cellStyle name="Normal 2 4 5 2 5 6 2" xfId="22238" xr:uid="{00000000-0005-0000-0000-0000BC140000}"/>
    <cellStyle name="Normal 2 4 5 2 5 7" xfId="4432" xr:uid="{00000000-0005-0000-0000-0000BD140000}"/>
    <cellStyle name="Normal 2 4 5 2 5 7 2" xfId="22239" xr:uid="{00000000-0005-0000-0000-0000BE140000}"/>
    <cellStyle name="Normal 2 4 5 2 5 8" xfId="4433" xr:uid="{00000000-0005-0000-0000-0000BF140000}"/>
    <cellStyle name="Normal 2 4 5 2 5 8 2" xfId="22240" xr:uid="{00000000-0005-0000-0000-0000C0140000}"/>
    <cellStyle name="Normal 2 4 5 2 5 9" xfId="4434" xr:uid="{00000000-0005-0000-0000-0000C1140000}"/>
    <cellStyle name="Normal 2 4 5 2 5 9 2" xfId="22241" xr:uid="{00000000-0005-0000-0000-0000C2140000}"/>
    <cellStyle name="Normal 2 4 5 20" xfId="22189" xr:uid="{00000000-0005-0000-0000-0000C3140000}"/>
    <cellStyle name="Normal 2 4 5 3" xfId="4435" xr:uid="{00000000-0005-0000-0000-0000C4140000}"/>
    <cellStyle name="Normal 2 4 5 3 2" xfId="4436" xr:uid="{00000000-0005-0000-0000-0000C5140000}"/>
    <cellStyle name="Normal 2 4 5 3 2 10" xfId="4437" xr:uid="{00000000-0005-0000-0000-0000C6140000}"/>
    <cellStyle name="Normal 2 4 5 3 2 10 2" xfId="22243" xr:uid="{00000000-0005-0000-0000-0000C7140000}"/>
    <cellStyle name="Normal 2 4 5 3 2 11" xfId="4438" xr:uid="{00000000-0005-0000-0000-0000C8140000}"/>
    <cellStyle name="Normal 2 4 5 3 2 11 2" xfId="22244" xr:uid="{00000000-0005-0000-0000-0000C9140000}"/>
    <cellStyle name="Normal 2 4 5 3 2 12" xfId="4439" xr:uid="{00000000-0005-0000-0000-0000CA140000}"/>
    <cellStyle name="Normal 2 4 5 3 2 12 2" xfId="22245" xr:uid="{00000000-0005-0000-0000-0000CB140000}"/>
    <cellStyle name="Normal 2 4 5 3 2 13" xfId="4440" xr:uid="{00000000-0005-0000-0000-0000CC140000}"/>
    <cellStyle name="Normal 2 4 5 3 2 13 2" xfId="22246" xr:uid="{00000000-0005-0000-0000-0000CD140000}"/>
    <cellStyle name="Normal 2 4 5 3 2 14" xfId="4441" xr:uid="{00000000-0005-0000-0000-0000CE140000}"/>
    <cellStyle name="Normal 2 4 5 3 2 14 2" xfId="22247" xr:uid="{00000000-0005-0000-0000-0000CF140000}"/>
    <cellStyle name="Normal 2 4 5 3 2 15" xfId="22242" xr:uid="{00000000-0005-0000-0000-0000D0140000}"/>
    <cellStyle name="Normal 2 4 5 3 2 2" xfId="4442" xr:uid="{00000000-0005-0000-0000-0000D1140000}"/>
    <cellStyle name="Normal 2 4 5 3 2 2 2" xfId="22248" xr:uid="{00000000-0005-0000-0000-0000D2140000}"/>
    <cellStyle name="Normal 2 4 5 3 2 3" xfId="4443" xr:uid="{00000000-0005-0000-0000-0000D3140000}"/>
    <cellStyle name="Normal 2 4 5 3 2 3 2" xfId="22249" xr:uid="{00000000-0005-0000-0000-0000D4140000}"/>
    <cellStyle name="Normal 2 4 5 3 2 4" xfId="4444" xr:uid="{00000000-0005-0000-0000-0000D5140000}"/>
    <cellStyle name="Normal 2 4 5 3 2 4 2" xfId="22250" xr:uid="{00000000-0005-0000-0000-0000D6140000}"/>
    <cellStyle name="Normal 2 4 5 3 2 5" xfId="4445" xr:uid="{00000000-0005-0000-0000-0000D7140000}"/>
    <cellStyle name="Normal 2 4 5 3 2 5 2" xfId="22251" xr:uid="{00000000-0005-0000-0000-0000D8140000}"/>
    <cellStyle name="Normal 2 4 5 3 2 6" xfId="4446" xr:uid="{00000000-0005-0000-0000-0000D9140000}"/>
    <cellStyle name="Normal 2 4 5 3 2 6 2" xfId="22252" xr:uid="{00000000-0005-0000-0000-0000DA140000}"/>
    <cellStyle name="Normal 2 4 5 3 2 7" xfId="4447" xr:uid="{00000000-0005-0000-0000-0000DB140000}"/>
    <cellStyle name="Normal 2 4 5 3 2 7 2" xfId="22253" xr:uid="{00000000-0005-0000-0000-0000DC140000}"/>
    <cellStyle name="Normal 2 4 5 3 2 8" xfId="4448" xr:uid="{00000000-0005-0000-0000-0000DD140000}"/>
    <cellStyle name="Normal 2 4 5 3 2 8 2" xfId="22254" xr:uid="{00000000-0005-0000-0000-0000DE140000}"/>
    <cellStyle name="Normal 2 4 5 3 2 9" xfId="4449" xr:uid="{00000000-0005-0000-0000-0000DF140000}"/>
    <cellStyle name="Normal 2 4 5 3 2 9 2" xfId="22255" xr:uid="{00000000-0005-0000-0000-0000E0140000}"/>
    <cellStyle name="Normal 2 4 5 3 3" xfId="4450" xr:uid="{00000000-0005-0000-0000-0000E1140000}"/>
    <cellStyle name="Normal 2 4 5 3 3 10" xfId="4451" xr:uid="{00000000-0005-0000-0000-0000E2140000}"/>
    <cellStyle name="Normal 2 4 5 3 3 10 2" xfId="22257" xr:uid="{00000000-0005-0000-0000-0000E3140000}"/>
    <cellStyle name="Normal 2 4 5 3 3 11" xfId="4452" xr:uid="{00000000-0005-0000-0000-0000E4140000}"/>
    <cellStyle name="Normal 2 4 5 3 3 11 2" xfId="22258" xr:uid="{00000000-0005-0000-0000-0000E5140000}"/>
    <cellStyle name="Normal 2 4 5 3 3 12" xfId="4453" xr:uid="{00000000-0005-0000-0000-0000E6140000}"/>
    <cellStyle name="Normal 2 4 5 3 3 12 2" xfId="22259" xr:uid="{00000000-0005-0000-0000-0000E7140000}"/>
    <cellStyle name="Normal 2 4 5 3 3 13" xfId="4454" xr:uid="{00000000-0005-0000-0000-0000E8140000}"/>
    <cellStyle name="Normal 2 4 5 3 3 13 2" xfId="22260" xr:uid="{00000000-0005-0000-0000-0000E9140000}"/>
    <cellStyle name="Normal 2 4 5 3 3 14" xfId="4455" xr:uid="{00000000-0005-0000-0000-0000EA140000}"/>
    <cellStyle name="Normal 2 4 5 3 3 14 2" xfId="22261" xr:uid="{00000000-0005-0000-0000-0000EB140000}"/>
    <cellStyle name="Normal 2 4 5 3 3 15" xfId="22256" xr:uid="{00000000-0005-0000-0000-0000EC140000}"/>
    <cellStyle name="Normal 2 4 5 3 3 2" xfId="4456" xr:uid="{00000000-0005-0000-0000-0000ED140000}"/>
    <cellStyle name="Normal 2 4 5 3 3 2 2" xfId="22262" xr:uid="{00000000-0005-0000-0000-0000EE140000}"/>
    <cellStyle name="Normal 2 4 5 3 3 3" xfId="4457" xr:uid="{00000000-0005-0000-0000-0000EF140000}"/>
    <cellStyle name="Normal 2 4 5 3 3 3 2" xfId="22263" xr:uid="{00000000-0005-0000-0000-0000F0140000}"/>
    <cellStyle name="Normal 2 4 5 3 3 4" xfId="4458" xr:uid="{00000000-0005-0000-0000-0000F1140000}"/>
    <cellStyle name="Normal 2 4 5 3 3 4 2" xfId="22264" xr:uid="{00000000-0005-0000-0000-0000F2140000}"/>
    <cellStyle name="Normal 2 4 5 3 3 5" xfId="4459" xr:uid="{00000000-0005-0000-0000-0000F3140000}"/>
    <cellStyle name="Normal 2 4 5 3 3 5 2" xfId="22265" xr:uid="{00000000-0005-0000-0000-0000F4140000}"/>
    <cellStyle name="Normal 2 4 5 3 3 6" xfId="4460" xr:uid="{00000000-0005-0000-0000-0000F5140000}"/>
    <cellStyle name="Normal 2 4 5 3 3 6 2" xfId="22266" xr:uid="{00000000-0005-0000-0000-0000F6140000}"/>
    <cellStyle name="Normal 2 4 5 3 3 7" xfId="4461" xr:uid="{00000000-0005-0000-0000-0000F7140000}"/>
    <cellStyle name="Normal 2 4 5 3 3 7 2" xfId="22267" xr:uid="{00000000-0005-0000-0000-0000F8140000}"/>
    <cellStyle name="Normal 2 4 5 3 3 8" xfId="4462" xr:uid="{00000000-0005-0000-0000-0000F9140000}"/>
    <cellStyle name="Normal 2 4 5 3 3 8 2" xfId="22268" xr:uid="{00000000-0005-0000-0000-0000FA140000}"/>
    <cellStyle name="Normal 2 4 5 3 3 9" xfId="4463" xr:uid="{00000000-0005-0000-0000-0000FB140000}"/>
    <cellStyle name="Normal 2 4 5 3 3 9 2" xfId="22269" xr:uid="{00000000-0005-0000-0000-0000FC140000}"/>
    <cellStyle name="Normal 2 4 5 3 4" xfId="4464" xr:uid="{00000000-0005-0000-0000-0000FD140000}"/>
    <cellStyle name="Normal 2 4 5 3 4 10" xfId="4465" xr:uid="{00000000-0005-0000-0000-0000FE140000}"/>
    <cellStyle name="Normal 2 4 5 3 4 10 2" xfId="22271" xr:uid="{00000000-0005-0000-0000-0000FF140000}"/>
    <cellStyle name="Normal 2 4 5 3 4 11" xfId="4466" xr:uid="{00000000-0005-0000-0000-000000150000}"/>
    <cellStyle name="Normal 2 4 5 3 4 11 2" xfId="22272" xr:uid="{00000000-0005-0000-0000-000001150000}"/>
    <cellStyle name="Normal 2 4 5 3 4 12" xfId="4467" xr:uid="{00000000-0005-0000-0000-000002150000}"/>
    <cellStyle name="Normal 2 4 5 3 4 12 2" xfId="22273" xr:uid="{00000000-0005-0000-0000-000003150000}"/>
    <cellStyle name="Normal 2 4 5 3 4 13" xfId="4468" xr:uid="{00000000-0005-0000-0000-000004150000}"/>
    <cellStyle name="Normal 2 4 5 3 4 13 2" xfId="22274" xr:uid="{00000000-0005-0000-0000-000005150000}"/>
    <cellStyle name="Normal 2 4 5 3 4 14" xfId="4469" xr:uid="{00000000-0005-0000-0000-000006150000}"/>
    <cellStyle name="Normal 2 4 5 3 4 14 2" xfId="22275" xr:uid="{00000000-0005-0000-0000-000007150000}"/>
    <cellStyle name="Normal 2 4 5 3 4 15" xfId="22270" xr:uid="{00000000-0005-0000-0000-000008150000}"/>
    <cellStyle name="Normal 2 4 5 3 4 2" xfId="4470" xr:uid="{00000000-0005-0000-0000-000009150000}"/>
    <cellStyle name="Normal 2 4 5 3 4 2 2" xfId="22276" xr:uid="{00000000-0005-0000-0000-00000A150000}"/>
    <cellStyle name="Normal 2 4 5 3 4 3" xfId="4471" xr:uid="{00000000-0005-0000-0000-00000B150000}"/>
    <cellStyle name="Normal 2 4 5 3 4 3 2" xfId="22277" xr:uid="{00000000-0005-0000-0000-00000C150000}"/>
    <cellStyle name="Normal 2 4 5 3 4 4" xfId="4472" xr:uid="{00000000-0005-0000-0000-00000D150000}"/>
    <cellStyle name="Normal 2 4 5 3 4 4 2" xfId="22278" xr:uid="{00000000-0005-0000-0000-00000E150000}"/>
    <cellStyle name="Normal 2 4 5 3 4 5" xfId="4473" xr:uid="{00000000-0005-0000-0000-00000F150000}"/>
    <cellStyle name="Normal 2 4 5 3 4 5 2" xfId="22279" xr:uid="{00000000-0005-0000-0000-000010150000}"/>
    <cellStyle name="Normal 2 4 5 3 4 6" xfId="4474" xr:uid="{00000000-0005-0000-0000-000011150000}"/>
    <cellStyle name="Normal 2 4 5 3 4 6 2" xfId="22280" xr:uid="{00000000-0005-0000-0000-000012150000}"/>
    <cellStyle name="Normal 2 4 5 3 4 7" xfId="4475" xr:uid="{00000000-0005-0000-0000-000013150000}"/>
    <cellStyle name="Normal 2 4 5 3 4 7 2" xfId="22281" xr:uid="{00000000-0005-0000-0000-000014150000}"/>
    <cellStyle name="Normal 2 4 5 3 4 8" xfId="4476" xr:uid="{00000000-0005-0000-0000-000015150000}"/>
    <cellStyle name="Normal 2 4 5 3 4 8 2" xfId="22282" xr:uid="{00000000-0005-0000-0000-000016150000}"/>
    <cellStyle name="Normal 2 4 5 3 4 9" xfId="4477" xr:uid="{00000000-0005-0000-0000-000017150000}"/>
    <cellStyle name="Normal 2 4 5 3 4 9 2" xfId="22283" xr:uid="{00000000-0005-0000-0000-000018150000}"/>
    <cellStyle name="Normal 2 4 5 4" xfId="4478" xr:uid="{00000000-0005-0000-0000-000019150000}"/>
    <cellStyle name="Normal 2 4 5 5" xfId="4479" xr:uid="{00000000-0005-0000-0000-00001A150000}"/>
    <cellStyle name="Normal 2 4 5 6" xfId="4480" xr:uid="{00000000-0005-0000-0000-00001B150000}"/>
    <cellStyle name="Normal 2 4 5 7" xfId="4481" xr:uid="{00000000-0005-0000-0000-00001C150000}"/>
    <cellStyle name="Normal 2 4 5 7 2" xfId="22284" xr:uid="{00000000-0005-0000-0000-00001D150000}"/>
    <cellStyle name="Normal 2 4 5 8" xfId="4482" xr:uid="{00000000-0005-0000-0000-00001E150000}"/>
    <cellStyle name="Normal 2 4 5 8 2" xfId="22285" xr:uid="{00000000-0005-0000-0000-00001F150000}"/>
    <cellStyle name="Normal 2 4 5 9" xfId="4483" xr:uid="{00000000-0005-0000-0000-000020150000}"/>
    <cellStyle name="Normal 2 4 5 9 2" xfId="22286" xr:uid="{00000000-0005-0000-0000-000021150000}"/>
    <cellStyle name="Normal 2 4 6" xfId="4484" xr:uid="{00000000-0005-0000-0000-000022150000}"/>
    <cellStyle name="Normal 2 4 7" xfId="4485" xr:uid="{00000000-0005-0000-0000-000023150000}"/>
    <cellStyle name="Normal 2 4 8" xfId="4486" xr:uid="{00000000-0005-0000-0000-000024150000}"/>
    <cellStyle name="Normal 2 4 9" xfId="4487" xr:uid="{00000000-0005-0000-0000-000025150000}"/>
    <cellStyle name="Normal 2 40" xfId="4488" xr:uid="{00000000-0005-0000-0000-000026150000}"/>
    <cellStyle name="Normal 2 41" xfId="4489" xr:uid="{00000000-0005-0000-0000-000027150000}"/>
    <cellStyle name="Normal 2 42" xfId="4490" xr:uid="{00000000-0005-0000-0000-000028150000}"/>
    <cellStyle name="Normal 2 43" xfId="4491" xr:uid="{00000000-0005-0000-0000-000029150000}"/>
    <cellStyle name="Normal 2 44" xfId="4492" xr:uid="{00000000-0005-0000-0000-00002A150000}"/>
    <cellStyle name="Normal 2 45" xfId="4493" xr:uid="{00000000-0005-0000-0000-00002B150000}"/>
    <cellStyle name="Normal 2 46" xfId="4494" xr:uid="{00000000-0005-0000-0000-00002C150000}"/>
    <cellStyle name="Normal 2 47" xfId="4495" xr:uid="{00000000-0005-0000-0000-00002D150000}"/>
    <cellStyle name="Normal 2 48" xfId="4496" xr:uid="{00000000-0005-0000-0000-00002E150000}"/>
    <cellStyle name="Normal 2 49" xfId="4497" xr:uid="{00000000-0005-0000-0000-00002F150000}"/>
    <cellStyle name="Normal 2 49 10" xfId="4498" xr:uid="{00000000-0005-0000-0000-000030150000}"/>
    <cellStyle name="Normal 2 49 10 10" xfId="4499" xr:uid="{00000000-0005-0000-0000-000031150000}"/>
    <cellStyle name="Normal 2 49 10 10 2" xfId="22289" xr:uid="{00000000-0005-0000-0000-000032150000}"/>
    <cellStyle name="Normal 2 49 10 11" xfId="4500" xr:uid="{00000000-0005-0000-0000-000033150000}"/>
    <cellStyle name="Normal 2 49 10 11 2" xfId="22290" xr:uid="{00000000-0005-0000-0000-000034150000}"/>
    <cellStyle name="Normal 2 49 10 12" xfId="4501" xr:uid="{00000000-0005-0000-0000-000035150000}"/>
    <cellStyle name="Normal 2 49 10 12 2" xfId="22291" xr:uid="{00000000-0005-0000-0000-000036150000}"/>
    <cellStyle name="Normal 2 49 10 13" xfId="4502" xr:uid="{00000000-0005-0000-0000-000037150000}"/>
    <cellStyle name="Normal 2 49 10 13 2" xfId="22292" xr:uid="{00000000-0005-0000-0000-000038150000}"/>
    <cellStyle name="Normal 2 49 10 14" xfId="4503" xr:uid="{00000000-0005-0000-0000-000039150000}"/>
    <cellStyle name="Normal 2 49 10 14 2" xfId="22293" xr:uid="{00000000-0005-0000-0000-00003A150000}"/>
    <cellStyle name="Normal 2 49 10 15" xfId="22288" xr:uid="{00000000-0005-0000-0000-00003B150000}"/>
    <cellStyle name="Normal 2 49 10 2" xfId="4504" xr:uid="{00000000-0005-0000-0000-00003C150000}"/>
    <cellStyle name="Normal 2 49 10 2 2" xfId="22294" xr:uid="{00000000-0005-0000-0000-00003D150000}"/>
    <cellStyle name="Normal 2 49 10 3" xfId="4505" xr:uid="{00000000-0005-0000-0000-00003E150000}"/>
    <cellStyle name="Normal 2 49 10 3 2" xfId="22295" xr:uid="{00000000-0005-0000-0000-00003F150000}"/>
    <cellStyle name="Normal 2 49 10 4" xfId="4506" xr:uid="{00000000-0005-0000-0000-000040150000}"/>
    <cellStyle name="Normal 2 49 10 4 2" xfId="22296" xr:uid="{00000000-0005-0000-0000-000041150000}"/>
    <cellStyle name="Normal 2 49 10 5" xfId="4507" xr:uid="{00000000-0005-0000-0000-000042150000}"/>
    <cellStyle name="Normal 2 49 10 5 2" xfId="22297" xr:uid="{00000000-0005-0000-0000-000043150000}"/>
    <cellStyle name="Normal 2 49 10 6" xfId="4508" xr:uid="{00000000-0005-0000-0000-000044150000}"/>
    <cellStyle name="Normal 2 49 10 6 2" xfId="22298" xr:uid="{00000000-0005-0000-0000-000045150000}"/>
    <cellStyle name="Normal 2 49 10 7" xfId="4509" xr:uid="{00000000-0005-0000-0000-000046150000}"/>
    <cellStyle name="Normal 2 49 10 7 2" xfId="22299" xr:uid="{00000000-0005-0000-0000-000047150000}"/>
    <cellStyle name="Normal 2 49 10 8" xfId="4510" xr:uid="{00000000-0005-0000-0000-000048150000}"/>
    <cellStyle name="Normal 2 49 10 8 2" xfId="22300" xr:uid="{00000000-0005-0000-0000-000049150000}"/>
    <cellStyle name="Normal 2 49 10 9" xfId="4511" xr:uid="{00000000-0005-0000-0000-00004A150000}"/>
    <cellStyle name="Normal 2 49 10 9 2" xfId="22301" xr:uid="{00000000-0005-0000-0000-00004B150000}"/>
    <cellStyle name="Normal 2 49 11" xfId="4512" xr:uid="{00000000-0005-0000-0000-00004C150000}"/>
    <cellStyle name="Normal 2 49 11 2" xfId="22302" xr:uid="{00000000-0005-0000-0000-00004D150000}"/>
    <cellStyle name="Normal 2 49 12" xfId="4513" xr:uid="{00000000-0005-0000-0000-00004E150000}"/>
    <cellStyle name="Normal 2 49 12 2" xfId="22303" xr:uid="{00000000-0005-0000-0000-00004F150000}"/>
    <cellStyle name="Normal 2 49 13" xfId="4514" xr:uid="{00000000-0005-0000-0000-000050150000}"/>
    <cellStyle name="Normal 2 49 13 2" xfId="22304" xr:uid="{00000000-0005-0000-0000-000051150000}"/>
    <cellStyle name="Normal 2 49 14" xfId="4515" xr:uid="{00000000-0005-0000-0000-000052150000}"/>
    <cellStyle name="Normal 2 49 14 2" xfId="22305" xr:uid="{00000000-0005-0000-0000-000053150000}"/>
    <cellStyle name="Normal 2 49 15" xfId="4516" xr:uid="{00000000-0005-0000-0000-000054150000}"/>
    <cellStyle name="Normal 2 49 15 2" xfId="22306" xr:uid="{00000000-0005-0000-0000-000055150000}"/>
    <cellStyle name="Normal 2 49 16" xfId="4517" xr:uid="{00000000-0005-0000-0000-000056150000}"/>
    <cellStyle name="Normal 2 49 16 2" xfId="22307" xr:uid="{00000000-0005-0000-0000-000057150000}"/>
    <cellStyle name="Normal 2 49 17" xfId="4518" xr:uid="{00000000-0005-0000-0000-000058150000}"/>
    <cellStyle name="Normal 2 49 17 2" xfId="22308" xr:uid="{00000000-0005-0000-0000-000059150000}"/>
    <cellStyle name="Normal 2 49 18" xfId="4519" xr:uid="{00000000-0005-0000-0000-00005A150000}"/>
    <cellStyle name="Normal 2 49 18 2" xfId="22309" xr:uid="{00000000-0005-0000-0000-00005B150000}"/>
    <cellStyle name="Normal 2 49 19" xfId="4520" xr:uid="{00000000-0005-0000-0000-00005C150000}"/>
    <cellStyle name="Normal 2 49 19 2" xfId="22310" xr:uid="{00000000-0005-0000-0000-00005D150000}"/>
    <cellStyle name="Normal 2 49 2" xfId="4521" xr:uid="{00000000-0005-0000-0000-00005E150000}"/>
    <cellStyle name="Normal 2 49 2 10" xfId="4522" xr:uid="{00000000-0005-0000-0000-00005F150000}"/>
    <cellStyle name="Normal 2 49 2 10 2" xfId="22312" xr:uid="{00000000-0005-0000-0000-000060150000}"/>
    <cellStyle name="Normal 2 49 2 11" xfId="4523" xr:uid="{00000000-0005-0000-0000-000061150000}"/>
    <cellStyle name="Normal 2 49 2 11 2" xfId="22313" xr:uid="{00000000-0005-0000-0000-000062150000}"/>
    <cellStyle name="Normal 2 49 2 12" xfId="4524" xr:uid="{00000000-0005-0000-0000-000063150000}"/>
    <cellStyle name="Normal 2 49 2 12 2" xfId="22314" xr:uid="{00000000-0005-0000-0000-000064150000}"/>
    <cellStyle name="Normal 2 49 2 13" xfId="4525" xr:uid="{00000000-0005-0000-0000-000065150000}"/>
    <cellStyle name="Normal 2 49 2 13 2" xfId="22315" xr:uid="{00000000-0005-0000-0000-000066150000}"/>
    <cellStyle name="Normal 2 49 2 14" xfId="4526" xr:uid="{00000000-0005-0000-0000-000067150000}"/>
    <cellStyle name="Normal 2 49 2 14 2" xfId="22316" xr:uid="{00000000-0005-0000-0000-000068150000}"/>
    <cellStyle name="Normal 2 49 2 15" xfId="4527" xr:uid="{00000000-0005-0000-0000-000069150000}"/>
    <cellStyle name="Normal 2 49 2 15 2" xfId="22317" xr:uid="{00000000-0005-0000-0000-00006A150000}"/>
    <cellStyle name="Normal 2 49 2 16" xfId="22311" xr:uid="{00000000-0005-0000-0000-00006B150000}"/>
    <cellStyle name="Normal 2 49 2 2" xfId="4528" xr:uid="{00000000-0005-0000-0000-00006C150000}"/>
    <cellStyle name="Normal 2 49 2 2 10" xfId="4529" xr:uid="{00000000-0005-0000-0000-00006D150000}"/>
    <cellStyle name="Normal 2 49 2 2 10 2" xfId="22319" xr:uid="{00000000-0005-0000-0000-00006E150000}"/>
    <cellStyle name="Normal 2 49 2 2 11" xfId="4530" xr:uid="{00000000-0005-0000-0000-00006F150000}"/>
    <cellStyle name="Normal 2 49 2 2 11 2" xfId="22320" xr:uid="{00000000-0005-0000-0000-000070150000}"/>
    <cellStyle name="Normal 2 49 2 2 12" xfId="4531" xr:uid="{00000000-0005-0000-0000-000071150000}"/>
    <cellStyle name="Normal 2 49 2 2 12 2" xfId="22321" xr:uid="{00000000-0005-0000-0000-000072150000}"/>
    <cellStyle name="Normal 2 49 2 2 13" xfId="4532" xr:uid="{00000000-0005-0000-0000-000073150000}"/>
    <cellStyle name="Normal 2 49 2 2 13 2" xfId="22322" xr:uid="{00000000-0005-0000-0000-000074150000}"/>
    <cellStyle name="Normal 2 49 2 2 14" xfId="4533" xr:uid="{00000000-0005-0000-0000-000075150000}"/>
    <cellStyle name="Normal 2 49 2 2 14 2" xfId="22323" xr:uid="{00000000-0005-0000-0000-000076150000}"/>
    <cellStyle name="Normal 2 49 2 2 15" xfId="22318" xr:uid="{00000000-0005-0000-0000-000077150000}"/>
    <cellStyle name="Normal 2 49 2 2 2" xfId="4534" xr:uid="{00000000-0005-0000-0000-000078150000}"/>
    <cellStyle name="Normal 2 49 2 2 2 2" xfId="22324" xr:uid="{00000000-0005-0000-0000-000079150000}"/>
    <cellStyle name="Normal 2 49 2 2 3" xfId="4535" xr:uid="{00000000-0005-0000-0000-00007A150000}"/>
    <cellStyle name="Normal 2 49 2 2 3 2" xfId="22325" xr:uid="{00000000-0005-0000-0000-00007B150000}"/>
    <cellStyle name="Normal 2 49 2 2 4" xfId="4536" xr:uid="{00000000-0005-0000-0000-00007C150000}"/>
    <cellStyle name="Normal 2 49 2 2 4 2" xfId="22326" xr:uid="{00000000-0005-0000-0000-00007D150000}"/>
    <cellStyle name="Normal 2 49 2 2 5" xfId="4537" xr:uid="{00000000-0005-0000-0000-00007E150000}"/>
    <cellStyle name="Normal 2 49 2 2 5 2" xfId="22327" xr:uid="{00000000-0005-0000-0000-00007F150000}"/>
    <cellStyle name="Normal 2 49 2 2 6" xfId="4538" xr:uid="{00000000-0005-0000-0000-000080150000}"/>
    <cellStyle name="Normal 2 49 2 2 6 2" xfId="22328" xr:uid="{00000000-0005-0000-0000-000081150000}"/>
    <cellStyle name="Normal 2 49 2 2 7" xfId="4539" xr:uid="{00000000-0005-0000-0000-000082150000}"/>
    <cellStyle name="Normal 2 49 2 2 7 2" xfId="22329" xr:uid="{00000000-0005-0000-0000-000083150000}"/>
    <cellStyle name="Normal 2 49 2 2 8" xfId="4540" xr:uid="{00000000-0005-0000-0000-000084150000}"/>
    <cellStyle name="Normal 2 49 2 2 8 2" xfId="22330" xr:uid="{00000000-0005-0000-0000-000085150000}"/>
    <cellStyle name="Normal 2 49 2 2 9" xfId="4541" xr:uid="{00000000-0005-0000-0000-000086150000}"/>
    <cellStyle name="Normal 2 49 2 2 9 2" xfId="22331" xr:uid="{00000000-0005-0000-0000-000087150000}"/>
    <cellStyle name="Normal 2 49 2 3" xfId="4542" xr:uid="{00000000-0005-0000-0000-000088150000}"/>
    <cellStyle name="Normal 2 49 2 3 2" xfId="22332" xr:uid="{00000000-0005-0000-0000-000089150000}"/>
    <cellStyle name="Normal 2 49 2 4" xfId="4543" xr:uid="{00000000-0005-0000-0000-00008A150000}"/>
    <cellStyle name="Normal 2 49 2 4 2" xfId="22333" xr:uid="{00000000-0005-0000-0000-00008B150000}"/>
    <cellStyle name="Normal 2 49 2 5" xfId="4544" xr:uid="{00000000-0005-0000-0000-00008C150000}"/>
    <cellStyle name="Normal 2 49 2 5 2" xfId="22334" xr:uid="{00000000-0005-0000-0000-00008D150000}"/>
    <cellStyle name="Normal 2 49 2 6" xfId="4545" xr:uid="{00000000-0005-0000-0000-00008E150000}"/>
    <cellStyle name="Normal 2 49 2 6 2" xfId="22335" xr:uid="{00000000-0005-0000-0000-00008F150000}"/>
    <cellStyle name="Normal 2 49 2 7" xfId="4546" xr:uid="{00000000-0005-0000-0000-000090150000}"/>
    <cellStyle name="Normal 2 49 2 7 2" xfId="22336" xr:uid="{00000000-0005-0000-0000-000091150000}"/>
    <cellStyle name="Normal 2 49 2 8" xfId="4547" xr:uid="{00000000-0005-0000-0000-000092150000}"/>
    <cellStyle name="Normal 2 49 2 8 2" xfId="22337" xr:uid="{00000000-0005-0000-0000-000093150000}"/>
    <cellStyle name="Normal 2 49 2 9" xfId="4548" xr:uid="{00000000-0005-0000-0000-000094150000}"/>
    <cellStyle name="Normal 2 49 2 9 2" xfId="22338" xr:uid="{00000000-0005-0000-0000-000095150000}"/>
    <cellStyle name="Normal 2 49 20" xfId="4549" xr:uid="{00000000-0005-0000-0000-000096150000}"/>
    <cellStyle name="Normal 2 49 20 2" xfId="22339" xr:uid="{00000000-0005-0000-0000-000097150000}"/>
    <cellStyle name="Normal 2 49 21" xfId="4550" xr:uid="{00000000-0005-0000-0000-000098150000}"/>
    <cellStyle name="Normal 2 49 21 2" xfId="22340" xr:uid="{00000000-0005-0000-0000-000099150000}"/>
    <cellStyle name="Normal 2 49 22" xfId="4551" xr:uid="{00000000-0005-0000-0000-00009A150000}"/>
    <cellStyle name="Normal 2 49 22 2" xfId="22341" xr:uid="{00000000-0005-0000-0000-00009B150000}"/>
    <cellStyle name="Normal 2 49 23" xfId="4552" xr:uid="{00000000-0005-0000-0000-00009C150000}"/>
    <cellStyle name="Normal 2 49 23 2" xfId="22342" xr:uid="{00000000-0005-0000-0000-00009D150000}"/>
    <cellStyle name="Normal 2 49 24" xfId="22287" xr:uid="{00000000-0005-0000-0000-00009E150000}"/>
    <cellStyle name="Normal 2 49 3" xfId="4553" xr:uid="{00000000-0005-0000-0000-00009F150000}"/>
    <cellStyle name="Normal 2 49 3 10" xfId="4554" xr:uid="{00000000-0005-0000-0000-0000A0150000}"/>
    <cellStyle name="Normal 2 49 3 10 2" xfId="22344" xr:uid="{00000000-0005-0000-0000-0000A1150000}"/>
    <cellStyle name="Normal 2 49 3 11" xfId="4555" xr:uid="{00000000-0005-0000-0000-0000A2150000}"/>
    <cellStyle name="Normal 2 49 3 11 2" xfId="22345" xr:uid="{00000000-0005-0000-0000-0000A3150000}"/>
    <cellStyle name="Normal 2 49 3 12" xfId="4556" xr:uid="{00000000-0005-0000-0000-0000A4150000}"/>
    <cellStyle name="Normal 2 49 3 12 2" xfId="22346" xr:uid="{00000000-0005-0000-0000-0000A5150000}"/>
    <cellStyle name="Normal 2 49 3 13" xfId="4557" xr:uid="{00000000-0005-0000-0000-0000A6150000}"/>
    <cellStyle name="Normal 2 49 3 13 2" xfId="22347" xr:uid="{00000000-0005-0000-0000-0000A7150000}"/>
    <cellStyle name="Normal 2 49 3 14" xfId="4558" xr:uid="{00000000-0005-0000-0000-0000A8150000}"/>
    <cellStyle name="Normal 2 49 3 14 2" xfId="22348" xr:uid="{00000000-0005-0000-0000-0000A9150000}"/>
    <cellStyle name="Normal 2 49 3 15" xfId="4559" xr:uid="{00000000-0005-0000-0000-0000AA150000}"/>
    <cellStyle name="Normal 2 49 3 15 2" xfId="22349" xr:uid="{00000000-0005-0000-0000-0000AB150000}"/>
    <cellStyle name="Normal 2 49 3 16" xfId="22343" xr:uid="{00000000-0005-0000-0000-0000AC150000}"/>
    <cellStyle name="Normal 2 49 3 2" xfId="4560" xr:uid="{00000000-0005-0000-0000-0000AD150000}"/>
    <cellStyle name="Normal 2 49 3 2 10" xfId="4561" xr:uid="{00000000-0005-0000-0000-0000AE150000}"/>
    <cellStyle name="Normal 2 49 3 2 10 2" xfId="22351" xr:uid="{00000000-0005-0000-0000-0000AF150000}"/>
    <cellStyle name="Normal 2 49 3 2 11" xfId="4562" xr:uid="{00000000-0005-0000-0000-0000B0150000}"/>
    <cellStyle name="Normal 2 49 3 2 11 2" xfId="22352" xr:uid="{00000000-0005-0000-0000-0000B1150000}"/>
    <cellStyle name="Normal 2 49 3 2 12" xfId="4563" xr:uid="{00000000-0005-0000-0000-0000B2150000}"/>
    <cellStyle name="Normal 2 49 3 2 12 2" xfId="22353" xr:uid="{00000000-0005-0000-0000-0000B3150000}"/>
    <cellStyle name="Normal 2 49 3 2 13" xfId="4564" xr:uid="{00000000-0005-0000-0000-0000B4150000}"/>
    <cellStyle name="Normal 2 49 3 2 13 2" xfId="22354" xr:uid="{00000000-0005-0000-0000-0000B5150000}"/>
    <cellStyle name="Normal 2 49 3 2 14" xfId="4565" xr:uid="{00000000-0005-0000-0000-0000B6150000}"/>
    <cellStyle name="Normal 2 49 3 2 14 2" xfId="22355" xr:uid="{00000000-0005-0000-0000-0000B7150000}"/>
    <cellStyle name="Normal 2 49 3 2 15" xfId="22350" xr:uid="{00000000-0005-0000-0000-0000B8150000}"/>
    <cellStyle name="Normal 2 49 3 2 2" xfId="4566" xr:uid="{00000000-0005-0000-0000-0000B9150000}"/>
    <cellStyle name="Normal 2 49 3 2 2 2" xfId="22356" xr:uid="{00000000-0005-0000-0000-0000BA150000}"/>
    <cellStyle name="Normal 2 49 3 2 3" xfId="4567" xr:uid="{00000000-0005-0000-0000-0000BB150000}"/>
    <cellStyle name="Normal 2 49 3 2 3 2" xfId="22357" xr:uid="{00000000-0005-0000-0000-0000BC150000}"/>
    <cellStyle name="Normal 2 49 3 2 4" xfId="4568" xr:uid="{00000000-0005-0000-0000-0000BD150000}"/>
    <cellStyle name="Normal 2 49 3 2 4 2" xfId="22358" xr:uid="{00000000-0005-0000-0000-0000BE150000}"/>
    <cellStyle name="Normal 2 49 3 2 5" xfId="4569" xr:uid="{00000000-0005-0000-0000-0000BF150000}"/>
    <cellStyle name="Normal 2 49 3 2 5 2" xfId="22359" xr:uid="{00000000-0005-0000-0000-0000C0150000}"/>
    <cellStyle name="Normal 2 49 3 2 6" xfId="4570" xr:uid="{00000000-0005-0000-0000-0000C1150000}"/>
    <cellStyle name="Normal 2 49 3 2 6 2" xfId="22360" xr:uid="{00000000-0005-0000-0000-0000C2150000}"/>
    <cellStyle name="Normal 2 49 3 2 7" xfId="4571" xr:uid="{00000000-0005-0000-0000-0000C3150000}"/>
    <cellStyle name="Normal 2 49 3 2 7 2" xfId="22361" xr:uid="{00000000-0005-0000-0000-0000C4150000}"/>
    <cellStyle name="Normal 2 49 3 2 8" xfId="4572" xr:uid="{00000000-0005-0000-0000-0000C5150000}"/>
    <cellStyle name="Normal 2 49 3 2 8 2" xfId="22362" xr:uid="{00000000-0005-0000-0000-0000C6150000}"/>
    <cellStyle name="Normal 2 49 3 2 9" xfId="4573" xr:uid="{00000000-0005-0000-0000-0000C7150000}"/>
    <cellStyle name="Normal 2 49 3 2 9 2" xfId="22363" xr:uid="{00000000-0005-0000-0000-0000C8150000}"/>
    <cellStyle name="Normal 2 49 3 3" xfId="4574" xr:uid="{00000000-0005-0000-0000-0000C9150000}"/>
    <cellStyle name="Normal 2 49 3 3 2" xfId="22364" xr:uid="{00000000-0005-0000-0000-0000CA150000}"/>
    <cellStyle name="Normal 2 49 3 4" xfId="4575" xr:uid="{00000000-0005-0000-0000-0000CB150000}"/>
    <cellStyle name="Normal 2 49 3 4 2" xfId="22365" xr:uid="{00000000-0005-0000-0000-0000CC150000}"/>
    <cellStyle name="Normal 2 49 3 5" xfId="4576" xr:uid="{00000000-0005-0000-0000-0000CD150000}"/>
    <cellStyle name="Normal 2 49 3 5 2" xfId="22366" xr:uid="{00000000-0005-0000-0000-0000CE150000}"/>
    <cellStyle name="Normal 2 49 3 6" xfId="4577" xr:uid="{00000000-0005-0000-0000-0000CF150000}"/>
    <cellStyle name="Normal 2 49 3 6 2" xfId="22367" xr:uid="{00000000-0005-0000-0000-0000D0150000}"/>
    <cellStyle name="Normal 2 49 3 7" xfId="4578" xr:uid="{00000000-0005-0000-0000-0000D1150000}"/>
    <cellStyle name="Normal 2 49 3 7 2" xfId="22368" xr:uid="{00000000-0005-0000-0000-0000D2150000}"/>
    <cellStyle name="Normal 2 49 3 8" xfId="4579" xr:uid="{00000000-0005-0000-0000-0000D3150000}"/>
    <cellStyle name="Normal 2 49 3 8 2" xfId="22369" xr:uid="{00000000-0005-0000-0000-0000D4150000}"/>
    <cellStyle name="Normal 2 49 3 9" xfId="4580" xr:uid="{00000000-0005-0000-0000-0000D5150000}"/>
    <cellStyle name="Normal 2 49 3 9 2" xfId="22370" xr:uid="{00000000-0005-0000-0000-0000D6150000}"/>
    <cellStyle name="Normal 2 49 4" xfId="4581" xr:uid="{00000000-0005-0000-0000-0000D7150000}"/>
    <cellStyle name="Normal 2 49 4 10" xfId="4582" xr:uid="{00000000-0005-0000-0000-0000D8150000}"/>
    <cellStyle name="Normal 2 49 4 10 2" xfId="22372" xr:uid="{00000000-0005-0000-0000-0000D9150000}"/>
    <cellStyle name="Normal 2 49 4 11" xfId="4583" xr:uid="{00000000-0005-0000-0000-0000DA150000}"/>
    <cellStyle name="Normal 2 49 4 11 2" xfId="22373" xr:uid="{00000000-0005-0000-0000-0000DB150000}"/>
    <cellStyle name="Normal 2 49 4 12" xfId="4584" xr:uid="{00000000-0005-0000-0000-0000DC150000}"/>
    <cellStyle name="Normal 2 49 4 12 2" xfId="22374" xr:uid="{00000000-0005-0000-0000-0000DD150000}"/>
    <cellStyle name="Normal 2 49 4 13" xfId="4585" xr:uid="{00000000-0005-0000-0000-0000DE150000}"/>
    <cellStyle name="Normal 2 49 4 13 2" xfId="22375" xr:uid="{00000000-0005-0000-0000-0000DF150000}"/>
    <cellStyle name="Normal 2 49 4 14" xfId="4586" xr:uid="{00000000-0005-0000-0000-0000E0150000}"/>
    <cellStyle name="Normal 2 49 4 14 2" xfId="22376" xr:uid="{00000000-0005-0000-0000-0000E1150000}"/>
    <cellStyle name="Normal 2 49 4 15" xfId="4587" xr:uid="{00000000-0005-0000-0000-0000E2150000}"/>
    <cellStyle name="Normal 2 49 4 15 2" xfId="22377" xr:uid="{00000000-0005-0000-0000-0000E3150000}"/>
    <cellStyle name="Normal 2 49 4 16" xfId="22371" xr:uid="{00000000-0005-0000-0000-0000E4150000}"/>
    <cellStyle name="Normal 2 49 4 2" xfId="4588" xr:uid="{00000000-0005-0000-0000-0000E5150000}"/>
    <cellStyle name="Normal 2 49 4 2 10" xfId="4589" xr:uid="{00000000-0005-0000-0000-0000E6150000}"/>
    <cellStyle name="Normal 2 49 4 2 10 2" xfId="22379" xr:uid="{00000000-0005-0000-0000-0000E7150000}"/>
    <cellStyle name="Normal 2 49 4 2 11" xfId="4590" xr:uid="{00000000-0005-0000-0000-0000E8150000}"/>
    <cellStyle name="Normal 2 49 4 2 11 2" xfId="22380" xr:uid="{00000000-0005-0000-0000-0000E9150000}"/>
    <cellStyle name="Normal 2 49 4 2 12" xfId="4591" xr:uid="{00000000-0005-0000-0000-0000EA150000}"/>
    <cellStyle name="Normal 2 49 4 2 12 2" xfId="22381" xr:uid="{00000000-0005-0000-0000-0000EB150000}"/>
    <cellStyle name="Normal 2 49 4 2 13" xfId="4592" xr:uid="{00000000-0005-0000-0000-0000EC150000}"/>
    <cellStyle name="Normal 2 49 4 2 13 2" xfId="22382" xr:uid="{00000000-0005-0000-0000-0000ED150000}"/>
    <cellStyle name="Normal 2 49 4 2 14" xfId="4593" xr:uid="{00000000-0005-0000-0000-0000EE150000}"/>
    <cellStyle name="Normal 2 49 4 2 14 2" xfId="22383" xr:uid="{00000000-0005-0000-0000-0000EF150000}"/>
    <cellStyle name="Normal 2 49 4 2 15" xfId="22378" xr:uid="{00000000-0005-0000-0000-0000F0150000}"/>
    <cellStyle name="Normal 2 49 4 2 2" xfId="4594" xr:uid="{00000000-0005-0000-0000-0000F1150000}"/>
    <cellStyle name="Normal 2 49 4 2 2 2" xfId="22384" xr:uid="{00000000-0005-0000-0000-0000F2150000}"/>
    <cellStyle name="Normal 2 49 4 2 3" xfId="4595" xr:uid="{00000000-0005-0000-0000-0000F3150000}"/>
    <cellStyle name="Normal 2 49 4 2 3 2" xfId="22385" xr:uid="{00000000-0005-0000-0000-0000F4150000}"/>
    <cellStyle name="Normal 2 49 4 2 4" xfId="4596" xr:uid="{00000000-0005-0000-0000-0000F5150000}"/>
    <cellStyle name="Normal 2 49 4 2 4 2" xfId="22386" xr:uid="{00000000-0005-0000-0000-0000F6150000}"/>
    <cellStyle name="Normal 2 49 4 2 5" xfId="4597" xr:uid="{00000000-0005-0000-0000-0000F7150000}"/>
    <cellStyle name="Normal 2 49 4 2 5 2" xfId="22387" xr:uid="{00000000-0005-0000-0000-0000F8150000}"/>
    <cellStyle name="Normal 2 49 4 2 6" xfId="4598" xr:uid="{00000000-0005-0000-0000-0000F9150000}"/>
    <cellStyle name="Normal 2 49 4 2 6 2" xfId="22388" xr:uid="{00000000-0005-0000-0000-0000FA150000}"/>
    <cellStyle name="Normal 2 49 4 2 7" xfId="4599" xr:uid="{00000000-0005-0000-0000-0000FB150000}"/>
    <cellStyle name="Normal 2 49 4 2 7 2" xfId="22389" xr:uid="{00000000-0005-0000-0000-0000FC150000}"/>
    <cellStyle name="Normal 2 49 4 2 8" xfId="4600" xr:uid="{00000000-0005-0000-0000-0000FD150000}"/>
    <cellStyle name="Normal 2 49 4 2 8 2" xfId="22390" xr:uid="{00000000-0005-0000-0000-0000FE150000}"/>
    <cellStyle name="Normal 2 49 4 2 9" xfId="4601" xr:uid="{00000000-0005-0000-0000-0000FF150000}"/>
    <cellStyle name="Normal 2 49 4 2 9 2" xfId="22391" xr:uid="{00000000-0005-0000-0000-000000160000}"/>
    <cellStyle name="Normal 2 49 4 3" xfId="4602" xr:uid="{00000000-0005-0000-0000-000001160000}"/>
    <cellStyle name="Normal 2 49 4 3 2" xfId="22392" xr:uid="{00000000-0005-0000-0000-000002160000}"/>
    <cellStyle name="Normal 2 49 4 4" xfId="4603" xr:uid="{00000000-0005-0000-0000-000003160000}"/>
    <cellStyle name="Normal 2 49 4 4 2" xfId="22393" xr:uid="{00000000-0005-0000-0000-000004160000}"/>
    <cellStyle name="Normal 2 49 4 5" xfId="4604" xr:uid="{00000000-0005-0000-0000-000005160000}"/>
    <cellStyle name="Normal 2 49 4 5 2" xfId="22394" xr:uid="{00000000-0005-0000-0000-000006160000}"/>
    <cellStyle name="Normal 2 49 4 6" xfId="4605" xr:uid="{00000000-0005-0000-0000-000007160000}"/>
    <cellStyle name="Normal 2 49 4 6 2" xfId="22395" xr:uid="{00000000-0005-0000-0000-000008160000}"/>
    <cellStyle name="Normal 2 49 4 7" xfId="4606" xr:uid="{00000000-0005-0000-0000-000009160000}"/>
    <cellStyle name="Normal 2 49 4 7 2" xfId="22396" xr:uid="{00000000-0005-0000-0000-00000A160000}"/>
    <cellStyle name="Normal 2 49 4 8" xfId="4607" xr:uid="{00000000-0005-0000-0000-00000B160000}"/>
    <cellStyle name="Normal 2 49 4 8 2" xfId="22397" xr:uid="{00000000-0005-0000-0000-00000C160000}"/>
    <cellStyle name="Normal 2 49 4 9" xfId="4608" xr:uid="{00000000-0005-0000-0000-00000D160000}"/>
    <cellStyle name="Normal 2 49 4 9 2" xfId="22398" xr:uid="{00000000-0005-0000-0000-00000E160000}"/>
    <cellStyle name="Normal 2 49 5" xfId="4609" xr:uid="{00000000-0005-0000-0000-00000F160000}"/>
    <cellStyle name="Normal 2 49 5 10" xfId="4610" xr:uid="{00000000-0005-0000-0000-000010160000}"/>
    <cellStyle name="Normal 2 49 5 10 2" xfId="22400" xr:uid="{00000000-0005-0000-0000-000011160000}"/>
    <cellStyle name="Normal 2 49 5 11" xfId="4611" xr:uid="{00000000-0005-0000-0000-000012160000}"/>
    <cellStyle name="Normal 2 49 5 11 2" xfId="22401" xr:uid="{00000000-0005-0000-0000-000013160000}"/>
    <cellStyle name="Normal 2 49 5 12" xfId="4612" xr:uid="{00000000-0005-0000-0000-000014160000}"/>
    <cellStyle name="Normal 2 49 5 12 2" xfId="22402" xr:uid="{00000000-0005-0000-0000-000015160000}"/>
    <cellStyle name="Normal 2 49 5 13" xfId="4613" xr:uid="{00000000-0005-0000-0000-000016160000}"/>
    <cellStyle name="Normal 2 49 5 13 2" xfId="22403" xr:uid="{00000000-0005-0000-0000-000017160000}"/>
    <cellStyle name="Normal 2 49 5 14" xfId="4614" xr:uid="{00000000-0005-0000-0000-000018160000}"/>
    <cellStyle name="Normal 2 49 5 14 2" xfId="22404" xr:uid="{00000000-0005-0000-0000-000019160000}"/>
    <cellStyle name="Normal 2 49 5 15" xfId="22399" xr:uid="{00000000-0005-0000-0000-00001A160000}"/>
    <cellStyle name="Normal 2 49 5 2" xfId="4615" xr:uid="{00000000-0005-0000-0000-00001B160000}"/>
    <cellStyle name="Normal 2 49 5 2 2" xfId="22405" xr:uid="{00000000-0005-0000-0000-00001C160000}"/>
    <cellStyle name="Normal 2 49 5 3" xfId="4616" xr:uid="{00000000-0005-0000-0000-00001D160000}"/>
    <cellStyle name="Normal 2 49 5 3 2" xfId="22406" xr:uid="{00000000-0005-0000-0000-00001E160000}"/>
    <cellStyle name="Normal 2 49 5 4" xfId="4617" xr:uid="{00000000-0005-0000-0000-00001F160000}"/>
    <cellStyle name="Normal 2 49 5 4 2" xfId="22407" xr:uid="{00000000-0005-0000-0000-000020160000}"/>
    <cellStyle name="Normal 2 49 5 5" xfId="4618" xr:uid="{00000000-0005-0000-0000-000021160000}"/>
    <cellStyle name="Normal 2 49 5 5 2" xfId="22408" xr:uid="{00000000-0005-0000-0000-000022160000}"/>
    <cellStyle name="Normal 2 49 5 6" xfId="4619" xr:uid="{00000000-0005-0000-0000-000023160000}"/>
    <cellStyle name="Normal 2 49 5 6 2" xfId="22409" xr:uid="{00000000-0005-0000-0000-000024160000}"/>
    <cellStyle name="Normal 2 49 5 7" xfId="4620" xr:uid="{00000000-0005-0000-0000-000025160000}"/>
    <cellStyle name="Normal 2 49 5 7 2" xfId="22410" xr:uid="{00000000-0005-0000-0000-000026160000}"/>
    <cellStyle name="Normal 2 49 5 8" xfId="4621" xr:uid="{00000000-0005-0000-0000-000027160000}"/>
    <cellStyle name="Normal 2 49 5 8 2" xfId="22411" xr:uid="{00000000-0005-0000-0000-000028160000}"/>
    <cellStyle name="Normal 2 49 5 9" xfId="4622" xr:uid="{00000000-0005-0000-0000-000029160000}"/>
    <cellStyle name="Normal 2 49 5 9 2" xfId="22412" xr:uid="{00000000-0005-0000-0000-00002A160000}"/>
    <cellStyle name="Normal 2 49 6" xfId="4623" xr:uid="{00000000-0005-0000-0000-00002B160000}"/>
    <cellStyle name="Normal 2 49 6 10" xfId="4624" xr:uid="{00000000-0005-0000-0000-00002C160000}"/>
    <cellStyle name="Normal 2 49 6 10 2" xfId="22414" xr:uid="{00000000-0005-0000-0000-00002D160000}"/>
    <cellStyle name="Normal 2 49 6 11" xfId="4625" xr:uid="{00000000-0005-0000-0000-00002E160000}"/>
    <cellStyle name="Normal 2 49 6 11 2" xfId="22415" xr:uid="{00000000-0005-0000-0000-00002F160000}"/>
    <cellStyle name="Normal 2 49 6 12" xfId="4626" xr:uid="{00000000-0005-0000-0000-000030160000}"/>
    <cellStyle name="Normal 2 49 6 12 2" xfId="22416" xr:uid="{00000000-0005-0000-0000-000031160000}"/>
    <cellStyle name="Normal 2 49 6 13" xfId="4627" xr:uid="{00000000-0005-0000-0000-000032160000}"/>
    <cellStyle name="Normal 2 49 6 13 2" xfId="22417" xr:uid="{00000000-0005-0000-0000-000033160000}"/>
    <cellStyle name="Normal 2 49 6 14" xfId="4628" xr:uid="{00000000-0005-0000-0000-000034160000}"/>
    <cellStyle name="Normal 2 49 6 14 2" xfId="22418" xr:uid="{00000000-0005-0000-0000-000035160000}"/>
    <cellStyle name="Normal 2 49 6 15" xfId="22413" xr:uid="{00000000-0005-0000-0000-000036160000}"/>
    <cellStyle name="Normal 2 49 6 2" xfId="4629" xr:uid="{00000000-0005-0000-0000-000037160000}"/>
    <cellStyle name="Normal 2 49 6 2 2" xfId="22419" xr:uid="{00000000-0005-0000-0000-000038160000}"/>
    <cellStyle name="Normal 2 49 6 3" xfId="4630" xr:uid="{00000000-0005-0000-0000-000039160000}"/>
    <cellStyle name="Normal 2 49 6 3 2" xfId="22420" xr:uid="{00000000-0005-0000-0000-00003A160000}"/>
    <cellStyle name="Normal 2 49 6 4" xfId="4631" xr:uid="{00000000-0005-0000-0000-00003B160000}"/>
    <cellStyle name="Normal 2 49 6 4 2" xfId="22421" xr:uid="{00000000-0005-0000-0000-00003C160000}"/>
    <cellStyle name="Normal 2 49 6 5" xfId="4632" xr:uid="{00000000-0005-0000-0000-00003D160000}"/>
    <cellStyle name="Normal 2 49 6 5 2" xfId="22422" xr:uid="{00000000-0005-0000-0000-00003E160000}"/>
    <cellStyle name="Normal 2 49 6 6" xfId="4633" xr:uid="{00000000-0005-0000-0000-00003F160000}"/>
    <cellStyle name="Normal 2 49 6 6 2" xfId="22423" xr:uid="{00000000-0005-0000-0000-000040160000}"/>
    <cellStyle name="Normal 2 49 6 7" xfId="4634" xr:uid="{00000000-0005-0000-0000-000041160000}"/>
    <cellStyle name="Normal 2 49 6 7 2" xfId="22424" xr:uid="{00000000-0005-0000-0000-000042160000}"/>
    <cellStyle name="Normal 2 49 6 8" xfId="4635" xr:uid="{00000000-0005-0000-0000-000043160000}"/>
    <cellStyle name="Normal 2 49 6 8 2" xfId="22425" xr:uid="{00000000-0005-0000-0000-000044160000}"/>
    <cellStyle name="Normal 2 49 6 9" xfId="4636" xr:uid="{00000000-0005-0000-0000-000045160000}"/>
    <cellStyle name="Normal 2 49 6 9 2" xfId="22426" xr:uid="{00000000-0005-0000-0000-000046160000}"/>
    <cellStyle name="Normal 2 49 7" xfId="4637" xr:uid="{00000000-0005-0000-0000-000047160000}"/>
    <cellStyle name="Normal 2 49 7 10" xfId="4638" xr:uid="{00000000-0005-0000-0000-000048160000}"/>
    <cellStyle name="Normal 2 49 7 10 2" xfId="22428" xr:uid="{00000000-0005-0000-0000-000049160000}"/>
    <cellStyle name="Normal 2 49 7 11" xfId="4639" xr:uid="{00000000-0005-0000-0000-00004A160000}"/>
    <cellStyle name="Normal 2 49 7 11 2" xfId="22429" xr:uid="{00000000-0005-0000-0000-00004B160000}"/>
    <cellStyle name="Normal 2 49 7 12" xfId="4640" xr:uid="{00000000-0005-0000-0000-00004C160000}"/>
    <cellStyle name="Normal 2 49 7 12 2" xfId="22430" xr:uid="{00000000-0005-0000-0000-00004D160000}"/>
    <cellStyle name="Normal 2 49 7 13" xfId="4641" xr:uid="{00000000-0005-0000-0000-00004E160000}"/>
    <cellStyle name="Normal 2 49 7 13 2" xfId="22431" xr:uid="{00000000-0005-0000-0000-00004F160000}"/>
    <cellStyle name="Normal 2 49 7 14" xfId="4642" xr:uid="{00000000-0005-0000-0000-000050160000}"/>
    <cellStyle name="Normal 2 49 7 14 2" xfId="22432" xr:uid="{00000000-0005-0000-0000-000051160000}"/>
    <cellStyle name="Normal 2 49 7 15" xfId="22427" xr:uid="{00000000-0005-0000-0000-000052160000}"/>
    <cellStyle name="Normal 2 49 7 2" xfId="4643" xr:uid="{00000000-0005-0000-0000-000053160000}"/>
    <cellStyle name="Normal 2 49 7 2 2" xfId="22433" xr:uid="{00000000-0005-0000-0000-000054160000}"/>
    <cellStyle name="Normal 2 49 7 3" xfId="4644" xr:uid="{00000000-0005-0000-0000-000055160000}"/>
    <cellStyle name="Normal 2 49 7 3 2" xfId="22434" xr:uid="{00000000-0005-0000-0000-000056160000}"/>
    <cellStyle name="Normal 2 49 7 4" xfId="4645" xr:uid="{00000000-0005-0000-0000-000057160000}"/>
    <cellStyle name="Normal 2 49 7 4 2" xfId="22435" xr:uid="{00000000-0005-0000-0000-000058160000}"/>
    <cellStyle name="Normal 2 49 7 5" xfId="4646" xr:uid="{00000000-0005-0000-0000-000059160000}"/>
    <cellStyle name="Normal 2 49 7 5 2" xfId="22436" xr:uid="{00000000-0005-0000-0000-00005A160000}"/>
    <cellStyle name="Normal 2 49 7 6" xfId="4647" xr:uid="{00000000-0005-0000-0000-00005B160000}"/>
    <cellStyle name="Normal 2 49 7 6 2" xfId="22437" xr:uid="{00000000-0005-0000-0000-00005C160000}"/>
    <cellStyle name="Normal 2 49 7 7" xfId="4648" xr:uid="{00000000-0005-0000-0000-00005D160000}"/>
    <cellStyle name="Normal 2 49 7 7 2" xfId="22438" xr:uid="{00000000-0005-0000-0000-00005E160000}"/>
    <cellStyle name="Normal 2 49 7 8" xfId="4649" xr:uid="{00000000-0005-0000-0000-00005F160000}"/>
    <cellStyle name="Normal 2 49 7 8 2" xfId="22439" xr:uid="{00000000-0005-0000-0000-000060160000}"/>
    <cellStyle name="Normal 2 49 7 9" xfId="4650" xr:uid="{00000000-0005-0000-0000-000061160000}"/>
    <cellStyle name="Normal 2 49 7 9 2" xfId="22440" xr:uid="{00000000-0005-0000-0000-000062160000}"/>
    <cellStyle name="Normal 2 49 8" xfId="4651" xr:uid="{00000000-0005-0000-0000-000063160000}"/>
    <cellStyle name="Normal 2 49 8 10" xfId="4652" xr:uid="{00000000-0005-0000-0000-000064160000}"/>
    <cellStyle name="Normal 2 49 8 10 2" xfId="22442" xr:uid="{00000000-0005-0000-0000-000065160000}"/>
    <cellStyle name="Normal 2 49 8 11" xfId="4653" xr:uid="{00000000-0005-0000-0000-000066160000}"/>
    <cellStyle name="Normal 2 49 8 11 2" xfId="22443" xr:uid="{00000000-0005-0000-0000-000067160000}"/>
    <cellStyle name="Normal 2 49 8 12" xfId="4654" xr:uid="{00000000-0005-0000-0000-000068160000}"/>
    <cellStyle name="Normal 2 49 8 12 2" xfId="22444" xr:uid="{00000000-0005-0000-0000-000069160000}"/>
    <cellStyle name="Normal 2 49 8 13" xfId="4655" xr:uid="{00000000-0005-0000-0000-00006A160000}"/>
    <cellStyle name="Normal 2 49 8 13 2" xfId="22445" xr:uid="{00000000-0005-0000-0000-00006B160000}"/>
    <cellStyle name="Normal 2 49 8 14" xfId="4656" xr:uid="{00000000-0005-0000-0000-00006C160000}"/>
    <cellStyle name="Normal 2 49 8 14 2" xfId="22446" xr:uid="{00000000-0005-0000-0000-00006D160000}"/>
    <cellStyle name="Normal 2 49 8 15" xfId="22441" xr:uid="{00000000-0005-0000-0000-00006E160000}"/>
    <cellStyle name="Normal 2 49 8 2" xfId="4657" xr:uid="{00000000-0005-0000-0000-00006F160000}"/>
    <cellStyle name="Normal 2 49 8 2 2" xfId="22447" xr:uid="{00000000-0005-0000-0000-000070160000}"/>
    <cellStyle name="Normal 2 49 8 3" xfId="4658" xr:uid="{00000000-0005-0000-0000-000071160000}"/>
    <cellStyle name="Normal 2 49 8 3 2" xfId="22448" xr:uid="{00000000-0005-0000-0000-000072160000}"/>
    <cellStyle name="Normal 2 49 8 4" xfId="4659" xr:uid="{00000000-0005-0000-0000-000073160000}"/>
    <cellStyle name="Normal 2 49 8 4 2" xfId="22449" xr:uid="{00000000-0005-0000-0000-000074160000}"/>
    <cellStyle name="Normal 2 49 8 5" xfId="4660" xr:uid="{00000000-0005-0000-0000-000075160000}"/>
    <cellStyle name="Normal 2 49 8 5 2" xfId="22450" xr:uid="{00000000-0005-0000-0000-000076160000}"/>
    <cellStyle name="Normal 2 49 8 6" xfId="4661" xr:uid="{00000000-0005-0000-0000-000077160000}"/>
    <cellStyle name="Normal 2 49 8 6 2" xfId="22451" xr:uid="{00000000-0005-0000-0000-000078160000}"/>
    <cellStyle name="Normal 2 49 8 7" xfId="4662" xr:uid="{00000000-0005-0000-0000-000079160000}"/>
    <cellStyle name="Normal 2 49 8 7 2" xfId="22452" xr:uid="{00000000-0005-0000-0000-00007A160000}"/>
    <cellStyle name="Normal 2 49 8 8" xfId="4663" xr:uid="{00000000-0005-0000-0000-00007B160000}"/>
    <cellStyle name="Normal 2 49 8 8 2" xfId="22453" xr:uid="{00000000-0005-0000-0000-00007C160000}"/>
    <cellStyle name="Normal 2 49 8 9" xfId="4664" xr:uid="{00000000-0005-0000-0000-00007D160000}"/>
    <cellStyle name="Normal 2 49 8 9 2" xfId="22454" xr:uid="{00000000-0005-0000-0000-00007E160000}"/>
    <cellStyle name="Normal 2 49 9" xfId="4665" xr:uid="{00000000-0005-0000-0000-00007F160000}"/>
    <cellStyle name="Normal 2 49 9 10" xfId="4666" xr:uid="{00000000-0005-0000-0000-000080160000}"/>
    <cellStyle name="Normal 2 49 9 10 2" xfId="22456" xr:uid="{00000000-0005-0000-0000-000081160000}"/>
    <cellStyle name="Normal 2 49 9 11" xfId="4667" xr:uid="{00000000-0005-0000-0000-000082160000}"/>
    <cellStyle name="Normal 2 49 9 11 2" xfId="22457" xr:uid="{00000000-0005-0000-0000-000083160000}"/>
    <cellStyle name="Normal 2 49 9 12" xfId="4668" xr:uid="{00000000-0005-0000-0000-000084160000}"/>
    <cellStyle name="Normal 2 49 9 12 2" xfId="22458" xr:uid="{00000000-0005-0000-0000-000085160000}"/>
    <cellStyle name="Normal 2 49 9 13" xfId="4669" xr:uid="{00000000-0005-0000-0000-000086160000}"/>
    <cellStyle name="Normal 2 49 9 13 2" xfId="22459" xr:uid="{00000000-0005-0000-0000-000087160000}"/>
    <cellStyle name="Normal 2 49 9 14" xfId="4670" xr:uid="{00000000-0005-0000-0000-000088160000}"/>
    <cellStyle name="Normal 2 49 9 14 2" xfId="22460" xr:uid="{00000000-0005-0000-0000-000089160000}"/>
    <cellStyle name="Normal 2 49 9 15" xfId="22455" xr:uid="{00000000-0005-0000-0000-00008A160000}"/>
    <cellStyle name="Normal 2 49 9 2" xfId="4671" xr:uid="{00000000-0005-0000-0000-00008B160000}"/>
    <cellStyle name="Normal 2 49 9 2 2" xfId="22461" xr:uid="{00000000-0005-0000-0000-00008C160000}"/>
    <cellStyle name="Normal 2 49 9 3" xfId="4672" xr:uid="{00000000-0005-0000-0000-00008D160000}"/>
    <cellStyle name="Normal 2 49 9 3 2" xfId="22462" xr:uid="{00000000-0005-0000-0000-00008E160000}"/>
    <cellStyle name="Normal 2 49 9 4" xfId="4673" xr:uid="{00000000-0005-0000-0000-00008F160000}"/>
    <cellStyle name="Normal 2 49 9 4 2" xfId="22463" xr:uid="{00000000-0005-0000-0000-000090160000}"/>
    <cellStyle name="Normal 2 49 9 5" xfId="4674" xr:uid="{00000000-0005-0000-0000-000091160000}"/>
    <cellStyle name="Normal 2 49 9 5 2" xfId="22464" xr:uid="{00000000-0005-0000-0000-000092160000}"/>
    <cellStyle name="Normal 2 49 9 6" xfId="4675" xr:uid="{00000000-0005-0000-0000-000093160000}"/>
    <cellStyle name="Normal 2 49 9 6 2" xfId="22465" xr:uid="{00000000-0005-0000-0000-000094160000}"/>
    <cellStyle name="Normal 2 49 9 7" xfId="4676" xr:uid="{00000000-0005-0000-0000-000095160000}"/>
    <cellStyle name="Normal 2 49 9 7 2" xfId="22466" xr:uid="{00000000-0005-0000-0000-000096160000}"/>
    <cellStyle name="Normal 2 49 9 8" xfId="4677" xr:uid="{00000000-0005-0000-0000-000097160000}"/>
    <cellStyle name="Normal 2 49 9 8 2" xfId="22467" xr:uid="{00000000-0005-0000-0000-000098160000}"/>
    <cellStyle name="Normal 2 49 9 9" xfId="4678" xr:uid="{00000000-0005-0000-0000-000099160000}"/>
    <cellStyle name="Normal 2 49 9 9 2" xfId="22468" xr:uid="{00000000-0005-0000-0000-00009A160000}"/>
    <cellStyle name="Normal 2 5" xfId="48" xr:uid="{00000000-0005-0000-0000-00009B160000}"/>
    <cellStyle name="Normal 2 5 2" xfId="205" xr:uid="{00000000-0005-0000-0000-00009C160000}"/>
    <cellStyle name="Normal 2 5 2 2" xfId="4680" xr:uid="{00000000-0005-0000-0000-00009D160000}"/>
    <cellStyle name="Normal 2 5 2 2 2" xfId="4681" xr:uid="{00000000-0005-0000-0000-00009E160000}"/>
    <cellStyle name="Normal 2 5 2 3" xfId="4682" xr:uid="{00000000-0005-0000-0000-00009F160000}"/>
    <cellStyle name="Normal 2 5 2 3 2" xfId="4683" xr:uid="{00000000-0005-0000-0000-0000A0160000}"/>
    <cellStyle name="Normal 2 5 2 4" xfId="4684" xr:uid="{00000000-0005-0000-0000-0000A1160000}"/>
    <cellStyle name="Normal 2 5 2 4 2" xfId="4685" xr:uid="{00000000-0005-0000-0000-0000A2160000}"/>
    <cellStyle name="Normal 2 5 2 5" xfId="4686" xr:uid="{00000000-0005-0000-0000-0000A3160000}"/>
    <cellStyle name="Normal 2 5 2 5 2" xfId="4687" xr:uid="{00000000-0005-0000-0000-0000A4160000}"/>
    <cellStyle name="Normal 2 5 2 6" xfId="4688" xr:uid="{00000000-0005-0000-0000-0000A5160000}"/>
    <cellStyle name="Normal 2 5 2 6 2" xfId="4689" xr:uid="{00000000-0005-0000-0000-0000A6160000}"/>
    <cellStyle name="Normal 2 5 2 7" xfId="4690" xr:uid="{00000000-0005-0000-0000-0000A7160000}"/>
    <cellStyle name="Normal 2 5 2 7 2" xfId="4691" xr:uid="{00000000-0005-0000-0000-0000A8160000}"/>
    <cellStyle name="Normal 2 5 2 8" xfId="4679" xr:uid="{00000000-0005-0000-0000-0000A9160000}"/>
    <cellStyle name="Normal 2 5 3" xfId="4692" xr:uid="{00000000-0005-0000-0000-0000AA160000}"/>
    <cellStyle name="Normal 2 5 4" xfId="4693" xr:uid="{00000000-0005-0000-0000-0000AB160000}"/>
    <cellStyle name="Normal 2 5 5" xfId="4694" xr:uid="{00000000-0005-0000-0000-0000AC160000}"/>
    <cellStyle name="Normal 2 5 6" xfId="4695" xr:uid="{00000000-0005-0000-0000-0000AD160000}"/>
    <cellStyle name="Normal 2 5 7" xfId="4696" xr:uid="{00000000-0005-0000-0000-0000AE160000}"/>
    <cellStyle name="Normal 2 5 8" xfId="4697" xr:uid="{00000000-0005-0000-0000-0000AF160000}"/>
    <cellStyle name="Normal 2 50" xfId="4698" xr:uid="{00000000-0005-0000-0000-0000B0160000}"/>
    <cellStyle name="Normal 2 50 10" xfId="4699" xr:uid="{00000000-0005-0000-0000-0000B1160000}"/>
    <cellStyle name="Normal 2 50 10 10" xfId="4700" xr:uid="{00000000-0005-0000-0000-0000B2160000}"/>
    <cellStyle name="Normal 2 50 10 10 2" xfId="22471" xr:uid="{00000000-0005-0000-0000-0000B3160000}"/>
    <cellStyle name="Normal 2 50 10 11" xfId="4701" xr:uid="{00000000-0005-0000-0000-0000B4160000}"/>
    <cellStyle name="Normal 2 50 10 11 2" xfId="22472" xr:uid="{00000000-0005-0000-0000-0000B5160000}"/>
    <cellStyle name="Normal 2 50 10 12" xfId="4702" xr:uid="{00000000-0005-0000-0000-0000B6160000}"/>
    <cellStyle name="Normal 2 50 10 12 2" xfId="22473" xr:uid="{00000000-0005-0000-0000-0000B7160000}"/>
    <cellStyle name="Normal 2 50 10 13" xfId="4703" xr:uid="{00000000-0005-0000-0000-0000B8160000}"/>
    <cellStyle name="Normal 2 50 10 13 2" xfId="22474" xr:uid="{00000000-0005-0000-0000-0000B9160000}"/>
    <cellStyle name="Normal 2 50 10 14" xfId="4704" xr:uid="{00000000-0005-0000-0000-0000BA160000}"/>
    <cellStyle name="Normal 2 50 10 14 2" xfId="22475" xr:uid="{00000000-0005-0000-0000-0000BB160000}"/>
    <cellStyle name="Normal 2 50 10 15" xfId="22470" xr:uid="{00000000-0005-0000-0000-0000BC160000}"/>
    <cellStyle name="Normal 2 50 10 2" xfId="4705" xr:uid="{00000000-0005-0000-0000-0000BD160000}"/>
    <cellStyle name="Normal 2 50 10 2 2" xfId="22476" xr:uid="{00000000-0005-0000-0000-0000BE160000}"/>
    <cellStyle name="Normal 2 50 10 3" xfId="4706" xr:uid="{00000000-0005-0000-0000-0000BF160000}"/>
    <cellStyle name="Normal 2 50 10 3 2" xfId="22477" xr:uid="{00000000-0005-0000-0000-0000C0160000}"/>
    <cellStyle name="Normal 2 50 10 4" xfId="4707" xr:uid="{00000000-0005-0000-0000-0000C1160000}"/>
    <cellStyle name="Normal 2 50 10 4 2" xfId="22478" xr:uid="{00000000-0005-0000-0000-0000C2160000}"/>
    <cellStyle name="Normal 2 50 10 5" xfId="4708" xr:uid="{00000000-0005-0000-0000-0000C3160000}"/>
    <cellStyle name="Normal 2 50 10 5 2" xfId="22479" xr:uid="{00000000-0005-0000-0000-0000C4160000}"/>
    <cellStyle name="Normal 2 50 10 6" xfId="4709" xr:uid="{00000000-0005-0000-0000-0000C5160000}"/>
    <cellStyle name="Normal 2 50 10 6 2" xfId="22480" xr:uid="{00000000-0005-0000-0000-0000C6160000}"/>
    <cellStyle name="Normal 2 50 10 7" xfId="4710" xr:uid="{00000000-0005-0000-0000-0000C7160000}"/>
    <cellStyle name="Normal 2 50 10 7 2" xfId="22481" xr:uid="{00000000-0005-0000-0000-0000C8160000}"/>
    <cellStyle name="Normal 2 50 10 8" xfId="4711" xr:uid="{00000000-0005-0000-0000-0000C9160000}"/>
    <cellStyle name="Normal 2 50 10 8 2" xfId="22482" xr:uid="{00000000-0005-0000-0000-0000CA160000}"/>
    <cellStyle name="Normal 2 50 10 9" xfId="4712" xr:uid="{00000000-0005-0000-0000-0000CB160000}"/>
    <cellStyle name="Normal 2 50 10 9 2" xfId="22483" xr:uid="{00000000-0005-0000-0000-0000CC160000}"/>
    <cellStyle name="Normal 2 50 11" xfId="4713" xr:uid="{00000000-0005-0000-0000-0000CD160000}"/>
    <cellStyle name="Normal 2 50 11 2" xfId="22484" xr:uid="{00000000-0005-0000-0000-0000CE160000}"/>
    <cellStyle name="Normal 2 50 12" xfId="4714" xr:uid="{00000000-0005-0000-0000-0000CF160000}"/>
    <cellStyle name="Normal 2 50 12 2" xfId="22485" xr:uid="{00000000-0005-0000-0000-0000D0160000}"/>
    <cellStyle name="Normal 2 50 13" xfId="4715" xr:uid="{00000000-0005-0000-0000-0000D1160000}"/>
    <cellStyle name="Normal 2 50 13 2" xfId="22486" xr:uid="{00000000-0005-0000-0000-0000D2160000}"/>
    <cellStyle name="Normal 2 50 14" xfId="4716" xr:uid="{00000000-0005-0000-0000-0000D3160000}"/>
    <cellStyle name="Normal 2 50 14 2" xfId="22487" xr:uid="{00000000-0005-0000-0000-0000D4160000}"/>
    <cellStyle name="Normal 2 50 15" xfId="4717" xr:uid="{00000000-0005-0000-0000-0000D5160000}"/>
    <cellStyle name="Normal 2 50 15 2" xfId="22488" xr:uid="{00000000-0005-0000-0000-0000D6160000}"/>
    <cellStyle name="Normal 2 50 16" xfId="4718" xr:uid="{00000000-0005-0000-0000-0000D7160000}"/>
    <cellStyle name="Normal 2 50 16 2" xfId="22489" xr:uid="{00000000-0005-0000-0000-0000D8160000}"/>
    <cellStyle name="Normal 2 50 17" xfId="4719" xr:uid="{00000000-0005-0000-0000-0000D9160000}"/>
    <cellStyle name="Normal 2 50 17 2" xfId="22490" xr:uid="{00000000-0005-0000-0000-0000DA160000}"/>
    <cellStyle name="Normal 2 50 18" xfId="4720" xr:uid="{00000000-0005-0000-0000-0000DB160000}"/>
    <cellStyle name="Normal 2 50 18 2" xfId="22491" xr:uid="{00000000-0005-0000-0000-0000DC160000}"/>
    <cellStyle name="Normal 2 50 19" xfId="4721" xr:uid="{00000000-0005-0000-0000-0000DD160000}"/>
    <cellStyle name="Normal 2 50 19 2" xfId="22492" xr:uid="{00000000-0005-0000-0000-0000DE160000}"/>
    <cellStyle name="Normal 2 50 2" xfId="4722" xr:uid="{00000000-0005-0000-0000-0000DF160000}"/>
    <cellStyle name="Normal 2 50 2 10" xfId="4723" xr:uid="{00000000-0005-0000-0000-0000E0160000}"/>
    <cellStyle name="Normal 2 50 2 10 2" xfId="22494" xr:uid="{00000000-0005-0000-0000-0000E1160000}"/>
    <cellStyle name="Normal 2 50 2 11" xfId="4724" xr:uid="{00000000-0005-0000-0000-0000E2160000}"/>
    <cellStyle name="Normal 2 50 2 11 2" xfId="22495" xr:uid="{00000000-0005-0000-0000-0000E3160000}"/>
    <cellStyle name="Normal 2 50 2 12" xfId="4725" xr:uid="{00000000-0005-0000-0000-0000E4160000}"/>
    <cellStyle name="Normal 2 50 2 12 2" xfId="22496" xr:uid="{00000000-0005-0000-0000-0000E5160000}"/>
    <cellStyle name="Normal 2 50 2 13" xfId="4726" xr:uid="{00000000-0005-0000-0000-0000E6160000}"/>
    <cellStyle name="Normal 2 50 2 13 2" xfId="22497" xr:uid="{00000000-0005-0000-0000-0000E7160000}"/>
    <cellStyle name="Normal 2 50 2 14" xfId="4727" xr:uid="{00000000-0005-0000-0000-0000E8160000}"/>
    <cellStyle name="Normal 2 50 2 14 2" xfId="22498" xr:uid="{00000000-0005-0000-0000-0000E9160000}"/>
    <cellStyle name="Normal 2 50 2 15" xfId="4728" xr:uid="{00000000-0005-0000-0000-0000EA160000}"/>
    <cellStyle name="Normal 2 50 2 15 2" xfId="22499" xr:uid="{00000000-0005-0000-0000-0000EB160000}"/>
    <cellStyle name="Normal 2 50 2 16" xfId="22493" xr:uid="{00000000-0005-0000-0000-0000EC160000}"/>
    <cellStyle name="Normal 2 50 2 2" xfId="4729" xr:uid="{00000000-0005-0000-0000-0000ED160000}"/>
    <cellStyle name="Normal 2 50 2 2 10" xfId="4730" xr:uid="{00000000-0005-0000-0000-0000EE160000}"/>
    <cellStyle name="Normal 2 50 2 2 10 2" xfId="22501" xr:uid="{00000000-0005-0000-0000-0000EF160000}"/>
    <cellStyle name="Normal 2 50 2 2 11" xfId="4731" xr:uid="{00000000-0005-0000-0000-0000F0160000}"/>
    <cellStyle name="Normal 2 50 2 2 11 2" xfId="22502" xr:uid="{00000000-0005-0000-0000-0000F1160000}"/>
    <cellStyle name="Normal 2 50 2 2 12" xfId="4732" xr:uid="{00000000-0005-0000-0000-0000F2160000}"/>
    <cellStyle name="Normal 2 50 2 2 12 2" xfId="22503" xr:uid="{00000000-0005-0000-0000-0000F3160000}"/>
    <cellStyle name="Normal 2 50 2 2 13" xfId="4733" xr:uid="{00000000-0005-0000-0000-0000F4160000}"/>
    <cellStyle name="Normal 2 50 2 2 13 2" xfId="22504" xr:uid="{00000000-0005-0000-0000-0000F5160000}"/>
    <cellStyle name="Normal 2 50 2 2 14" xfId="4734" xr:uid="{00000000-0005-0000-0000-0000F6160000}"/>
    <cellStyle name="Normal 2 50 2 2 14 2" xfId="22505" xr:uid="{00000000-0005-0000-0000-0000F7160000}"/>
    <cellStyle name="Normal 2 50 2 2 15" xfId="22500" xr:uid="{00000000-0005-0000-0000-0000F8160000}"/>
    <cellStyle name="Normal 2 50 2 2 2" xfId="4735" xr:uid="{00000000-0005-0000-0000-0000F9160000}"/>
    <cellStyle name="Normal 2 50 2 2 2 2" xfId="22506" xr:uid="{00000000-0005-0000-0000-0000FA160000}"/>
    <cellStyle name="Normal 2 50 2 2 3" xfId="4736" xr:uid="{00000000-0005-0000-0000-0000FB160000}"/>
    <cellStyle name="Normal 2 50 2 2 3 2" xfId="22507" xr:uid="{00000000-0005-0000-0000-0000FC160000}"/>
    <cellStyle name="Normal 2 50 2 2 4" xfId="4737" xr:uid="{00000000-0005-0000-0000-0000FD160000}"/>
    <cellStyle name="Normal 2 50 2 2 4 2" xfId="22508" xr:uid="{00000000-0005-0000-0000-0000FE160000}"/>
    <cellStyle name="Normal 2 50 2 2 5" xfId="4738" xr:uid="{00000000-0005-0000-0000-0000FF160000}"/>
    <cellStyle name="Normal 2 50 2 2 5 2" xfId="22509" xr:uid="{00000000-0005-0000-0000-000000170000}"/>
    <cellStyle name="Normal 2 50 2 2 6" xfId="4739" xr:uid="{00000000-0005-0000-0000-000001170000}"/>
    <cellStyle name="Normal 2 50 2 2 6 2" xfId="22510" xr:uid="{00000000-0005-0000-0000-000002170000}"/>
    <cellStyle name="Normal 2 50 2 2 7" xfId="4740" xr:uid="{00000000-0005-0000-0000-000003170000}"/>
    <cellStyle name="Normal 2 50 2 2 7 2" xfId="22511" xr:uid="{00000000-0005-0000-0000-000004170000}"/>
    <cellStyle name="Normal 2 50 2 2 8" xfId="4741" xr:uid="{00000000-0005-0000-0000-000005170000}"/>
    <cellStyle name="Normal 2 50 2 2 8 2" xfId="22512" xr:uid="{00000000-0005-0000-0000-000006170000}"/>
    <cellStyle name="Normal 2 50 2 2 9" xfId="4742" xr:uid="{00000000-0005-0000-0000-000007170000}"/>
    <cellStyle name="Normal 2 50 2 2 9 2" xfId="22513" xr:uid="{00000000-0005-0000-0000-000008170000}"/>
    <cellStyle name="Normal 2 50 2 3" xfId="4743" xr:uid="{00000000-0005-0000-0000-000009170000}"/>
    <cellStyle name="Normal 2 50 2 3 2" xfId="22514" xr:uid="{00000000-0005-0000-0000-00000A170000}"/>
    <cellStyle name="Normal 2 50 2 4" xfId="4744" xr:uid="{00000000-0005-0000-0000-00000B170000}"/>
    <cellStyle name="Normal 2 50 2 4 2" xfId="22515" xr:uid="{00000000-0005-0000-0000-00000C170000}"/>
    <cellStyle name="Normal 2 50 2 5" xfId="4745" xr:uid="{00000000-0005-0000-0000-00000D170000}"/>
    <cellStyle name="Normal 2 50 2 5 2" xfId="22516" xr:uid="{00000000-0005-0000-0000-00000E170000}"/>
    <cellStyle name="Normal 2 50 2 6" xfId="4746" xr:uid="{00000000-0005-0000-0000-00000F170000}"/>
    <cellStyle name="Normal 2 50 2 6 2" xfId="22517" xr:uid="{00000000-0005-0000-0000-000010170000}"/>
    <cellStyle name="Normal 2 50 2 7" xfId="4747" xr:uid="{00000000-0005-0000-0000-000011170000}"/>
    <cellStyle name="Normal 2 50 2 7 2" xfId="22518" xr:uid="{00000000-0005-0000-0000-000012170000}"/>
    <cellStyle name="Normal 2 50 2 8" xfId="4748" xr:uid="{00000000-0005-0000-0000-000013170000}"/>
    <cellStyle name="Normal 2 50 2 8 2" xfId="22519" xr:uid="{00000000-0005-0000-0000-000014170000}"/>
    <cellStyle name="Normal 2 50 2 9" xfId="4749" xr:uid="{00000000-0005-0000-0000-000015170000}"/>
    <cellStyle name="Normal 2 50 2 9 2" xfId="22520" xr:uid="{00000000-0005-0000-0000-000016170000}"/>
    <cellStyle name="Normal 2 50 20" xfId="4750" xr:uid="{00000000-0005-0000-0000-000017170000}"/>
    <cellStyle name="Normal 2 50 20 2" xfId="22521" xr:uid="{00000000-0005-0000-0000-000018170000}"/>
    <cellStyle name="Normal 2 50 21" xfId="4751" xr:uid="{00000000-0005-0000-0000-000019170000}"/>
    <cellStyle name="Normal 2 50 21 2" xfId="22522" xr:uid="{00000000-0005-0000-0000-00001A170000}"/>
    <cellStyle name="Normal 2 50 22" xfId="4752" xr:uid="{00000000-0005-0000-0000-00001B170000}"/>
    <cellStyle name="Normal 2 50 22 2" xfId="22523" xr:uid="{00000000-0005-0000-0000-00001C170000}"/>
    <cellStyle name="Normal 2 50 23" xfId="4753" xr:uid="{00000000-0005-0000-0000-00001D170000}"/>
    <cellStyle name="Normal 2 50 23 2" xfId="22524" xr:uid="{00000000-0005-0000-0000-00001E170000}"/>
    <cellStyle name="Normal 2 50 24" xfId="22469" xr:uid="{00000000-0005-0000-0000-00001F170000}"/>
    <cellStyle name="Normal 2 50 3" xfId="4754" xr:uid="{00000000-0005-0000-0000-000020170000}"/>
    <cellStyle name="Normal 2 50 3 10" xfId="4755" xr:uid="{00000000-0005-0000-0000-000021170000}"/>
    <cellStyle name="Normal 2 50 3 10 2" xfId="22526" xr:uid="{00000000-0005-0000-0000-000022170000}"/>
    <cellStyle name="Normal 2 50 3 11" xfId="4756" xr:uid="{00000000-0005-0000-0000-000023170000}"/>
    <cellStyle name="Normal 2 50 3 11 2" xfId="22527" xr:uid="{00000000-0005-0000-0000-000024170000}"/>
    <cellStyle name="Normal 2 50 3 12" xfId="4757" xr:uid="{00000000-0005-0000-0000-000025170000}"/>
    <cellStyle name="Normal 2 50 3 12 2" xfId="22528" xr:uid="{00000000-0005-0000-0000-000026170000}"/>
    <cellStyle name="Normal 2 50 3 13" xfId="4758" xr:uid="{00000000-0005-0000-0000-000027170000}"/>
    <cellStyle name="Normal 2 50 3 13 2" xfId="22529" xr:uid="{00000000-0005-0000-0000-000028170000}"/>
    <cellStyle name="Normal 2 50 3 14" xfId="4759" xr:uid="{00000000-0005-0000-0000-000029170000}"/>
    <cellStyle name="Normal 2 50 3 14 2" xfId="22530" xr:uid="{00000000-0005-0000-0000-00002A170000}"/>
    <cellStyle name="Normal 2 50 3 15" xfId="4760" xr:uid="{00000000-0005-0000-0000-00002B170000}"/>
    <cellStyle name="Normal 2 50 3 15 2" xfId="22531" xr:uid="{00000000-0005-0000-0000-00002C170000}"/>
    <cellStyle name="Normal 2 50 3 16" xfId="22525" xr:uid="{00000000-0005-0000-0000-00002D170000}"/>
    <cellStyle name="Normal 2 50 3 2" xfId="4761" xr:uid="{00000000-0005-0000-0000-00002E170000}"/>
    <cellStyle name="Normal 2 50 3 2 10" xfId="4762" xr:uid="{00000000-0005-0000-0000-00002F170000}"/>
    <cellStyle name="Normal 2 50 3 2 10 2" xfId="22533" xr:uid="{00000000-0005-0000-0000-000030170000}"/>
    <cellStyle name="Normal 2 50 3 2 11" xfId="4763" xr:uid="{00000000-0005-0000-0000-000031170000}"/>
    <cellStyle name="Normal 2 50 3 2 11 2" xfId="22534" xr:uid="{00000000-0005-0000-0000-000032170000}"/>
    <cellStyle name="Normal 2 50 3 2 12" xfId="4764" xr:uid="{00000000-0005-0000-0000-000033170000}"/>
    <cellStyle name="Normal 2 50 3 2 12 2" xfId="22535" xr:uid="{00000000-0005-0000-0000-000034170000}"/>
    <cellStyle name="Normal 2 50 3 2 13" xfId="4765" xr:uid="{00000000-0005-0000-0000-000035170000}"/>
    <cellStyle name="Normal 2 50 3 2 13 2" xfId="22536" xr:uid="{00000000-0005-0000-0000-000036170000}"/>
    <cellStyle name="Normal 2 50 3 2 14" xfId="4766" xr:uid="{00000000-0005-0000-0000-000037170000}"/>
    <cellStyle name="Normal 2 50 3 2 14 2" xfId="22537" xr:uid="{00000000-0005-0000-0000-000038170000}"/>
    <cellStyle name="Normal 2 50 3 2 15" xfId="22532" xr:uid="{00000000-0005-0000-0000-000039170000}"/>
    <cellStyle name="Normal 2 50 3 2 2" xfId="4767" xr:uid="{00000000-0005-0000-0000-00003A170000}"/>
    <cellStyle name="Normal 2 50 3 2 2 2" xfId="22538" xr:uid="{00000000-0005-0000-0000-00003B170000}"/>
    <cellStyle name="Normal 2 50 3 2 3" xfId="4768" xr:uid="{00000000-0005-0000-0000-00003C170000}"/>
    <cellStyle name="Normal 2 50 3 2 3 2" xfId="22539" xr:uid="{00000000-0005-0000-0000-00003D170000}"/>
    <cellStyle name="Normal 2 50 3 2 4" xfId="4769" xr:uid="{00000000-0005-0000-0000-00003E170000}"/>
    <cellStyle name="Normal 2 50 3 2 4 2" xfId="22540" xr:uid="{00000000-0005-0000-0000-00003F170000}"/>
    <cellStyle name="Normal 2 50 3 2 5" xfId="4770" xr:uid="{00000000-0005-0000-0000-000040170000}"/>
    <cellStyle name="Normal 2 50 3 2 5 2" xfId="22541" xr:uid="{00000000-0005-0000-0000-000041170000}"/>
    <cellStyle name="Normal 2 50 3 2 6" xfId="4771" xr:uid="{00000000-0005-0000-0000-000042170000}"/>
    <cellStyle name="Normal 2 50 3 2 6 2" xfId="22542" xr:uid="{00000000-0005-0000-0000-000043170000}"/>
    <cellStyle name="Normal 2 50 3 2 7" xfId="4772" xr:uid="{00000000-0005-0000-0000-000044170000}"/>
    <cellStyle name="Normal 2 50 3 2 7 2" xfId="22543" xr:uid="{00000000-0005-0000-0000-000045170000}"/>
    <cellStyle name="Normal 2 50 3 2 8" xfId="4773" xr:uid="{00000000-0005-0000-0000-000046170000}"/>
    <cellStyle name="Normal 2 50 3 2 8 2" xfId="22544" xr:uid="{00000000-0005-0000-0000-000047170000}"/>
    <cellStyle name="Normal 2 50 3 2 9" xfId="4774" xr:uid="{00000000-0005-0000-0000-000048170000}"/>
    <cellStyle name="Normal 2 50 3 2 9 2" xfId="22545" xr:uid="{00000000-0005-0000-0000-000049170000}"/>
    <cellStyle name="Normal 2 50 3 3" xfId="4775" xr:uid="{00000000-0005-0000-0000-00004A170000}"/>
    <cellStyle name="Normal 2 50 3 3 2" xfId="22546" xr:uid="{00000000-0005-0000-0000-00004B170000}"/>
    <cellStyle name="Normal 2 50 3 4" xfId="4776" xr:uid="{00000000-0005-0000-0000-00004C170000}"/>
    <cellStyle name="Normal 2 50 3 4 2" xfId="22547" xr:uid="{00000000-0005-0000-0000-00004D170000}"/>
    <cellStyle name="Normal 2 50 3 5" xfId="4777" xr:uid="{00000000-0005-0000-0000-00004E170000}"/>
    <cellStyle name="Normal 2 50 3 5 2" xfId="22548" xr:uid="{00000000-0005-0000-0000-00004F170000}"/>
    <cellStyle name="Normal 2 50 3 6" xfId="4778" xr:uid="{00000000-0005-0000-0000-000050170000}"/>
    <cellStyle name="Normal 2 50 3 6 2" xfId="22549" xr:uid="{00000000-0005-0000-0000-000051170000}"/>
    <cellStyle name="Normal 2 50 3 7" xfId="4779" xr:uid="{00000000-0005-0000-0000-000052170000}"/>
    <cellStyle name="Normal 2 50 3 7 2" xfId="22550" xr:uid="{00000000-0005-0000-0000-000053170000}"/>
    <cellStyle name="Normal 2 50 3 8" xfId="4780" xr:uid="{00000000-0005-0000-0000-000054170000}"/>
    <cellStyle name="Normal 2 50 3 8 2" xfId="22551" xr:uid="{00000000-0005-0000-0000-000055170000}"/>
    <cellStyle name="Normal 2 50 3 9" xfId="4781" xr:uid="{00000000-0005-0000-0000-000056170000}"/>
    <cellStyle name="Normal 2 50 3 9 2" xfId="22552" xr:uid="{00000000-0005-0000-0000-000057170000}"/>
    <cellStyle name="Normal 2 50 4" xfId="4782" xr:uid="{00000000-0005-0000-0000-000058170000}"/>
    <cellStyle name="Normal 2 50 4 10" xfId="4783" xr:uid="{00000000-0005-0000-0000-000059170000}"/>
    <cellStyle name="Normal 2 50 4 10 2" xfId="22554" xr:uid="{00000000-0005-0000-0000-00005A170000}"/>
    <cellStyle name="Normal 2 50 4 11" xfId="4784" xr:uid="{00000000-0005-0000-0000-00005B170000}"/>
    <cellStyle name="Normal 2 50 4 11 2" xfId="22555" xr:uid="{00000000-0005-0000-0000-00005C170000}"/>
    <cellStyle name="Normal 2 50 4 12" xfId="4785" xr:uid="{00000000-0005-0000-0000-00005D170000}"/>
    <cellStyle name="Normal 2 50 4 12 2" xfId="22556" xr:uid="{00000000-0005-0000-0000-00005E170000}"/>
    <cellStyle name="Normal 2 50 4 13" xfId="4786" xr:uid="{00000000-0005-0000-0000-00005F170000}"/>
    <cellStyle name="Normal 2 50 4 13 2" xfId="22557" xr:uid="{00000000-0005-0000-0000-000060170000}"/>
    <cellStyle name="Normal 2 50 4 14" xfId="4787" xr:uid="{00000000-0005-0000-0000-000061170000}"/>
    <cellStyle name="Normal 2 50 4 14 2" xfId="22558" xr:uid="{00000000-0005-0000-0000-000062170000}"/>
    <cellStyle name="Normal 2 50 4 15" xfId="4788" xr:uid="{00000000-0005-0000-0000-000063170000}"/>
    <cellStyle name="Normal 2 50 4 15 2" xfId="22559" xr:uid="{00000000-0005-0000-0000-000064170000}"/>
    <cellStyle name="Normal 2 50 4 16" xfId="22553" xr:uid="{00000000-0005-0000-0000-000065170000}"/>
    <cellStyle name="Normal 2 50 4 2" xfId="4789" xr:uid="{00000000-0005-0000-0000-000066170000}"/>
    <cellStyle name="Normal 2 50 4 2 10" xfId="4790" xr:uid="{00000000-0005-0000-0000-000067170000}"/>
    <cellStyle name="Normal 2 50 4 2 10 2" xfId="22561" xr:uid="{00000000-0005-0000-0000-000068170000}"/>
    <cellStyle name="Normal 2 50 4 2 11" xfId="4791" xr:uid="{00000000-0005-0000-0000-000069170000}"/>
    <cellStyle name="Normal 2 50 4 2 11 2" xfId="22562" xr:uid="{00000000-0005-0000-0000-00006A170000}"/>
    <cellStyle name="Normal 2 50 4 2 12" xfId="4792" xr:uid="{00000000-0005-0000-0000-00006B170000}"/>
    <cellStyle name="Normal 2 50 4 2 12 2" xfId="22563" xr:uid="{00000000-0005-0000-0000-00006C170000}"/>
    <cellStyle name="Normal 2 50 4 2 13" xfId="4793" xr:uid="{00000000-0005-0000-0000-00006D170000}"/>
    <cellStyle name="Normal 2 50 4 2 13 2" xfId="22564" xr:uid="{00000000-0005-0000-0000-00006E170000}"/>
    <cellStyle name="Normal 2 50 4 2 14" xfId="4794" xr:uid="{00000000-0005-0000-0000-00006F170000}"/>
    <cellStyle name="Normal 2 50 4 2 14 2" xfId="22565" xr:uid="{00000000-0005-0000-0000-000070170000}"/>
    <cellStyle name="Normal 2 50 4 2 15" xfId="22560" xr:uid="{00000000-0005-0000-0000-000071170000}"/>
    <cellStyle name="Normal 2 50 4 2 2" xfId="4795" xr:uid="{00000000-0005-0000-0000-000072170000}"/>
    <cellStyle name="Normal 2 50 4 2 2 2" xfId="22566" xr:uid="{00000000-0005-0000-0000-000073170000}"/>
    <cellStyle name="Normal 2 50 4 2 3" xfId="4796" xr:uid="{00000000-0005-0000-0000-000074170000}"/>
    <cellStyle name="Normal 2 50 4 2 3 2" xfId="22567" xr:uid="{00000000-0005-0000-0000-000075170000}"/>
    <cellStyle name="Normal 2 50 4 2 4" xfId="4797" xr:uid="{00000000-0005-0000-0000-000076170000}"/>
    <cellStyle name="Normal 2 50 4 2 4 2" xfId="22568" xr:uid="{00000000-0005-0000-0000-000077170000}"/>
    <cellStyle name="Normal 2 50 4 2 5" xfId="4798" xr:uid="{00000000-0005-0000-0000-000078170000}"/>
    <cellStyle name="Normal 2 50 4 2 5 2" xfId="22569" xr:uid="{00000000-0005-0000-0000-000079170000}"/>
    <cellStyle name="Normal 2 50 4 2 6" xfId="4799" xr:uid="{00000000-0005-0000-0000-00007A170000}"/>
    <cellStyle name="Normal 2 50 4 2 6 2" xfId="22570" xr:uid="{00000000-0005-0000-0000-00007B170000}"/>
    <cellStyle name="Normal 2 50 4 2 7" xfId="4800" xr:uid="{00000000-0005-0000-0000-00007C170000}"/>
    <cellStyle name="Normal 2 50 4 2 7 2" xfId="22571" xr:uid="{00000000-0005-0000-0000-00007D170000}"/>
    <cellStyle name="Normal 2 50 4 2 8" xfId="4801" xr:uid="{00000000-0005-0000-0000-00007E170000}"/>
    <cellStyle name="Normal 2 50 4 2 8 2" xfId="22572" xr:uid="{00000000-0005-0000-0000-00007F170000}"/>
    <cellStyle name="Normal 2 50 4 2 9" xfId="4802" xr:uid="{00000000-0005-0000-0000-000080170000}"/>
    <cellStyle name="Normal 2 50 4 2 9 2" xfId="22573" xr:uid="{00000000-0005-0000-0000-000081170000}"/>
    <cellStyle name="Normal 2 50 4 3" xfId="4803" xr:uid="{00000000-0005-0000-0000-000082170000}"/>
    <cellStyle name="Normal 2 50 4 3 2" xfId="22574" xr:uid="{00000000-0005-0000-0000-000083170000}"/>
    <cellStyle name="Normal 2 50 4 4" xfId="4804" xr:uid="{00000000-0005-0000-0000-000084170000}"/>
    <cellStyle name="Normal 2 50 4 4 2" xfId="22575" xr:uid="{00000000-0005-0000-0000-000085170000}"/>
    <cellStyle name="Normal 2 50 4 5" xfId="4805" xr:uid="{00000000-0005-0000-0000-000086170000}"/>
    <cellStyle name="Normal 2 50 4 5 2" xfId="22576" xr:uid="{00000000-0005-0000-0000-000087170000}"/>
    <cellStyle name="Normal 2 50 4 6" xfId="4806" xr:uid="{00000000-0005-0000-0000-000088170000}"/>
    <cellStyle name="Normal 2 50 4 6 2" xfId="22577" xr:uid="{00000000-0005-0000-0000-000089170000}"/>
    <cellStyle name="Normal 2 50 4 7" xfId="4807" xr:uid="{00000000-0005-0000-0000-00008A170000}"/>
    <cellStyle name="Normal 2 50 4 7 2" xfId="22578" xr:uid="{00000000-0005-0000-0000-00008B170000}"/>
    <cellStyle name="Normal 2 50 4 8" xfId="4808" xr:uid="{00000000-0005-0000-0000-00008C170000}"/>
    <cellStyle name="Normal 2 50 4 8 2" xfId="22579" xr:uid="{00000000-0005-0000-0000-00008D170000}"/>
    <cellStyle name="Normal 2 50 4 9" xfId="4809" xr:uid="{00000000-0005-0000-0000-00008E170000}"/>
    <cellStyle name="Normal 2 50 4 9 2" xfId="22580" xr:uid="{00000000-0005-0000-0000-00008F170000}"/>
    <cellStyle name="Normal 2 50 5" xfId="4810" xr:uid="{00000000-0005-0000-0000-000090170000}"/>
    <cellStyle name="Normal 2 50 5 10" xfId="4811" xr:uid="{00000000-0005-0000-0000-000091170000}"/>
    <cellStyle name="Normal 2 50 5 10 2" xfId="22582" xr:uid="{00000000-0005-0000-0000-000092170000}"/>
    <cellStyle name="Normal 2 50 5 11" xfId="4812" xr:uid="{00000000-0005-0000-0000-000093170000}"/>
    <cellStyle name="Normal 2 50 5 11 2" xfId="22583" xr:uid="{00000000-0005-0000-0000-000094170000}"/>
    <cellStyle name="Normal 2 50 5 12" xfId="4813" xr:uid="{00000000-0005-0000-0000-000095170000}"/>
    <cellStyle name="Normal 2 50 5 12 2" xfId="22584" xr:uid="{00000000-0005-0000-0000-000096170000}"/>
    <cellStyle name="Normal 2 50 5 13" xfId="4814" xr:uid="{00000000-0005-0000-0000-000097170000}"/>
    <cellStyle name="Normal 2 50 5 13 2" xfId="22585" xr:uid="{00000000-0005-0000-0000-000098170000}"/>
    <cellStyle name="Normal 2 50 5 14" xfId="4815" xr:uid="{00000000-0005-0000-0000-000099170000}"/>
    <cellStyle name="Normal 2 50 5 14 2" xfId="22586" xr:uid="{00000000-0005-0000-0000-00009A170000}"/>
    <cellStyle name="Normal 2 50 5 15" xfId="22581" xr:uid="{00000000-0005-0000-0000-00009B170000}"/>
    <cellStyle name="Normal 2 50 5 2" xfId="4816" xr:uid="{00000000-0005-0000-0000-00009C170000}"/>
    <cellStyle name="Normal 2 50 5 2 2" xfId="22587" xr:uid="{00000000-0005-0000-0000-00009D170000}"/>
    <cellStyle name="Normal 2 50 5 3" xfId="4817" xr:uid="{00000000-0005-0000-0000-00009E170000}"/>
    <cellStyle name="Normal 2 50 5 3 2" xfId="22588" xr:uid="{00000000-0005-0000-0000-00009F170000}"/>
    <cellStyle name="Normal 2 50 5 4" xfId="4818" xr:uid="{00000000-0005-0000-0000-0000A0170000}"/>
    <cellStyle name="Normal 2 50 5 4 2" xfId="22589" xr:uid="{00000000-0005-0000-0000-0000A1170000}"/>
    <cellStyle name="Normal 2 50 5 5" xfId="4819" xr:uid="{00000000-0005-0000-0000-0000A2170000}"/>
    <cellStyle name="Normal 2 50 5 5 2" xfId="22590" xr:uid="{00000000-0005-0000-0000-0000A3170000}"/>
    <cellStyle name="Normal 2 50 5 6" xfId="4820" xr:uid="{00000000-0005-0000-0000-0000A4170000}"/>
    <cellStyle name="Normal 2 50 5 6 2" xfId="22591" xr:uid="{00000000-0005-0000-0000-0000A5170000}"/>
    <cellStyle name="Normal 2 50 5 7" xfId="4821" xr:uid="{00000000-0005-0000-0000-0000A6170000}"/>
    <cellStyle name="Normal 2 50 5 7 2" xfId="22592" xr:uid="{00000000-0005-0000-0000-0000A7170000}"/>
    <cellStyle name="Normal 2 50 5 8" xfId="4822" xr:uid="{00000000-0005-0000-0000-0000A8170000}"/>
    <cellStyle name="Normal 2 50 5 8 2" xfId="22593" xr:uid="{00000000-0005-0000-0000-0000A9170000}"/>
    <cellStyle name="Normal 2 50 5 9" xfId="4823" xr:uid="{00000000-0005-0000-0000-0000AA170000}"/>
    <cellStyle name="Normal 2 50 5 9 2" xfId="22594" xr:uid="{00000000-0005-0000-0000-0000AB170000}"/>
    <cellStyle name="Normal 2 50 6" xfId="4824" xr:uid="{00000000-0005-0000-0000-0000AC170000}"/>
    <cellStyle name="Normal 2 50 6 10" xfId="4825" xr:uid="{00000000-0005-0000-0000-0000AD170000}"/>
    <cellStyle name="Normal 2 50 6 10 2" xfId="22596" xr:uid="{00000000-0005-0000-0000-0000AE170000}"/>
    <cellStyle name="Normal 2 50 6 11" xfId="4826" xr:uid="{00000000-0005-0000-0000-0000AF170000}"/>
    <cellStyle name="Normal 2 50 6 11 2" xfId="22597" xr:uid="{00000000-0005-0000-0000-0000B0170000}"/>
    <cellStyle name="Normal 2 50 6 12" xfId="4827" xr:uid="{00000000-0005-0000-0000-0000B1170000}"/>
    <cellStyle name="Normal 2 50 6 12 2" xfId="22598" xr:uid="{00000000-0005-0000-0000-0000B2170000}"/>
    <cellStyle name="Normal 2 50 6 13" xfId="4828" xr:uid="{00000000-0005-0000-0000-0000B3170000}"/>
    <cellStyle name="Normal 2 50 6 13 2" xfId="22599" xr:uid="{00000000-0005-0000-0000-0000B4170000}"/>
    <cellStyle name="Normal 2 50 6 14" xfId="4829" xr:uid="{00000000-0005-0000-0000-0000B5170000}"/>
    <cellStyle name="Normal 2 50 6 14 2" xfId="22600" xr:uid="{00000000-0005-0000-0000-0000B6170000}"/>
    <cellStyle name="Normal 2 50 6 15" xfId="22595" xr:uid="{00000000-0005-0000-0000-0000B7170000}"/>
    <cellStyle name="Normal 2 50 6 2" xfId="4830" xr:uid="{00000000-0005-0000-0000-0000B8170000}"/>
    <cellStyle name="Normal 2 50 6 2 2" xfId="22601" xr:uid="{00000000-0005-0000-0000-0000B9170000}"/>
    <cellStyle name="Normal 2 50 6 3" xfId="4831" xr:uid="{00000000-0005-0000-0000-0000BA170000}"/>
    <cellStyle name="Normal 2 50 6 3 2" xfId="22602" xr:uid="{00000000-0005-0000-0000-0000BB170000}"/>
    <cellStyle name="Normal 2 50 6 4" xfId="4832" xr:uid="{00000000-0005-0000-0000-0000BC170000}"/>
    <cellStyle name="Normal 2 50 6 4 2" xfId="22603" xr:uid="{00000000-0005-0000-0000-0000BD170000}"/>
    <cellStyle name="Normal 2 50 6 5" xfId="4833" xr:uid="{00000000-0005-0000-0000-0000BE170000}"/>
    <cellStyle name="Normal 2 50 6 5 2" xfId="22604" xr:uid="{00000000-0005-0000-0000-0000BF170000}"/>
    <cellStyle name="Normal 2 50 6 6" xfId="4834" xr:uid="{00000000-0005-0000-0000-0000C0170000}"/>
    <cellStyle name="Normal 2 50 6 6 2" xfId="22605" xr:uid="{00000000-0005-0000-0000-0000C1170000}"/>
    <cellStyle name="Normal 2 50 6 7" xfId="4835" xr:uid="{00000000-0005-0000-0000-0000C2170000}"/>
    <cellStyle name="Normal 2 50 6 7 2" xfId="22606" xr:uid="{00000000-0005-0000-0000-0000C3170000}"/>
    <cellStyle name="Normal 2 50 6 8" xfId="4836" xr:uid="{00000000-0005-0000-0000-0000C4170000}"/>
    <cellStyle name="Normal 2 50 6 8 2" xfId="22607" xr:uid="{00000000-0005-0000-0000-0000C5170000}"/>
    <cellStyle name="Normal 2 50 6 9" xfId="4837" xr:uid="{00000000-0005-0000-0000-0000C6170000}"/>
    <cellStyle name="Normal 2 50 6 9 2" xfId="22608" xr:uid="{00000000-0005-0000-0000-0000C7170000}"/>
    <cellStyle name="Normal 2 50 7" xfId="4838" xr:uid="{00000000-0005-0000-0000-0000C8170000}"/>
    <cellStyle name="Normal 2 50 7 10" xfId="4839" xr:uid="{00000000-0005-0000-0000-0000C9170000}"/>
    <cellStyle name="Normal 2 50 7 10 2" xfId="22610" xr:uid="{00000000-0005-0000-0000-0000CA170000}"/>
    <cellStyle name="Normal 2 50 7 11" xfId="4840" xr:uid="{00000000-0005-0000-0000-0000CB170000}"/>
    <cellStyle name="Normal 2 50 7 11 2" xfId="22611" xr:uid="{00000000-0005-0000-0000-0000CC170000}"/>
    <cellStyle name="Normal 2 50 7 12" xfId="4841" xr:uid="{00000000-0005-0000-0000-0000CD170000}"/>
    <cellStyle name="Normal 2 50 7 12 2" xfId="22612" xr:uid="{00000000-0005-0000-0000-0000CE170000}"/>
    <cellStyle name="Normal 2 50 7 13" xfId="4842" xr:uid="{00000000-0005-0000-0000-0000CF170000}"/>
    <cellStyle name="Normal 2 50 7 13 2" xfId="22613" xr:uid="{00000000-0005-0000-0000-0000D0170000}"/>
    <cellStyle name="Normal 2 50 7 14" xfId="4843" xr:uid="{00000000-0005-0000-0000-0000D1170000}"/>
    <cellStyle name="Normal 2 50 7 14 2" xfId="22614" xr:uid="{00000000-0005-0000-0000-0000D2170000}"/>
    <cellStyle name="Normal 2 50 7 15" xfId="22609" xr:uid="{00000000-0005-0000-0000-0000D3170000}"/>
    <cellStyle name="Normal 2 50 7 2" xfId="4844" xr:uid="{00000000-0005-0000-0000-0000D4170000}"/>
    <cellStyle name="Normal 2 50 7 2 2" xfId="22615" xr:uid="{00000000-0005-0000-0000-0000D5170000}"/>
    <cellStyle name="Normal 2 50 7 3" xfId="4845" xr:uid="{00000000-0005-0000-0000-0000D6170000}"/>
    <cellStyle name="Normal 2 50 7 3 2" xfId="22616" xr:uid="{00000000-0005-0000-0000-0000D7170000}"/>
    <cellStyle name="Normal 2 50 7 4" xfId="4846" xr:uid="{00000000-0005-0000-0000-0000D8170000}"/>
    <cellStyle name="Normal 2 50 7 4 2" xfId="22617" xr:uid="{00000000-0005-0000-0000-0000D9170000}"/>
    <cellStyle name="Normal 2 50 7 5" xfId="4847" xr:uid="{00000000-0005-0000-0000-0000DA170000}"/>
    <cellStyle name="Normal 2 50 7 5 2" xfId="22618" xr:uid="{00000000-0005-0000-0000-0000DB170000}"/>
    <cellStyle name="Normal 2 50 7 6" xfId="4848" xr:uid="{00000000-0005-0000-0000-0000DC170000}"/>
    <cellStyle name="Normal 2 50 7 6 2" xfId="22619" xr:uid="{00000000-0005-0000-0000-0000DD170000}"/>
    <cellStyle name="Normal 2 50 7 7" xfId="4849" xr:uid="{00000000-0005-0000-0000-0000DE170000}"/>
    <cellStyle name="Normal 2 50 7 7 2" xfId="22620" xr:uid="{00000000-0005-0000-0000-0000DF170000}"/>
    <cellStyle name="Normal 2 50 7 8" xfId="4850" xr:uid="{00000000-0005-0000-0000-0000E0170000}"/>
    <cellStyle name="Normal 2 50 7 8 2" xfId="22621" xr:uid="{00000000-0005-0000-0000-0000E1170000}"/>
    <cellStyle name="Normal 2 50 7 9" xfId="4851" xr:uid="{00000000-0005-0000-0000-0000E2170000}"/>
    <cellStyle name="Normal 2 50 7 9 2" xfId="22622" xr:uid="{00000000-0005-0000-0000-0000E3170000}"/>
    <cellStyle name="Normal 2 50 8" xfId="4852" xr:uid="{00000000-0005-0000-0000-0000E4170000}"/>
    <cellStyle name="Normal 2 50 8 10" xfId="4853" xr:uid="{00000000-0005-0000-0000-0000E5170000}"/>
    <cellStyle name="Normal 2 50 8 10 2" xfId="22624" xr:uid="{00000000-0005-0000-0000-0000E6170000}"/>
    <cellStyle name="Normal 2 50 8 11" xfId="4854" xr:uid="{00000000-0005-0000-0000-0000E7170000}"/>
    <cellStyle name="Normal 2 50 8 11 2" xfId="22625" xr:uid="{00000000-0005-0000-0000-0000E8170000}"/>
    <cellStyle name="Normal 2 50 8 12" xfId="4855" xr:uid="{00000000-0005-0000-0000-0000E9170000}"/>
    <cellStyle name="Normal 2 50 8 12 2" xfId="22626" xr:uid="{00000000-0005-0000-0000-0000EA170000}"/>
    <cellStyle name="Normal 2 50 8 13" xfId="4856" xr:uid="{00000000-0005-0000-0000-0000EB170000}"/>
    <cellStyle name="Normal 2 50 8 13 2" xfId="22627" xr:uid="{00000000-0005-0000-0000-0000EC170000}"/>
    <cellStyle name="Normal 2 50 8 14" xfId="4857" xr:uid="{00000000-0005-0000-0000-0000ED170000}"/>
    <cellStyle name="Normal 2 50 8 14 2" xfId="22628" xr:uid="{00000000-0005-0000-0000-0000EE170000}"/>
    <cellStyle name="Normal 2 50 8 15" xfId="22623" xr:uid="{00000000-0005-0000-0000-0000EF170000}"/>
    <cellStyle name="Normal 2 50 8 2" xfId="4858" xr:uid="{00000000-0005-0000-0000-0000F0170000}"/>
    <cellStyle name="Normal 2 50 8 2 2" xfId="22629" xr:uid="{00000000-0005-0000-0000-0000F1170000}"/>
    <cellStyle name="Normal 2 50 8 3" xfId="4859" xr:uid="{00000000-0005-0000-0000-0000F2170000}"/>
    <cellStyle name="Normal 2 50 8 3 2" xfId="22630" xr:uid="{00000000-0005-0000-0000-0000F3170000}"/>
    <cellStyle name="Normal 2 50 8 4" xfId="4860" xr:uid="{00000000-0005-0000-0000-0000F4170000}"/>
    <cellStyle name="Normal 2 50 8 4 2" xfId="22631" xr:uid="{00000000-0005-0000-0000-0000F5170000}"/>
    <cellStyle name="Normal 2 50 8 5" xfId="4861" xr:uid="{00000000-0005-0000-0000-0000F6170000}"/>
    <cellStyle name="Normal 2 50 8 5 2" xfId="22632" xr:uid="{00000000-0005-0000-0000-0000F7170000}"/>
    <cellStyle name="Normal 2 50 8 6" xfId="4862" xr:uid="{00000000-0005-0000-0000-0000F8170000}"/>
    <cellStyle name="Normal 2 50 8 6 2" xfId="22633" xr:uid="{00000000-0005-0000-0000-0000F9170000}"/>
    <cellStyle name="Normal 2 50 8 7" xfId="4863" xr:uid="{00000000-0005-0000-0000-0000FA170000}"/>
    <cellStyle name="Normal 2 50 8 7 2" xfId="22634" xr:uid="{00000000-0005-0000-0000-0000FB170000}"/>
    <cellStyle name="Normal 2 50 8 8" xfId="4864" xr:uid="{00000000-0005-0000-0000-0000FC170000}"/>
    <cellStyle name="Normal 2 50 8 8 2" xfId="22635" xr:uid="{00000000-0005-0000-0000-0000FD170000}"/>
    <cellStyle name="Normal 2 50 8 9" xfId="4865" xr:uid="{00000000-0005-0000-0000-0000FE170000}"/>
    <cellStyle name="Normal 2 50 8 9 2" xfId="22636" xr:uid="{00000000-0005-0000-0000-0000FF170000}"/>
    <cellStyle name="Normal 2 50 9" xfId="4866" xr:uid="{00000000-0005-0000-0000-000000180000}"/>
    <cellStyle name="Normal 2 50 9 10" xfId="4867" xr:uid="{00000000-0005-0000-0000-000001180000}"/>
    <cellStyle name="Normal 2 50 9 10 2" xfId="22638" xr:uid="{00000000-0005-0000-0000-000002180000}"/>
    <cellStyle name="Normal 2 50 9 11" xfId="4868" xr:uid="{00000000-0005-0000-0000-000003180000}"/>
    <cellStyle name="Normal 2 50 9 11 2" xfId="22639" xr:uid="{00000000-0005-0000-0000-000004180000}"/>
    <cellStyle name="Normal 2 50 9 12" xfId="4869" xr:uid="{00000000-0005-0000-0000-000005180000}"/>
    <cellStyle name="Normal 2 50 9 12 2" xfId="22640" xr:uid="{00000000-0005-0000-0000-000006180000}"/>
    <cellStyle name="Normal 2 50 9 13" xfId="4870" xr:uid="{00000000-0005-0000-0000-000007180000}"/>
    <cellStyle name="Normal 2 50 9 13 2" xfId="22641" xr:uid="{00000000-0005-0000-0000-000008180000}"/>
    <cellStyle name="Normal 2 50 9 14" xfId="4871" xr:uid="{00000000-0005-0000-0000-000009180000}"/>
    <cellStyle name="Normal 2 50 9 14 2" xfId="22642" xr:uid="{00000000-0005-0000-0000-00000A180000}"/>
    <cellStyle name="Normal 2 50 9 15" xfId="22637" xr:uid="{00000000-0005-0000-0000-00000B180000}"/>
    <cellStyle name="Normal 2 50 9 2" xfId="4872" xr:uid="{00000000-0005-0000-0000-00000C180000}"/>
    <cellStyle name="Normal 2 50 9 2 2" xfId="22643" xr:uid="{00000000-0005-0000-0000-00000D180000}"/>
    <cellStyle name="Normal 2 50 9 3" xfId="4873" xr:uid="{00000000-0005-0000-0000-00000E180000}"/>
    <cellStyle name="Normal 2 50 9 3 2" xfId="22644" xr:uid="{00000000-0005-0000-0000-00000F180000}"/>
    <cellStyle name="Normal 2 50 9 4" xfId="4874" xr:uid="{00000000-0005-0000-0000-000010180000}"/>
    <cellStyle name="Normal 2 50 9 4 2" xfId="22645" xr:uid="{00000000-0005-0000-0000-000011180000}"/>
    <cellStyle name="Normal 2 50 9 5" xfId="4875" xr:uid="{00000000-0005-0000-0000-000012180000}"/>
    <cellStyle name="Normal 2 50 9 5 2" xfId="22646" xr:uid="{00000000-0005-0000-0000-000013180000}"/>
    <cellStyle name="Normal 2 50 9 6" xfId="4876" xr:uid="{00000000-0005-0000-0000-000014180000}"/>
    <cellStyle name="Normal 2 50 9 6 2" xfId="22647" xr:uid="{00000000-0005-0000-0000-000015180000}"/>
    <cellStyle name="Normal 2 50 9 7" xfId="4877" xr:uid="{00000000-0005-0000-0000-000016180000}"/>
    <cellStyle name="Normal 2 50 9 7 2" xfId="22648" xr:uid="{00000000-0005-0000-0000-000017180000}"/>
    <cellStyle name="Normal 2 50 9 8" xfId="4878" xr:uid="{00000000-0005-0000-0000-000018180000}"/>
    <cellStyle name="Normal 2 50 9 8 2" xfId="22649" xr:uid="{00000000-0005-0000-0000-000019180000}"/>
    <cellStyle name="Normal 2 50 9 9" xfId="4879" xr:uid="{00000000-0005-0000-0000-00001A180000}"/>
    <cellStyle name="Normal 2 50 9 9 2" xfId="22650" xr:uid="{00000000-0005-0000-0000-00001B180000}"/>
    <cellStyle name="Normal 2 51" xfId="4880" xr:uid="{00000000-0005-0000-0000-00001C180000}"/>
    <cellStyle name="Normal 2 51 10" xfId="4881" xr:uid="{00000000-0005-0000-0000-00001D180000}"/>
    <cellStyle name="Normal 2 51 10 10" xfId="4882" xr:uid="{00000000-0005-0000-0000-00001E180000}"/>
    <cellStyle name="Normal 2 51 10 10 2" xfId="22653" xr:uid="{00000000-0005-0000-0000-00001F180000}"/>
    <cellStyle name="Normal 2 51 10 11" xfId="4883" xr:uid="{00000000-0005-0000-0000-000020180000}"/>
    <cellStyle name="Normal 2 51 10 11 2" xfId="22654" xr:uid="{00000000-0005-0000-0000-000021180000}"/>
    <cellStyle name="Normal 2 51 10 12" xfId="4884" xr:uid="{00000000-0005-0000-0000-000022180000}"/>
    <cellStyle name="Normal 2 51 10 12 2" xfId="22655" xr:uid="{00000000-0005-0000-0000-000023180000}"/>
    <cellStyle name="Normal 2 51 10 13" xfId="4885" xr:uid="{00000000-0005-0000-0000-000024180000}"/>
    <cellStyle name="Normal 2 51 10 13 2" xfId="22656" xr:uid="{00000000-0005-0000-0000-000025180000}"/>
    <cellStyle name="Normal 2 51 10 14" xfId="4886" xr:uid="{00000000-0005-0000-0000-000026180000}"/>
    <cellStyle name="Normal 2 51 10 14 2" xfId="22657" xr:uid="{00000000-0005-0000-0000-000027180000}"/>
    <cellStyle name="Normal 2 51 10 15" xfId="22652" xr:uid="{00000000-0005-0000-0000-000028180000}"/>
    <cellStyle name="Normal 2 51 10 2" xfId="4887" xr:uid="{00000000-0005-0000-0000-000029180000}"/>
    <cellStyle name="Normal 2 51 10 2 2" xfId="22658" xr:uid="{00000000-0005-0000-0000-00002A180000}"/>
    <cellStyle name="Normal 2 51 10 3" xfId="4888" xr:uid="{00000000-0005-0000-0000-00002B180000}"/>
    <cellStyle name="Normal 2 51 10 3 2" xfId="22659" xr:uid="{00000000-0005-0000-0000-00002C180000}"/>
    <cellStyle name="Normal 2 51 10 4" xfId="4889" xr:uid="{00000000-0005-0000-0000-00002D180000}"/>
    <cellStyle name="Normal 2 51 10 4 2" xfId="22660" xr:uid="{00000000-0005-0000-0000-00002E180000}"/>
    <cellStyle name="Normal 2 51 10 5" xfId="4890" xr:uid="{00000000-0005-0000-0000-00002F180000}"/>
    <cellStyle name="Normal 2 51 10 5 2" xfId="22661" xr:uid="{00000000-0005-0000-0000-000030180000}"/>
    <cellStyle name="Normal 2 51 10 6" xfId="4891" xr:uid="{00000000-0005-0000-0000-000031180000}"/>
    <cellStyle name="Normal 2 51 10 6 2" xfId="22662" xr:uid="{00000000-0005-0000-0000-000032180000}"/>
    <cellStyle name="Normal 2 51 10 7" xfId="4892" xr:uid="{00000000-0005-0000-0000-000033180000}"/>
    <cellStyle name="Normal 2 51 10 7 2" xfId="22663" xr:uid="{00000000-0005-0000-0000-000034180000}"/>
    <cellStyle name="Normal 2 51 10 8" xfId="4893" xr:uid="{00000000-0005-0000-0000-000035180000}"/>
    <cellStyle name="Normal 2 51 10 8 2" xfId="22664" xr:uid="{00000000-0005-0000-0000-000036180000}"/>
    <cellStyle name="Normal 2 51 10 9" xfId="4894" xr:uid="{00000000-0005-0000-0000-000037180000}"/>
    <cellStyle name="Normal 2 51 10 9 2" xfId="22665" xr:uid="{00000000-0005-0000-0000-000038180000}"/>
    <cellStyle name="Normal 2 51 11" xfId="4895" xr:uid="{00000000-0005-0000-0000-000039180000}"/>
    <cellStyle name="Normal 2 51 11 2" xfId="22666" xr:uid="{00000000-0005-0000-0000-00003A180000}"/>
    <cellStyle name="Normal 2 51 12" xfId="4896" xr:uid="{00000000-0005-0000-0000-00003B180000}"/>
    <cellStyle name="Normal 2 51 12 2" xfId="22667" xr:uid="{00000000-0005-0000-0000-00003C180000}"/>
    <cellStyle name="Normal 2 51 13" xfId="4897" xr:uid="{00000000-0005-0000-0000-00003D180000}"/>
    <cellStyle name="Normal 2 51 13 2" xfId="22668" xr:uid="{00000000-0005-0000-0000-00003E180000}"/>
    <cellStyle name="Normal 2 51 14" xfId="4898" xr:uid="{00000000-0005-0000-0000-00003F180000}"/>
    <cellStyle name="Normal 2 51 14 2" xfId="22669" xr:uid="{00000000-0005-0000-0000-000040180000}"/>
    <cellStyle name="Normal 2 51 15" xfId="4899" xr:uid="{00000000-0005-0000-0000-000041180000}"/>
    <cellStyle name="Normal 2 51 15 2" xfId="22670" xr:uid="{00000000-0005-0000-0000-000042180000}"/>
    <cellStyle name="Normal 2 51 16" xfId="4900" xr:uid="{00000000-0005-0000-0000-000043180000}"/>
    <cellStyle name="Normal 2 51 16 2" xfId="22671" xr:uid="{00000000-0005-0000-0000-000044180000}"/>
    <cellStyle name="Normal 2 51 17" xfId="4901" xr:uid="{00000000-0005-0000-0000-000045180000}"/>
    <cellStyle name="Normal 2 51 17 2" xfId="22672" xr:uid="{00000000-0005-0000-0000-000046180000}"/>
    <cellStyle name="Normal 2 51 18" xfId="4902" xr:uid="{00000000-0005-0000-0000-000047180000}"/>
    <cellStyle name="Normal 2 51 18 2" xfId="22673" xr:uid="{00000000-0005-0000-0000-000048180000}"/>
    <cellStyle name="Normal 2 51 19" xfId="4903" xr:uid="{00000000-0005-0000-0000-000049180000}"/>
    <cellStyle name="Normal 2 51 19 2" xfId="22674" xr:uid="{00000000-0005-0000-0000-00004A180000}"/>
    <cellStyle name="Normal 2 51 2" xfId="4904" xr:uid="{00000000-0005-0000-0000-00004B180000}"/>
    <cellStyle name="Normal 2 51 2 10" xfId="4905" xr:uid="{00000000-0005-0000-0000-00004C180000}"/>
    <cellStyle name="Normal 2 51 2 10 2" xfId="22676" xr:uid="{00000000-0005-0000-0000-00004D180000}"/>
    <cellStyle name="Normal 2 51 2 11" xfId="4906" xr:uid="{00000000-0005-0000-0000-00004E180000}"/>
    <cellStyle name="Normal 2 51 2 11 2" xfId="22677" xr:uid="{00000000-0005-0000-0000-00004F180000}"/>
    <cellStyle name="Normal 2 51 2 12" xfId="4907" xr:uid="{00000000-0005-0000-0000-000050180000}"/>
    <cellStyle name="Normal 2 51 2 12 2" xfId="22678" xr:uid="{00000000-0005-0000-0000-000051180000}"/>
    <cellStyle name="Normal 2 51 2 13" xfId="4908" xr:uid="{00000000-0005-0000-0000-000052180000}"/>
    <cellStyle name="Normal 2 51 2 13 2" xfId="22679" xr:uid="{00000000-0005-0000-0000-000053180000}"/>
    <cellStyle name="Normal 2 51 2 14" xfId="4909" xr:uid="{00000000-0005-0000-0000-000054180000}"/>
    <cellStyle name="Normal 2 51 2 14 2" xfId="22680" xr:uid="{00000000-0005-0000-0000-000055180000}"/>
    <cellStyle name="Normal 2 51 2 15" xfId="4910" xr:uid="{00000000-0005-0000-0000-000056180000}"/>
    <cellStyle name="Normal 2 51 2 15 2" xfId="22681" xr:uid="{00000000-0005-0000-0000-000057180000}"/>
    <cellStyle name="Normal 2 51 2 16" xfId="22675" xr:uid="{00000000-0005-0000-0000-000058180000}"/>
    <cellStyle name="Normal 2 51 2 2" xfId="4911" xr:uid="{00000000-0005-0000-0000-000059180000}"/>
    <cellStyle name="Normal 2 51 2 2 10" xfId="4912" xr:uid="{00000000-0005-0000-0000-00005A180000}"/>
    <cellStyle name="Normal 2 51 2 2 10 2" xfId="22683" xr:uid="{00000000-0005-0000-0000-00005B180000}"/>
    <cellStyle name="Normal 2 51 2 2 11" xfId="4913" xr:uid="{00000000-0005-0000-0000-00005C180000}"/>
    <cellStyle name="Normal 2 51 2 2 11 2" xfId="22684" xr:uid="{00000000-0005-0000-0000-00005D180000}"/>
    <cellStyle name="Normal 2 51 2 2 12" xfId="4914" xr:uid="{00000000-0005-0000-0000-00005E180000}"/>
    <cellStyle name="Normal 2 51 2 2 12 2" xfId="22685" xr:uid="{00000000-0005-0000-0000-00005F180000}"/>
    <cellStyle name="Normal 2 51 2 2 13" xfId="4915" xr:uid="{00000000-0005-0000-0000-000060180000}"/>
    <cellStyle name="Normal 2 51 2 2 13 2" xfId="22686" xr:uid="{00000000-0005-0000-0000-000061180000}"/>
    <cellStyle name="Normal 2 51 2 2 14" xfId="4916" xr:uid="{00000000-0005-0000-0000-000062180000}"/>
    <cellStyle name="Normal 2 51 2 2 14 2" xfId="22687" xr:uid="{00000000-0005-0000-0000-000063180000}"/>
    <cellStyle name="Normal 2 51 2 2 15" xfId="22682" xr:uid="{00000000-0005-0000-0000-000064180000}"/>
    <cellStyle name="Normal 2 51 2 2 2" xfId="4917" xr:uid="{00000000-0005-0000-0000-000065180000}"/>
    <cellStyle name="Normal 2 51 2 2 2 2" xfId="22688" xr:uid="{00000000-0005-0000-0000-000066180000}"/>
    <cellStyle name="Normal 2 51 2 2 3" xfId="4918" xr:uid="{00000000-0005-0000-0000-000067180000}"/>
    <cellStyle name="Normal 2 51 2 2 3 2" xfId="22689" xr:uid="{00000000-0005-0000-0000-000068180000}"/>
    <cellStyle name="Normal 2 51 2 2 4" xfId="4919" xr:uid="{00000000-0005-0000-0000-000069180000}"/>
    <cellStyle name="Normal 2 51 2 2 4 2" xfId="22690" xr:uid="{00000000-0005-0000-0000-00006A180000}"/>
    <cellStyle name="Normal 2 51 2 2 5" xfId="4920" xr:uid="{00000000-0005-0000-0000-00006B180000}"/>
    <cellStyle name="Normal 2 51 2 2 5 2" xfId="22691" xr:uid="{00000000-0005-0000-0000-00006C180000}"/>
    <cellStyle name="Normal 2 51 2 2 6" xfId="4921" xr:uid="{00000000-0005-0000-0000-00006D180000}"/>
    <cellStyle name="Normal 2 51 2 2 6 2" xfId="22692" xr:uid="{00000000-0005-0000-0000-00006E180000}"/>
    <cellStyle name="Normal 2 51 2 2 7" xfId="4922" xr:uid="{00000000-0005-0000-0000-00006F180000}"/>
    <cellStyle name="Normal 2 51 2 2 7 2" xfId="22693" xr:uid="{00000000-0005-0000-0000-000070180000}"/>
    <cellStyle name="Normal 2 51 2 2 8" xfId="4923" xr:uid="{00000000-0005-0000-0000-000071180000}"/>
    <cellStyle name="Normal 2 51 2 2 8 2" xfId="22694" xr:uid="{00000000-0005-0000-0000-000072180000}"/>
    <cellStyle name="Normal 2 51 2 2 9" xfId="4924" xr:uid="{00000000-0005-0000-0000-000073180000}"/>
    <cellStyle name="Normal 2 51 2 2 9 2" xfId="22695" xr:uid="{00000000-0005-0000-0000-000074180000}"/>
    <cellStyle name="Normal 2 51 2 3" xfId="4925" xr:uid="{00000000-0005-0000-0000-000075180000}"/>
    <cellStyle name="Normal 2 51 2 3 2" xfId="22696" xr:uid="{00000000-0005-0000-0000-000076180000}"/>
    <cellStyle name="Normal 2 51 2 4" xfId="4926" xr:uid="{00000000-0005-0000-0000-000077180000}"/>
    <cellStyle name="Normal 2 51 2 4 2" xfId="22697" xr:uid="{00000000-0005-0000-0000-000078180000}"/>
    <cellStyle name="Normal 2 51 2 5" xfId="4927" xr:uid="{00000000-0005-0000-0000-000079180000}"/>
    <cellStyle name="Normal 2 51 2 5 2" xfId="22698" xr:uid="{00000000-0005-0000-0000-00007A180000}"/>
    <cellStyle name="Normal 2 51 2 6" xfId="4928" xr:uid="{00000000-0005-0000-0000-00007B180000}"/>
    <cellStyle name="Normal 2 51 2 6 2" xfId="22699" xr:uid="{00000000-0005-0000-0000-00007C180000}"/>
    <cellStyle name="Normal 2 51 2 7" xfId="4929" xr:uid="{00000000-0005-0000-0000-00007D180000}"/>
    <cellStyle name="Normal 2 51 2 7 2" xfId="22700" xr:uid="{00000000-0005-0000-0000-00007E180000}"/>
    <cellStyle name="Normal 2 51 2 8" xfId="4930" xr:uid="{00000000-0005-0000-0000-00007F180000}"/>
    <cellStyle name="Normal 2 51 2 8 2" xfId="22701" xr:uid="{00000000-0005-0000-0000-000080180000}"/>
    <cellStyle name="Normal 2 51 2 9" xfId="4931" xr:uid="{00000000-0005-0000-0000-000081180000}"/>
    <cellStyle name="Normal 2 51 2 9 2" xfId="22702" xr:uid="{00000000-0005-0000-0000-000082180000}"/>
    <cellStyle name="Normal 2 51 20" xfId="4932" xr:uid="{00000000-0005-0000-0000-000083180000}"/>
    <cellStyle name="Normal 2 51 20 2" xfId="22703" xr:uid="{00000000-0005-0000-0000-000084180000}"/>
    <cellStyle name="Normal 2 51 21" xfId="4933" xr:uid="{00000000-0005-0000-0000-000085180000}"/>
    <cellStyle name="Normal 2 51 21 2" xfId="22704" xr:uid="{00000000-0005-0000-0000-000086180000}"/>
    <cellStyle name="Normal 2 51 22" xfId="4934" xr:uid="{00000000-0005-0000-0000-000087180000}"/>
    <cellStyle name="Normal 2 51 22 2" xfId="22705" xr:uid="{00000000-0005-0000-0000-000088180000}"/>
    <cellStyle name="Normal 2 51 23" xfId="4935" xr:uid="{00000000-0005-0000-0000-000089180000}"/>
    <cellStyle name="Normal 2 51 23 2" xfId="22706" xr:uid="{00000000-0005-0000-0000-00008A180000}"/>
    <cellStyle name="Normal 2 51 24" xfId="22651" xr:uid="{00000000-0005-0000-0000-00008B180000}"/>
    <cellStyle name="Normal 2 51 3" xfId="4936" xr:uid="{00000000-0005-0000-0000-00008C180000}"/>
    <cellStyle name="Normal 2 51 3 10" xfId="4937" xr:uid="{00000000-0005-0000-0000-00008D180000}"/>
    <cellStyle name="Normal 2 51 3 10 2" xfId="22708" xr:uid="{00000000-0005-0000-0000-00008E180000}"/>
    <cellStyle name="Normal 2 51 3 11" xfId="4938" xr:uid="{00000000-0005-0000-0000-00008F180000}"/>
    <cellStyle name="Normal 2 51 3 11 2" xfId="22709" xr:uid="{00000000-0005-0000-0000-000090180000}"/>
    <cellStyle name="Normal 2 51 3 12" xfId="4939" xr:uid="{00000000-0005-0000-0000-000091180000}"/>
    <cellStyle name="Normal 2 51 3 12 2" xfId="22710" xr:uid="{00000000-0005-0000-0000-000092180000}"/>
    <cellStyle name="Normal 2 51 3 13" xfId="4940" xr:uid="{00000000-0005-0000-0000-000093180000}"/>
    <cellStyle name="Normal 2 51 3 13 2" xfId="22711" xr:uid="{00000000-0005-0000-0000-000094180000}"/>
    <cellStyle name="Normal 2 51 3 14" xfId="4941" xr:uid="{00000000-0005-0000-0000-000095180000}"/>
    <cellStyle name="Normal 2 51 3 14 2" xfId="22712" xr:uid="{00000000-0005-0000-0000-000096180000}"/>
    <cellStyle name="Normal 2 51 3 15" xfId="4942" xr:uid="{00000000-0005-0000-0000-000097180000}"/>
    <cellStyle name="Normal 2 51 3 15 2" xfId="22713" xr:uid="{00000000-0005-0000-0000-000098180000}"/>
    <cellStyle name="Normal 2 51 3 16" xfId="22707" xr:uid="{00000000-0005-0000-0000-000099180000}"/>
    <cellStyle name="Normal 2 51 3 2" xfId="4943" xr:uid="{00000000-0005-0000-0000-00009A180000}"/>
    <cellStyle name="Normal 2 51 3 2 10" xfId="4944" xr:uid="{00000000-0005-0000-0000-00009B180000}"/>
    <cellStyle name="Normal 2 51 3 2 10 2" xfId="22715" xr:uid="{00000000-0005-0000-0000-00009C180000}"/>
    <cellStyle name="Normal 2 51 3 2 11" xfId="4945" xr:uid="{00000000-0005-0000-0000-00009D180000}"/>
    <cellStyle name="Normal 2 51 3 2 11 2" xfId="22716" xr:uid="{00000000-0005-0000-0000-00009E180000}"/>
    <cellStyle name="Normal 2 51 3 2 12" xfId="4946" xr:uid="{00000000-0005-0000-0000-00009F180000}"/>
    <cellStyle name="Normal 2 51 3 2 12 2" xfId="22717" xr:uid="{00000000-0005-0000-0000-0000A0180000}"/>
    <cellStyle name="Normal 2 51 3 2 13" xfId="4947" xr:uid="{00000000-0005-0000-0000-0000A1180000}"/>
    <cellStyle name="Normal 2 51 3 2 13 2" xfId="22718" xr:uid="{00000000-0005-0000-0000-0000A2180000}"/>
    <cellStyle name="Normal 2 51 3 2 14" xfId="4948" xr:uid="{00000000-0005-0000-0000-0000A3180000}"/>
    <cellStyle name="Normal 2 51 3 2 14 2" xfId="22719" xr:uid="{00000000-0005-0000-0000-0000A4180000}"/>
    <cellStyle name="Normal 2 51 3 2 15" xfId="22714" xr:uid="{00000000-0005-0000-0000-0000A5180000}"/>
    <cellStyle name="Normal 2 51 3 2 2" xfId="4949" xr:uid="{00000000-0005-0000-0000-0000A6180000}"/>
    <cellStyle name="Normal 2 51 3 2 2 2" xfId="22720" xr:uid="{00000000-0005-0000-0000-0000A7180000}"/>
    <cellStyle name="Normal 2 51 3 2 3" xfId="4950" xr:uid="{00000000-0005-0000-0000-0000A8180000}"/>
    <cellStyle name="Normal 2 51 3 2 3 2" xfId="22721" xr:uid="{00000000-0005-0000-0000-0000A9180000}"/>
    <cellStyle name="Normal 2 51 3 2 4" xfId="4951" xr:uid="{00000000-0005-0000-0000-0000AA180000}"/>
    <cellStyle name="Normal 2 51 3 2 4 2" xfId="22722" xr:uid="{00000000-0005-0000-0000-0000AB180000}"/>
    <cellStyle name="Normal 2 51 3 2 5" xfId="4952" xr:uid="{00000000-0005-0000-0000-0000AC180000}"/>
    <cellStyle name="Normal 2 51 3 2 5 2" xfId="22723" xr:uid="{00000000-0005-0000-0000-0000AD180000}"/>
    <cellStyle name="Normal 2 51 3 2 6" xfId="4953" xr:uid="{00000000-0005-0000-0000-0000AE180000}"/>
    <cellStyle name="Normal 2 51 3 2 6 2" xfId="22724" xr:uid="{00000000-0005-0000-0000-0000AF180000}"/>
    <cellStyle name="Normal 2 51 3 2 7" xfId="4954" xr:uid="{00000000-0005-0000-0000-0000B0180000}"/>
    <cellStyle name="Normal 2 51 3 2 7 2" xfId="22725" xr:uid="{00000000-0005-0000-0000-0000B1180000}"/>
    <cellStyle name="Normal 2 51 3 2 8" xfId="4955" xr:uid="{00000000-0005-0000-0000-0000B2180000}"/>
    <cellStyle name="Normal 2 51 3 2 8 2" xfId="22726" xr:uid="{00000000-0005-0000-0000-0000B3180000}"/>
    <cellStyle name="Normal 2 51 3 2 9" xfId="4956" xr:uid="{00000000-0005-0000-0000-0000B4180000}"/>
    <cellStyle name="Normal 2 51 3 2 9 2" xfId="22727" xr:uid="{00000000-0005-0000-0000-0000B5180000}"/>
    <cellStyle name="Normal 2 51 3 3" xfId="4957" xr:uid="{00000000-0005-0000-0000-0000B6180000}"/>
    <cellStyle name="Normal 2 51 3 3 2" xfId="22728" xr:uid="{00000000-0005-0000-0000-0000B7180000}"/>
    <cellStyle name="Normal 2 51 3 4" xfId="4958" xr:uid="{00000000-0005-0000-0000-0000B8180000}"/>
    <cellStyle name="Normal 2 51 3 4 2" xfId="22729" xr:uid="{00000000-0005-0000-0000-0000B9180000}"/>
    <cellStyle name="Normal 2 51 3 5" xfId="4959" xr:uid="{00000000-0005-0000-0000-0000BA180000}"/>
    <cellStyle name="Normal 2 51 3 5 2" xfId="22730" xr:uid="{00000000-0005-0000-0000-0000BB180000}"/>
    <cellStyle name="Normal 2 51 3 6" xfId="4960" xr:uid="{00000000-0005-0000-0000-0000BC180000}"/>
    <cellStyle name="Normal 2 51 3 6 2" xfId="22731" xr:uid="{00000000-0005-0000-0000-0000BD180000}"/>
    <cellStyle name="Normal 2 51 3 7" xfId="4961" xr:uid="{00000000-0005-0000-0000-0000BE180000}"/>
    <cellStyle name="Normal 2 51 3 7 2" xfId="22732" xr:uid="{00000000-0005-0000-0000-0000BF180000}"/>
    <cellStyle name="Normal 2 51 3 8" xfId="4962" xr:uid="{00000000-0005-0000-0000-0000C0180000}"/>
    <cellStyle name="Normal 2 51 3 8 2" xfId="22733" xr:uid="{00000000-0005-0000-0000-0000C1180000}"/>
    <cellStyle name="Normal 2 51 3 9" xfId="4963" xr:uid="{00000000-0005-0000-0000-0000C2180000}"/>
    <cellStyle name="Normal 2 51 3 9 2" xfId="22734" xr:uid="{00000000-0005-0000-0000-0000C3180000}"/>
    <cellStyle name="Normal 2 51 4" xfId="4964" xr:uid="{00000000-0005-0000-0000-0000C4180000}"/>
    <cellStyle name="Normal 2 51 4 10" xfId="4965" xr:uid="{00000000-0005-0000-0000-0000C5180000}"/>
    <cellStyle name="Normal 2 51 4 10 2" xfId="22736" xr:uid="{00000000-0005-0000-0000-0000C6180000}"/>
    <cellStyle name="Normal 2 51 4 11" xfId="4966" xr:uid="{00000000-0005-0000-0000-0000C7180000}"/>
    <cellStyle name="Normal 2 51 4 11 2" xfId="22737" xr:uid="{00000000-0005-0000-0000-0000C8180000}"/>
    <cellStyle name="Normal 2 51 4 12" xfId="4967" xr:uid="{00000000-0005-0000-0000-0000C9180000}"/>
    <cellStyle name="Normal 2 51 4 12 2" xfId="22738" xr:uid="{00000000-0005-0000-0000-0000CA180000}"/>
    <cellStyle name="Normal 2 51 4 13" xfId="4968" xr:uid="{00000000-0005-0000-0000-0000CB180000}"/>
    <cellStyle name="Normal 2 51 4 13 2" xfId="22739" xr:uid="{00000000-0005-0000-0000-0000CC180000}"/>
    <cellStyle name="Normal 2 51 4 14" xfId="4969" xr:uid="{00000000-0005-0000-0000-0000CD180000}"/>
    <cellStyle name="Normal 2 51 4 14 2" xfId="22740" xr:uid="{00000000-0005-0000-0000-0000CE180000}"/>
    <cellStyle name="Normal 2 51 4 15" xfId="4970" xr:uid="{00000000-0005-0000-0000-0000CF180000}"/>
    <cellStyle name="Normal 2 51 4 15 2" xfId="22741" xr:uid="{00000000-0005-0000-0000-0000D0180000}"/>
    <cellStyle name="Normal 2 51 4 16" xfId="22735" xr:uid="{00000000-0005-0000-0000-0000D1180000}"/>
    <cellStyle name="Normal 2 51 4 2" xfId="4971" xr:uid="{00000000-0005-0000-0000-0000D2180000}"/>
    <cellStyle name="Normal 2 51 4 2 10" xfId="4972" xr:uid="{00000000-0005-0000-0000-0000D3180000}"/>
    <cellStyle name="Normal 2 51 4 2 10 2" xfId="22743" xr:uid="{00000000-0005-0000-0000-0000D4180000}"/>
    <cellStyle name="Normal 2 51 4 2 11" xfId="4973" xr:uid="{00000000-0005-0000-0000-0000D5180000}"/>
    <cellStyle name="Normal 2 51 4 2 11 2" xfId="22744" xr:uid="{00000000-0005-0000-0000-0000D6180000}"/>
    <cellStyle name="Normal 2 51 4 2 12" xfId="4974" xr:uid="{00000000-0005-0000-0000-0000D7180000}"/>
    <cellStyle name="Normal 2 51 4 2 12 2" xfId="22745" xr:uid="{00000000-0005-0000-0000-0000D8180000}"/>
    <cellStyle name="Normal 2 51 4 2 13" xfId="4975" xr:uid="{00000000-0005-0000-0000-0000D9180000}"/>
    <cellStyle name="Normal 2 51 4 2 13 2" xfId="22746" xr:uid="{00000000-0005-0000-0000-0000DA180000}"/>
    <cellStyle name="Normal 2 51 4 2 14" xfId="4976" xr:uid="{00000000-0005-0000-0000-0000DB180000}"/>
    <cellStyle name="Normal 2 51 4 2 14 2" xfId="22747" xr:uid="{00000000-0005-0000-0000-0000DC180000}"/>
    <cellStyle name="Normal 2 51 4 2 15" xfId="22742" xr:uid="{00000000-0005-0000-0000-0000DD180000}"/>
    <cellStyle name="Normal 2 51 4 2 2" xfId="4977" xr:uid="{00000000-0005-0000-0000-0000DE180000}"/>
    <cellStyle name="Normal 2 51 4 2 2 2" xfId="22748" xr:uid="{00000000-0005-0000-0000-0000DF180000}"/>
    <cellStyle name="Normal 2 51 4 2 3" xfId="4978" xr:uid="{00000000-0005-0000-0000-0000E0180000}"/>
    <cellStyle name="Normal 2 51 4 2 3 2" xfId="22749" xr:uid="{00000000-0005-0000-0000-0000E1180000}"/>
    <cellStyle name="Normal 2 51 4 2 4" xfId="4979" xr:uid="{00000000-0005-0000-0000-0000E2180000}"/>
    <cellStyle name="Normal 2 51 4 2 4 2" xfId="22750" xr:uid="{00000000-0005-0000-0000-0000E3180000}"/>
    <cellStyle name="Normal 2 51 4 2 5" xfId="4980" xr:uid="{00000000-0005-0000-0000-0000E4180000}"/>
    <cellStyle name="Normal 2 51 4 2 5 2" xfId="22751" xr:uid="{00000000-0005-0000-0000-0000E5180000}"/>
    <cellStyle name="Normal 2 51 4 2 6" xfId="4981" xr:uid="{00000000-0005-0000-0000-0000E6180000}"/>
    <cellStyle name="Normal 2 51 4 2 6 2" xfId="22752" xr:uid="{00000000-0005-0000-0000-0000E7180000}"/>
    <cellStyle name="Normal 2 51 4 2 7" xfId="4982" xr:uid="{00000000-0005-0000-0000-0000E8180000}"/>
    <cellStyle name="Normal 2 51 4 2 7 2" xfId="22753" xr:uid="{00000000-0005-0000-0000-0000E9180000}"/>
    <cellStyle name="Normal 2 51 4 2 8" xfId="4983" xr:uid="{00000000-0005-0000-0000-0000EA180000}"/>
    <cellStyle name="Normal 2 51 4 2 8 2" xfId="22754" xr:uid="{00000000-0005-0000-0000-0000EB180000}"/>
    <cellStyle name="Normal 2 51 4 2 9" xfId="4984" xr:uid="{00000000-0005-0000-0000-0000EC180000}"/>
    <cellStyle name="Normal 2 51 4 2 9 2" xfId="22755" xr:uid="{00000000-0005-0000-0000-0000ED180000}"/>
    <cellStyle name="Normal 2 51 4 3" xfId="4985" xr:uid="{00000000-0005-0000-0000-0000EE180000}"/>
    <cellStyle name="Normal 2 51 4 3 2" xfId="22756" xr:uid="{00000000-0005-0000-0000-0000EF180000}"/>
    <cellStyle name="Normal 2 51 4 4" xfId="4986" xr:uid="{00000000-0005-0000-0000-0000F0180000}"/>
    <cellStyle name="Normal 2 51 4 4 2" xfId="22757" xr:uid="{00000000-0005-0000-0000-0000F1180000}"/>
    <cellStyle name="Normal 2 51 4 5" xfId="4987" xr:uid="{00000000-0005-0000-0000-0000F2180000}"/>
    <cellStyle name="Normal 2 51 4 5 2" xfId="22758" xr:uid="{00000000-0005-0000-0000-0000F3180000}"/>
    <cellStyle name="Normal 2 51 4 6" xfId="4988" xr:uid="{00000000-0005-0000-0000-0000F4180000}"/>
    <cellStyle name="Normal 2 51 4 6 2" xfId="22759" xr:uid="{00000000-0005-0000-0000-0000F5180000}"/>
    <cellStyle name="Normal 2 51 4 7" xfId="4989" xr:uid="{00000000-0005-0000-0000-0000F6180000}"/>
    <cellStyle name="Normal 2 51 4 7 2" xfId="22760" xr:uid="{00000000-0005-0000-0000-0000F7180000}"/>
    <cellStyle name="Normal 2 51 4 8" xfId="4990" xr:uid="{00000000-0005-0000-0000-0000F8180000}"/>
    <cellStyle name="Normal 2 51 4 8 2" xfId="22761" xr:uid="{00000000-0005-0000-0000-0000F9180000}"/>
    <cellStyle name="Normal 2 51 4 9" xfId="4991" xr:uid="{00000000-0005-0000-0000-0000FA180000}"/>
    <cellStyle name="Normal 2 51 4 9 2" xfId="22762" xr:uid="{00000000-0005-0000-0000-0000FB180000}"/>
    <cellStyle name="Normal 2 51 5" xfId="4992" xr:uid="{00000000-0005-0000-0000-0000FC180000}"/>
    <cellStyle name="Normal 2 51 5 10" xfId="4993" xr:uid="{00000000-0005-0000-0000-0000FD180000}"/>
    <cellStyle name="Normal 2 51 5 10 2" xfId="22764" xr:uid="{00000000-0005-0000-0000-0000FE180000}"/>
    <cellStyle name="Normal 2 51 5 11" xfId="4994" xr:uid="{00000000-0005-0000-0000-0000FF180000}"/>
    <cellStyle name="Normal 2 51 5 11 2" xfId="22765" xr:uid="{00000000-0005-0000-0000-000000190000}"/>
    <cellStyle name="Normal 2 51 5 12" xfId="4995" xr:uid="{00000000-0005-0000-0000-000001190000}"/>
    <cellStyle name="Normal 2 51 5 12 2" xfId="22766" xr:uid="{00000000-0005-0000-0000-000002190000}"/>
    <cellStyle name="Normal 2 51 5 13" xfId="4996" xr:uid="{00000000-0005-0000-0000-000003190000}"/>
    <cellStyle name="Normal 2 51 5 13 2" xfId="22767" xr:uid="{00000000-0005-0000-0000-000004190000}"/>
    <cellStyle name="Normal 2 51 5 14" xfId="4997" xr:uid="{00000000-0005-0000-0000-000005190000}"/>
    <cellStyle name="Normal 2 51 5 14 2" xfId="22768" xr:uid="{00000000-0005-0000-0000-000006190000}"/>
    <cellStyle name="Normal 2 51 5 15" xfId="22763" xr:uid="{00000000-0005-0000-0000-000007190000}"/>
    <cellStyle name="Normal 2 51 5 2" xfId="4998" xr:uid="{00000000-0005-0000-0000-000008190000}"/>
    <cellStyle name="Normal 2 51 5 2 2" xfId="22769" xr:uid="{00000000-0005-0000-0000-000009190000}"/>
    <cellStyle name="Normal 2 51 5 3" xfId="4999" xr:uid="{00000000-0005-0000-0000-00000A190000}"/>
    <cellStyle name="Normal 2 51 5 3 2" xfId="22770" xr:uid="{00000000-0005-0000-0000-00000B190000}"/>
    <cellStyle name="Normal 2 51 5 4" xfId="5000" xr:uid="{00000000-0005-0000-0000-00000C190000}"/>
    <cellStyle name="Normal 2 51 5 4 2" xfId="22771" xr:uid="{00000000-0005-0000-0000-00000D190000}"/>
    <cellStyle name="Normal 2 51 5 5" xfId="5001" xr:uid="{00000000-0005-0000-0000-00000E190000}"/>
    <cellStyle name="Normal 2 51 5 5 2" xfId="22772" xr:uid="{00000000-0005-0000-0000-00000F190000}"/>
    <cellStyle name="Normal 2 51 5 6" xfId="5002" xr:uid="{00000000-0005-0000-0000-000010190000}"/>
    <cellStyle name="Normal 2 51 5 6 2" xfId="22773" xr:uid="{00000000-0005-0000-0000-000011190000}"/>
    <cellStyle name="Normal 2 51 5 7" xfId="5003" xr:uid="{00000000-0005-0000-0000-000012190000}"/>
    <cellStyle name="Normal 2 51 5 7 2" xfId="22774" xr:uid="{00000000-0005-0000-0000-000013190000}"/>
    <cellStyle name="Normal 2 51 5 8" xfId="5004" xr:uid="{00000000-0005-0000-0000-000014190000}"/>
    <cellStyle name="Normal 2 51 5 8 2" xfId="22775" xr:uid="{00000000-0005-0000-0000-000015190000}"/>
    <cellStyle name="Normal 2 51 5 9" xfId="5005" xr:uid="{00000000-0005-0000-0000-000016190000}"/>
    <cellStyle name="Normal 2 51 5 9 2" xfId="22776" xr:uid="{00000000-0005-0000-0000-000017190000}"/>
    <cellStyle name="Normal 2 51 6" xfId="5006" xr:uid="{00000000-0005-0000-0000-000018190000}"/>
    <cellStyle name="Normal 2 51 6 10" xfId="5007" xr:uid="{00000000-0005-0000-0000-000019190000}"/>
    <cellStyle name="Normal 2 51 6 10 2" xfId="22778" xr:uid="{00000000-0005-0000-0000-00001A190000}"/>
    <cellStyle name="Normal 2 51 6 11" xfId="5008" xr:uid="{00000000-0005-0000-0000-00001B190000}"/>
    <cellStyle name="Normal 2 51 6 11 2" xfId="22779" xr:uid="{00000000-0005-0000-0000-00001C190000}"/>
    <cellStyle name="Normal 2 51 6 12" xfId="5009" xr:uid="{00000000-0005-0000-0000-00001D190000}"/>
    <cellStyle name="Normal 2 51 6 12 2" xfId="22780" xr:uid="{00000000-0005-0000-0000-00001E190000}"/>
    <cellStyle name="Normal 2 51 6 13" xfId="5010" xr:uid="{00000000-0005-0000-0000-00001F190000}"/>
    <cellStyle name="Normal 2 51 6 13 2" xfId="22781" xr:uid="{00000000-0005-0000-0000-000020190000}"/>
    <cellStyle name="Normal 2 51 6 14" xfId="5011" xr:uid="{00000000-0005-0000-0000-000021190000}"/>
    <cellStyle name="Normal 2 51 6 14 2" xfId="22782" xr:uid="{00000000-0005-0000-0000-000022190000}"/>
    <cellStyle name="Normal 2 51 6 15" xfId="22777" xr:uid="{00000000-0005-0000-0000-000023190000}"/>
    <cellStyle name="Normal 2 51 6 2" xfId="5012" xr:uid="{00000000-0005-0000-0000-000024190000}"/>
    <cellStyle name="Normal 2 51 6 2 2" xfId="22783" xr:uid="{00000000-0005-0000-0000-000025190000}"/>
    <cellStyle name="Normal 2 51 6 3" xfId="5013" xr:uid="{00000000-0005-0000-0000-000026190000}"/>
    <cellStyle name="Normal 2 51 6 3 2" xfId="22784" xr:uid="{00000000-0005-0000-0000-000027190000}"/>
    <cellStyle name="Normal 2 51 6 4" xfId="5014" xr:uid="{00000000-0005-0000-0000-000028190000}"/>
    <cellStyle name="Normal 2 51 6 4 2" xfId="22785" xr:uid="{00000000-0005-0000-0000-000029190000}"/>
    <cellStyle name="Normal 2 51 6 5" xfId="5015" xr:uid="{00000000-0005-0000-0000-00002A190000}"/>
    <cellStyle name="Normal 2 51 6 5 2" xfId="22786" xr:uid="{00000000-0005-0000-0000-00002B190000}"/>
    <cellStyle name="Normal 2 51 6 6" xfId="5016" xr:uid="{00000000-0005-0000-0000-00002C190000}"/>
    <cellStyle name="Normal 2 51 6 6 2" xfId="22787" xr:uid="{00000000-0005-0000-0000-00002D190000}"/>
    <cellStyle name="Normal 2 51 6 7" xfId="5017" xr:uid="{00000000-0005-0000-0000-00002E190000}"/>
    <cellStyle name="Normal 2 51 6 7 2" xfId="22788" xr:uid="{00000000-0005-0000-0000-00002F190000}"/>
    <cellStyle name="Normal 2 51 6 8" xfId="5018" xr:uid="{00000000-0005-0000-0000-000030190000}"/>
    <cellStyle name="Normal 2 51 6 8 2" xfId="22789" xr:uid="{00000000-0005-0000-0000-000031190000}"/>
    <cellStyle name="Normal 2 51 6 9" xfId="5019" xr:uid="{00000000-0005-0000-0000-000032190000}"/>
    <cellStyle name="Normal 2 51 6 9 2" xfId="22790" xr:uid="{00000000-0005-0000-0000-000033190000}"/>
    <cellStyle name="Normal 2 51 7" xfId="5020" xr:uid="{00000000-0005-0000-0000-000034190000}"/>
    <cellStyle name="Normal 2 51 7 10" xfId="5021" xr:uid="{00000000-0005-0000-0000-000035190000}"/>
    <cellStyle name="Normal 2 51 7 10 2" xfId="22792" xr:uid="{00000000-0005-0000-0000-000036190000}"/>
    <cellStyle name="Normal 2 51 7 11" xfId="5022" xr:uid="{00000000-0005-0000-0000-000037190000}"/>
    <cellStyle name="Normal 2 51 7 11 2" xfId="22793" xr:uid="{00000000-0005-0000-0000-000038190000}"/>
    <cellStyle name="Normal 2 51 7 12" xfId="5023" xr:uid="{00000000-0005-0000-0000-000039190000}"/>
    <cellStyle name="Normal 2 51 7 12 2" xfId="22794" xr:uid="{00000000-0005-0000-0000-00003A190000}"/>
    <cellStyle name="Normal 2 51 7 13" xfId="5024" xr:uid="{00000000-0005-0000-0000-00003B190000}"/>
    <cellStyle name="Normal 2 51 7 13 2" xfId="22795" xr:uid="{00000000-0005-0000-0000-00003C190000}"/>
    <cellStyle name="Normal 2 51 7 14" xfId="5025" xr:uid="{00000000-0005-0000-0000-00003D190000}"/>
    <cellStyle name="Normal 2 51 7 14 2" xfId="22796" xr:uid="{00000000-0005-0000-0000-00003E190000}"/>
    <cellStyle name="Normal 2 51 7 15" xfId="22791" xr:uid="{00000000-0005-0000-0000-00003F190000}"/>
    <cellStyle name="Normal 2 51 7 2" xfId="5026" xr:uid="{00000000-0005-0000-0000-000040190000}"/>
    <cellStyle name="Normal 2 51 7 2 2" xfId="22797" xr:uid="{00000000-0005-0000-0000-000041190000}"/>
    <cellStyle name="Normal 2 51 7 3" xfId="5027" xr:uid="{00000000-0005-0000-0000-000042190000}"/>
    <cellStyle name="Normal 2 51 7 3 2" xfId="22798" xr:uid="{00000000-0005-0000-0000-000043190000}"/>
    <cellStyle name="Normal 2 51 7 4" xfId="5028" xr:uid="{00000000-0005-0000-0000-000044190000}"/>
    <cellStyle name="Normal 2 51 7 4 2" xfId="22799" xr:uid="{00000000-0005-0000-0000-000045190000}"/>
    <cellStyle name="Normal 2 51 7 5" xfId="5029" xr:uid="{00000000-0005-0000-0000-000046190000}"/>
    <cellStyle name="Normal 2 51 7 5 2" xfId="22800" xr:uid="{00000000-0005-0000-0000-000047190000}"/>
    <cellStyle name="Normal 2 51 7 6" xfId="5030" xr:uid="{00000000-0005-0000-0000-000048190000}"/>
    <cellStyle name="Normal 2 51 7 6 2" xfId="22801" xr:uid="{00000000-0005-0000-0000-000049190000}"/>
    <cellStyle name="Normal 2 51 7 7" xfId="5031" xr:uid="{00000000-0005-0000-0000-00004A190000}"/>
    <cellStyle name="Normal 2 51 7 7 2" xfId="22802" xr:uid="{00000000-0005-0000-0000-00004B190000}"/>
    <cellStyle name="Normal 2 51 7 8" xfId="5032" xr:uid="{00000000-0005-0000-0000-00004C190000}"/>
    <cellStyle name="Normal 2 51 7 8 2" xfId="22803" xr:uid="{00000000-0005-0000-0000-00004D190000}"/>
    <cellStyle name="Normal 2 51 7 9" xfId="5033" xr:uid="{00000000-0005-0000-0000-00004E190000}"/>
    <cellStyle name="Normal 2 51 7 9 2" xfId="22804" xr:uid="{00000000-0005-0000-0000-00004F190000}"/>
    <cellStyle name="Normal 2 51 8" xfId="5034" xr:uid="{00000000-0005-0000-0000-000050190000}"/>
    <cellStyle name="Normal 2 51 8 10" xfId="5035" xr:uid="{00000000-0005-0000-0000-000051190000}"/>
    <cellStyle name="Normal 2 51 8 10 2" xfId="22806" xr:uid="{00000000-0005-0000-0000-000052190000}"/>
    <cellStyle name="Normal 2 51 8 11" xfId="5036" xr:uid="{00000000-0005-0000-0000-000053190000}"/>
    <cellStyle name="Normal 2 51 8 11 2" xfId="22807" xr:uid="{00000000-0005-0000-0000-000054190000}"/>
    <cellStyle name="Normal 2 51 8 12" xfId="5037" xr:uid="{00000000-0005-0000-0000-000055190000}"/>
    <cellStyle name="Normal 2 51 8 12 2" xfId="22808" xr:uid="{00000000-0005-0000-0000-000056190000}"/>
    <cellStyle name="Normal 2 51 8 13" xfId="5038" xr:uid="{00000000-0005-0000-0000-000057190000}"/>
    <cellStyle name="Normal 2 51 8 13 2" xfId="22809" xr:uid="{00000000-0005-0000-0000-000058190000}"/>
    <cellStyle name="Normal 2 51 8 14" xfId="5039" xr:uid="{00000000-0005-0000-0000-000059190000}"/>
    <cellStyle name="Normal 2 51 8 14 2" xfId="22810" xr:uid="{00000000-0005-0000-0000-00005A190000}"/>
    <cellStyle name="Normal 2 51 8 15" xfId="22805" xr:uid="{00000000-0005-0000-0000-00005B190000}"/>
    <cellStyle name="Normal 2 51 8 2" xfId="5040" xr:uid="{00000000-0005-0000-0000-00005C190000}"/>
    <cellStyle name="Normal 2 51 8 2 2" xfId="22811" xr:uid="{00000000-0005-0000-0000-00005D190000}"/>
    <cellStyle name="Normal 2 51 8 3" xfId="5041" xr:uid="{00000000-0005-0000-0000-00005E190000}"/>
    <cellStyle name="Normal 2 51 8 3 2" xfId="22812" xr:uid="{00000000-0005-0000-0000-00005F190000}"/>
    <cellStyle name="Normal 2 51 8 4" xfId="5042" xr:uid="{00000000-0005-0000-0000-000060190000}"/>
    <cellStyle name="Normal 2 51 8 4 2" xfId="22813" xr:uid="{00000000-0005-0000-0000-000061190000}"/>
    <cellStyle name="Normal 2 51 8 5" xfId="5043" xr:uid="{00000000-0005-0000-0000-000062190000}"/>
    <cellStyle name="Normal 2 51 8 5 2" xfId="22814" xr:uid="{00000000-0005-0000-0000-000063190000}"/>
    <cellStyle name="Normal 2 51 8 6" xfId="5044" xr:uid="{00000000-0005-0000-0000-000064190000}"/>
    <cellStyle name="Normal 2 51 8 6 2" xfId="22815" xr:uid="{00000000-0005-0000-0000-000065190000}"/>
    <cellStyle name="Normal 2 51 8 7" xfId="5045" xr:uid="{00000000-0005-0000-0000-000066190000}"/>
    <cellStyle name="Normal 2 51 8 7 2" xfId="22816" xr:uid="{00000000-0005-0000-0000-000067190000}"/>
    <cellStyle name="Normal 2 51 8 8" xfId="5046" xr:uid="{00000000-0005-0000-0000-000068190000}"/>
    <cellStyle name="Normal 2 51 8 8 2" xfId="22817" xr:uid="{00000000-0005-0000-0000-000069190000}"/>
    <cellStyle name="Normal 2 51 8 9" xfId="5047" xr:uid="{00000000-0005-0000-0000-00006A190000}"/>
    <cellStyle name="Normal 2 51 8 9 2" xfId="22818" xr:uid="{00000000-0005-0000-0000-00006B190000}"/>
    <cellStyle name="Normal 2 51 9" xfId="5048" xr:uid="{00000000-0005-0000-0000-00006C190000}"/>
    <cellStyle name="Normal 2 51 9 10" xfId="5049" xr:uid="{00000000-0005-0000-0000-00006D190000}"/>
    <cellStyle name="Normal 2 51 9 10 2" xfId="22820" xr:uid="{00000000-0005-0000-0000-00006E190000}"/>
    <cellStyle name="Normal 2 51 9 11" xfId="5050" xr:uid="{00000000-0005-0000-0000-00006F190000}"/>
    <cellStyle name="Normal 2 51 9 11 2" xfId="22821" xr:uid="{00000000-0005-0000-0000-000070190000}"/>
    <cellStyle name="Normal 2 51 9 12" xfId="5051" xr:uid="{00000000-0005-0000-0000-000071190000}"/>
    <cellStyle name="Normal 2 51 9 12 2" xfId="22822" xr:uid="{00000000-0005-0000-0000-000072190000}"/>
    <cellStyle name="Normal 2 51 9 13" xfId="5052" xr:uid="{00000000-0005-0000-0000-000073190000}"/>
    <cellStyle name="Normal 2 51 9 13 2" xfId="22823" xr:uid="{00000000-0005-0000-0000-000074190000}"/>
    <cellStyle name="Normal 2 51 9 14" xfId="5053" xr:uid="{00000000-0005-0000-0000-000075190000}"/>
    <cellStyle name="Normal 2 51 9 14 2" xfId="22824" xr:uid="{00000000-0005-0000-0000-000076190000}"/>
    <cellStyle name="Normal 2 51 9 15" xfId="22819" xr:uid="{00000000-0005-0000-0000-000077190000}"/>
    <cellStyle name="Normal 2 51 9 2" xfId="5054" xr:uid="{00000000-0005-0000-0000-000078190000}"/>
    <cellStyle name="Normal 2 51 9 2 2" xfId="22825" xr:uid="{00000000-0005-0000-0000-000079190000}"/>
    <cellStyle name="Normal 2 51 9 3" xfId="5055" xr:uid="{00000000-0005-0000-0000-00007A190000}"/>
    <cellStyle name="Normal 2 51 9 3 2" xfId="22826" xr:uid="{00000000-0005-0000-0000-00007B190000}"/>
    <cellStyle name="Normal 2 51 9 4" xfId="5056" xr:uid="{00000000-0005-0000-0000-00007C190000}"/>
    <cellStyle name="Normal 2 51 9 4 2" xfId="22827" xr:uid="{00000000-0005-0000-0000-00007D190000}"/>
    <cellStyle name="Normal 2 51 9 5" xfId="5057" xr:uid="{00000000-0005-0000-0000-00007E190000}"/>
    <cellStyle name="Normal 2 51 9 5 2" xfId="22828" xr:uid="{00000000-0005-0000-0000-00007F190000}"/>
    <cellStyle name="Normal 2 51 9 6" xfId="5058" xr:uid="{00000000-0005-0000-0000-000080190000}"/>
    <cellStyle name="Normal 2 51 9 6 2" xfId="22829" xr:uid="{00000000-0005-0000-0000-000081190000}"/>
    <cellStyle name="Normal 2 51 9 7" xfId="5059" xr:uid="{00000000-0005-0000-0000-000082190000}"/>
    <cellStyle name="Normal 2 51 9 7 2" xfId="22830" xr:uid="{00000000-0005-0000-0000-000083190000}"/>
    <cellStyle name="Normal 2 51 9 8" xfId="5060" xr:uid="{00000000-0005-0000-0000-000084190000}"/>
    <cellStyle name="Normal 2 51 9 8 2" xfId="22831" xr:uid="{00000000-0005-0000-0000-000085190000}"/>
    <cellStyle name="Normal 2 51 9 9" xfId="5061" xr:uid="{00000000-0005-0000-0000-000086190000}"/>
    <cellStyle name="Normal 2 51 9 9 2" xfId="22832" xr:uid="{00000000-0005-0000-0000-000087190000}"/>
    <cellStyle name="Normal 2 52" xfId="5062" xr:uid="{00000000-0005-0000-0000-000088190000}"/>
    <cellStyle name="Normal 2 52 10" xfId="5063" xr:uid="{00000000-0005-0000-0000-000089190000}"/>
    <cellStyle name="Normal 2 52 10 10" xfId="5064" xr:uid="{00000000-0005-0000-0000-00008A190000}"/>
    <cellStyle name="Normal 2 52 10 10 2" xfId="22835" xr:uid="{00000000-0005-0000-0000-00008B190000}"/>
    <cellStyle name="Normal 2 52 10 11" xfId="5065" xr:uid="{00000000-0005-0000-0000-00008C190000}"/>
    <cellStyle name="Normal 2 52 10 11 2" xfId="22836" xr:uid="{00000000-0005-0000-0000-00008D190000}"/>
    <cellStyle name="Normal 2 52 10 12" xfId="5066" xr:uid="{00000000-0005-0000-0000-00008E190000}"/>
    <cellStyle name="Normal 2 52 10 12 2" xfId="22837" xr:uid="{00000000-0005-0000-0000-00008F190000}"/>
    <cellStyle name="Normal 2 52 10 13" xfId="5067" xr:uid="{00000000-0005-0000-0000-000090190000}"/>
    <cellStyle name="Normal 2 52 10 13 2" xfId="22838" xr:uid="{00000000-0005-0000-0000-000091190000}"/>
    <cellStyle name="Normal 2 52 10 14" xfId="5068" xr:uid="{00000000-0005-0000-0000-000092190000}"/>
    <cellStyle name="Normal 2 52 10 14 2" xfId="22839" xr:uid="{00000000-0005-0000-0000-000093190000}"/>
    <cellStyle name="Normal 2 52 10 15" xfId="22834" xr:uid="{00000000-0005-0000-0000-000094190000}"/>
    <cellStyle name="Normal 2 52 10 2" xfId="5069" xr:uid="{00000000-0005-0000-0000-000095190000}"/>
    <cellStyle name="Normal 2 52 10 2 2" xfId="22840" xr:uid="{00000000-0005-0000-0000-000096190000}"/>
    <cellStyle name="Normal 2 52 10 3" xfId="5070" xr:uid="{00000000-0005-0000-0000-000097190000}"/>
    <cellStyle name="Normal 2 52 10 3 2" xfId="22841" xr:uid="{00000000-0005-0000-0000-000098190000}"/>
    <cellStyle name="Normal 2 52 10 4" xfId="5071" xr:uid="{00000000-0005-0000-0000-000099190000}"/>
    <cellStyle name="Normal 2 52 10 4 2" xfId="22842" xr:uid="{00000000-0005-0000-0000-00009A190000}"/>
    <cellStyle name="Normal 2 52 10 5" xfId="5072" xr:uid="{00000000-0005-0000-0000-00009B190000}"/>
    <cellStyle name="Normal 2 52 10 5 2" xfId="22843" xr:uid="{00000000-0005-0000-0000-00009C190000}"/>
    <cellStyle name="Normal 2 52 10 6" xfId="5073" xr:uid="{00000000-0005-0000-0000-00009D190000}"/>
    <cellStyle name="Normal 2 52 10 6 2" xfId="22844" xr:uid="{00000000-0005-0000-0000-00009E190000}"/>
    <cellStyle name="Normal 2 52 10 7" xfId="5074" xr:uid="{00000000-0005-0000-0000-00009F190000}"/>
    <cellStyle name="Normal 2 52 10 7 2" xfId="22845" xr:uid="{00000000-0005-0000-0000-0000A0190000}"/>
    <cellStyle name="Normal 2 52 10 8" xfId="5075" xr:uid="{00000000-0005-0000-0000-0000A1190000}"/>
    <cellStyle name="Normal 2 52 10 8 2" xfId="22846" xr:uid="{00000000-0005-0000-0000-0000A2190000}"/>
    <cellStyle name="Normal 2 52 10 9" xfId="5076" xr:uid="{00000000-0005-0000-0000-0000A3190000}"/>
    <cellStyle name="Normal 2 52 10 9 2" xfId="22847" xr:uid="{00000000-0005-0000-0000-0000A4190000}"/>
    <cellStyle name="Normal 2 52 11" xfId="5077" xr:uid="{00000000-0005-0000-0000-0000A5190000}"/>
    <cellStyle name="Normal 2 52 11 2" xfId="22848" xr:uid="{00000000-0005-0000-0000-0000A6190000}"/>
    <cellStyle name="Normal 2 52 12" xfId="5078" xr:uid="{00000000-0005-0000-0000-0000A7190000}"/>
    <cellStyle name="Normal 2 52 12 2" xfId="22849" xr:uid="{00000000-0005-0000-0000-0000A8190000}"/>
    <cellStyle name="Normal 2 52 13" xfId="5079" xr:uid="{00000000-0005-0000-0000-0000A9190000}"/>
    <cellStyle name="Normal 2 52 13 2" xfId="22850" xr:uid="{00000000-0005-0000-0000-0000AA190000}"/>
    <cellStyle name="Normal 2 52 14" xfId="5080" xr:uid="{00000000-0005-0000-0000-0000AB190000}"/>
    <cellStyle name="Normal 2 52 14 2" xfId="22851" xr:uid="{00000000-0005-0000-0000-0000AC190000}"/>
    <cellStyle name="Normal 2 52 15" xfId="5081" xr:uid="{00000000-0005-0000-0000-0000AD190000}"/>
    <cellStyle name="Normal 2 52 15 2" xfId="22852" xr:uid="{00000000-0005-0000-0000-0000AE190000}"/>
    <cellStyle name="Normal 2 52 16" xfId="5082" xr:uid="{00000000-0005-0000-0000-0000AF190000}"/>
    <cellStyle name="Normal 2 52 16 2" xfId="22853" xr:uid="{00000000-0005-0000-0000-0000B0190000}"/>
    <cellStyle name="Normal 2 52 17" xfId="5083" xr:uid="{00000000-0005-0000-0000-0000B1190000}"/>
    <cellStyle name="Normal 2 52 17 2" xfId="22854" xr:uid="{00000000-0005-0000-0000-0000B2190000}"/>
    <cellStyle name="Normal 2 52 18" xfId="5084" xr:uid="{00000000-0005-0000-0000-0000B3190000}"/>
    <cellStyle name="Normal 2 52 18 2" xfId="22855" xr:uid="{00000000-0005-0000-0000-0000B4190000}"/>
    <cellStyle name="Normal 2 52 19" xfId="5085" xr:uid="{00000000-0005-0000-0000-0000B5190000}"/>
    <cellStyle name="Normal 2 52 19 2" xfId="22856" xr:uid="{00000000-0005-0000-0000-0000B6190000}"/>
    <cellStyle name="Normal 2 52 2" xfId="5086" xr:uid="{00000000-0005-0000-0000-0000B7190000}"/>
    <cellStyle name="Normal 2 52 2 10" xfId="5087" xr:uid="{00000000-0005-0000-0000-0000B8190000}"/>
    <cellStyle name="Normal 2 52 2 10 2" xfId="22858" xr:uid="{00000000-0005-0000-0000-0000B9190000}"/>
    <cellStyle name="Normal 2 52 2 11" xfId="5088" xr:uid="{00000000-0005-0000-0000-0000BA190000}"/>
    <cellStyle name="Normal 2 52 2 11 2" xfId="22859" xr:uid="{00000000-0005-0000-0000-0000BB190000}"/>
    <cellStyle name="Normal 2 52 2 12" xfId="5089" xr:uid="{00000000-0005-0000-0000-0000BC190000}"/>
    <cellStyle name="Normal 2 52 2 12 2" xfId="22860" xr:uid="{00000000-0005-0000-0000-0000BD190000}"/>
    <cellStyle name="Normal 2 52 2 13" xfId="5090" xr:uid="{00000000-0005-0000-0000-0000BE190000}"/>
    <cellStyle name="Normal 2 52 2 13 2" xfId="22861" xr:uid="{00000000-0005-0000-0000-0000BF190000}"/>
    <cellStyle name="Normal 2 52 2 14" xfId="5091" xr:uid="{00000000-0005-0000-0000-0000C0190000}"/>
    <cellStyle name="Normal 2 52 2 14 2" xfId="22862" xr:uid="{00000000-0005-0000-0000-0000C1190000}"/>
    <cellStyle name="Normal 2 52 2 15" xfId="5092" xr:uid="{00000000-0005-0000-0000-0000C2190000}"/>
    <cellStyle name="Normal 2 52 2 15 2" xfId="22863" xr:uid="{00000000-0005-0000-0000-0000C3190000}"/>
    <cellStyle name="Normal 2 52 2 16" xfId="22857" xr:uid="{00000000-0005-0000-0000-0000C4190000}"/>
    <cellStyle name="Normal 2 52 2 2" xfId="5093" xr:uid="{00000000-0005-0000-0000-0000C5190000}"/>
    <cellStyle name="Normal 2 52 2 2 10" xfId="5094" xr:uid="{00000000-0005-0000-0000-0000C6190000}"/>
    <cellStyle name="Normal 2 52 2 2 10 2" xfId="22865" xr:uid="{00000000-0005-0000-0000-0000C7190000}"/>
    <cellStyle name="Normal 2 52 2 2 11" xfId="5095" xr:uid="{00000000-0005-0000-0000-0000C8190000}"/>
    <cellStyle name="Normal 2 52 2 2 11 2" xfId="22866" xr:uid="{00000000-0005-0000-0000-0000C9190000}"/>
    <cellStyle name="Normal 2 52 2 2 12" xfId="5096" xr:uid="{00000000-0005-0000-0000-0000CA190000}"/>
    <cellStyle name="Normal 2 52 2 2 12 2" xfId="22867" xr:uid="{00000000-0005-0000-0000-0000CB190000}"/>
    <cellStyle name="Normal 2 52 2 2 13" xfId="5097" xr:uid="{00000000-0005-0000-0000-0000CC190000}"/>
    <cellStyle name="Normal 2 52 2 2 13 2" xfId="22868" xr:uid="{00000000-0005-0000-0000-0000CD190000}"/>
    <cellStyle name="Normal 2 52 2 2 14" xfId="5098" xr:uid="{00000000-0005-0000-0000-0000CE190000}"/>
    <cellStyle name="Normal 2 52 2 2 14 2" xfId="22869" xr:uid="{00000000-0005-0000-0000-0000CF190000}"/>
    <cellStyle name="Normal 2 52 2 2 15" xfId="22864" xr:uid="{00000000-0005-0000-0000-0000D0190000}"/>
    <cellStyle name="Normal 2 52 2 2 2" xfId="5099" xr:uid="{00000000-0005-0000-0000-0000D1190000}"/>
    <cellStyle name="Normal 2 52 2 2 2 2" xfId="22870" xr:uid="{00000000-0005-0000-0000-0000D2190000}"/>
    <cellStyle name="Normal 2 52 2 2 3" xfId="5100" xr:uid="{00000000-0005-0000-0000-0000D3190000}"/>
    <cellStyle name="Normal 2 52 2 2 3 2" xfId="22871" xr:uid="{00000000-0005-0000-0000-0000D4190000}"/>
    <cellStyle name="Normal 2 52 2 2 4" xfId="5101" xr:uid="{00000000-0005-0000-0000-0000D5190000}"/>
    <cellStyle name="Normal 2 52 2 2 4 2" xfId="22872" xr:uid="{00000000-0005-0000-0000-0000D6190000}"/>
    <cellStyle name="Normal 2 52 2 2 5" xfId="5102" xr:uid="{00000000-0005-0000-0000-0000D7190000}"/>
    <cellStyle name="Normal 2 52 2 2 5 2" xfId="22873" xr:uid="{00000000-0005-0000-0000-0000D8190000}"/>
    <cellStyle name="Normal 2 52 2 2 6" xfId="5103" xr:uid="{00000000-0005-0000-0000-0000D9190000}"/>
    <cellStyle name="Normal 2 52 2 2 6 2" xfId="22874" xr:uid="{00000000-0005-0000-0000-0000DA190000}"/>
    <cellStyle name="Normal 2 52 2 2 7" xfId="5104" xr:uid="{00000000-0005-0000-0000-0000DB190000}"/>
    <cellStyle name="Normal 2 52 2 2 7 2" xfId="22875" xr:uid="{00000000-0005-0000-0000-0000DC190000}"/>
    <cellStyle name="Normal 2 52 2 2 8" xfId="5105" xr:uid="{00000000-0005-0000-0000-0000DD190000}"/>
    <cellStyle name="Normal 2 52 2 2 8 2" xfId="22876" xr:uid="{00000000-0005-0000-0000-0000DE190000}"/>
    <cellStyle name="Normal 2 52 2 2 9" xfId="5106" xr:uid="{00000000-0005-0000-0000-0000DF190000}"/>
    <cellStyle name="Normal 2 52 2 2 9 2" xfId="22877" xr:uid="{00000000-0005-0000-0000-0000E0190000}"/>
    <cellStyle name="Normal 2 52 2 3" xfId="5107" xr:uid="{00000000-0005-0000-0000-0000E1190000}"/>
    <cellStyle name="Normal 2 52 2 3 2" xfId="22878" xr:uid="{00000000-0005-0000-0000-0000E2190000}"/>
    <cellStyle name="Normal 2 52 2 4" xfId="5108" xr:uid="{00000000-0005-0000-0000-0000E3190000}"/>
    <cellStyle name="Normal 2 52 2 4 2" xfId="22879" xr:uid="{00000000-0005-0000-0000-0000E4190000}"/>
    <cellStyle name="Normal 2 52 2 5" xfId="5109" xr:uid="{00000000-0005-0000-0000-0000E5190000}"/>
    <cellStyle name="Normal 2 52 2 5 2" xfId="22880" xr:uid="{00000000-0005-0000-0000-0000E6190000}"/>
    <cellStyle name="Normal 2 52 2 6" xfId="5110" xr:uid="{00000000-0005-0000-0000-0000E7190000}"/>
    <cellStyle name="Normal 2 52 2 6 2" xfId="22881" xr:uid="{00000000-0005-0000-0000-0000E8190000}"/>
    <cellStyle name="Normal 2 52 2 7" xfId="5111" xr:uid="{00000000-0005-0000-0000-0000E9190000}"/>
    <cellStyle name="Normal 2 52 2 7 2" xfId="22882" xr:uid="{00000000-0005-0000-0000-0000EA190000}"/>
    <cellStyle name="Normal 2 52 2 8" xfId="5112" xr:uid="{00000000-0005-0000-0000-0000EB190000}"/>
    <cellStyle name="Normal 2 52 2 8 2" xfId="22883" xr:uid="{00000000-0005-0000-0000-0000EC190000}"/>
    <cellStyle name="Normal 2 52 2 9" xfId="5113" xr:uid="{00000000-0005-0000-0000-0000ED190000}"/>
    <cellStyle name="Normal 2 52 2 9 2" xfId="22884" xr:uid="{00000000-0005-0000-0000-0000EE190000}"/>
    <cellStyle name="Normal 2 52 20" xfId="5114" xr:uid="{00000000-0005-0000-0000-0000EF190000}"/>
    <cellStyle name="Normal 2 52 20 2" xfId="22885" xr:uid="{00000000-0005-0000-0000-0000F0190000}"/>
    <cellStyle name="Normal 2 52 21" xfId="5115" xr:uid="{00000000-0005-0000-0000-0000F1190000}"/>
    <cellStyle name="Normal 2 52 21 2" xfId="22886" xr:uid="{00000000-0005-0000-0000-0000F2190000}"/>
    <cellStyle name="Normal 2 52 22" xfId="5116" xr:uid="{00000000-0005-0000-0000-0000F3190000}"/>
    <cellStyle name="Normal 2 52 22 2" xfId="22887" xr:uid="{00000000-0005-0000-0000-0000F4190000}"/>
    <cellStyle name="Normal 2 52 23" xfId="5117" xr:uid="{00000000-0005-0000-0000-0000F5190000}"/>
    <cellStyle name="Normal 2 52 23 2" xfId="22888" xr:uid="{00000000-0005-0000-0000-0000F6190000}"/>
    <cellStyle name="Normal 2 52 24" xfId="22833" xr:uid="{00000000-0005-0000-0000-0000F7190000}"/>
    <cellStyle name="Normal 2 52 3" xfId="5118" xr:uid="{00000000-0005-0000-0000-0000F8190000}"/>
    <cellStyle name="Normal 2 52 3 10" xfId="5119" xr:uid="{00000000-0005-0000-0000-0000F9190000}"/>
    <cellStyle name="Normal 2 52 3 10 2" xfId="22890" xr:uid="{00000000-0005-0000-0000-0000FA190000}"/>
    <cellStyle name="Normal 2 52 3 11" xfId="5120" xr:uid="{00000000-0005-0000-0000-0000FB190000}"/>
    <cellStyle name="Normal 2 52 3 11 2" xfId="22891" xr:uid="{00000000-0005-0000-0000-0000FC190000}"/>
    <cellStyle name="Normal 2 52 3 12" xfId="5121" xr:uid="{00000000-0005-0000-0000-0000FD190000}"/>
    <cellStyle name="Normal 2 52 3 12 2" xfId="22892" xr:uid="{00000000-0005-0000-0000-0000FE190000}"/>
    <cellStyle name="Normal 2 52 3 13" xfId="5122" xr:uid="{00000000-0005-0000-0000-0000FF190000}"/>
    <cellStyle name="Normal 2 52 3 13 2" xfId="22893" xr:uid="{00000000-0005-0000-0000-0000001A0000}"/>
    <cellStyle name="Normal 2 52 3 14" xfId="5123" xr:uid="{00000000-0005-0000-0000-0000011A0000}"/>
    <cellStyle name="Normal 2 52 3 14 2" xfId="22894" xr:uid="{00000000-0005-0000-0000-0000021A0000}"/>
    <cellStyle name="Normal 2 52 3 15" xfId="5124" xr:uid="{00000000-0005-0000-0000-0000031A0000}"/>
    <cellStyle name="Normal 2 52 3 15 2" xfId="22895" xr:uid="{00000000-0005-0000-0000-0000041A0000}"/>
    <cellStyle name="Normal 2 52 3 16" xfId="22889" xr:uid="{00000000-0005-0000-0000-0000051A0000}"/>
    <cellStyle name="Normal 2 52 3 2" xfId="5125" xr:uid="{00000000-0005-0000-0000-0000061A0000}"/>
    <cellStyle name="Normal 2 52 3 2 10" xfId="5126" xr:uid="{00000000-0005-0000-0000-0000071A0000}"/>
    <cellStyle name="Normal 2 52 3 2 10 2" xfId="22897" xr:uid="{00000000-0005-0000-0000-0000081A0000}"/>
    <cellStyle name="Normal 2 52 3 2 11" xfId="5127" xr:uid="{00000000-0005-0000-0000-0000091A0000}"/>
    <cellStyle name="Normal 2 52 3 2 11 2" xfId="22898" xr:uid="{00000000-0005-0000-0000-00000A1A0000}"/>
    <cellStyle name="Normal 2 52 3 2 12" xfId="5128" xr:uid="{00000000-0005-0000-0000-00000B1A0000}"/>
    <cellStyle name="Normal 2 52 3 2 12 2" xfId="22899" xr:uid="{00000000-0005-0000-0000-00000C1A0000}"/>
    <cellStyle name="Normal 2 52 3 2 13" xfId="5129" xr:uid="{00000000-0005-0000-0000-00000D1A0000}"/>
    <cellStyle name="Normal 2 52 3 2 13 2" xfId="22900" xr:uid="{00000000-0005-0000-0000-00000E1A0000}"/>
    <cellStyle name="Normal 2 52 3 2 14" xfId="5130" xr:uid="{00000000-0005-0000-0000-00000F1A0000}"/>
    <cellStyle name="Normal 2 52 3 2 14 2" xfId="22901" xr:uid="{00000000-0005-0000-0000-0000101A0000}"/>
    <cellStyle name="Normal 2 52 3 2 15" xfId="22896" xr:uid="{00000000-0005-0000-0000-0000111A0000}"/>
    <cellStyle name="Normal 2 52 3 2 2" xfId="5131" xr:uid="{00000000-0005-0000-0000-0000121A0000}"/>
    <cellStyle name="Normal 2 52 3 2 2 2" xfId="22902" xr:uid="{00000000-0005-0000-0000-0000131A0000}"/>
    <cellStyle name="Normal 2 52 3 2 3" xfId="5132" xr:uid="{00000000-0005-0000-0000-0000141A0000}"/>
    <cellStyle name="Normal 2 52 3 2 3 2" xfId="22903" xr:uid="{00000000-0005-0000-0000-0000151A0000}"/>
    <cellStyle name="Normal 2 52 3 2 4" xfId="5133" xr:uid="{00000000-0005-0000-0000-0000161A0000}"/>
    <cellStyle name="Normal 2 52 3 2 4 2" xfId="22904" xr:uid="{00000000-0005-0000-0000-0000171A0000}"/>
    <cellStyle name="Normal 2 52 3 2 5" xfId="5134" xr:uid="{00000000-0005-0000-0000-0000181A0000}"/>
    <cellStyle name="Normal 2 52 3 2 5 2" xfId="22905" xr:uid="{00000000-0005-0000-0000-0000191A0000}"/>
    <cellStyle name="Normal 2 52 3 2 6" xfId="5135" xr:uid="{00000000-0005-0000-0000-00001A1A0000}"/>
    <cellStyle name="Normal 2 52 3 2 6 2" xfId="22906" xr:uid="{00000000-0005-0000-0000-00001B1A0000}"/>
    <cellStyle name="Normal 2 52 3 2 7" xfId="5136" xr:uid="{00000000-0005-0000-0000-00001C1A0000}"/>
    <cellStyle name="Normal 2 52 3 2 7 2" xfId="22907" xr:uid="{00000000-0005-0000-0000-00001D1A0000}"/>
    <cellStyle name="Normal 2 52 3 2 8" xfId="5137" xr:uid="{00000000-0005-0000-0000-00001E1A0000}"/>
    <cellStyle name="Normal 2 52 3 2 8 2" xfId="22908" xr:uid="{00000000-0005-0000-0000-00001F1A0000}"/>
    <cellStyle name="Normal 2 52 3 2 9" xfId="5138" xr:uid="{00000000-0005-0000-0000-0000201A0000}"/>
    <cellStyle name="Normal 2 52 3 2 9 2" xfId="22909" xr:uid="{00000000-0005-0000-0000-0000211A0000}"/>
    <cellStyle name="Normal 2 52 3 3" xfId="5139" xr:uid="{00000000-0005-0000-0000-0000221A0000}"/>
    <cellStyle name="Normal 2 52 3 3 2" xfId="22910" xr:uid="{00000000-0005-0000-0000-0000231A0000}"/>
    <cellStyle name="Normal 2 52 3 4" xfId="5140" xr:uid="{00000000-0005-0000-0000-0000241A0000}"/>
    <cellStyle name="Normal 2 52 3 4 2" xfId="22911" xr:uid="{00000000-0005-0000-0000-0000251A0000}"/>
    <cellStyle name="Normal 2 52 3 5" xfId="5141" xr:uid="{00000000-0005-0000-0000-0000261A0000}"/>
    <cellStyle name="Normal 2 52 3 5 2" xfId="22912" xr:uid="{00000000-0005-0000-0000-0000271A0000}"/>
    <cellStyle name="Normal 2 52 3 6" xfId="5142" xr:uid="{00000000-0005-0000-0000-0000281A0000}"/>
    <cellStyle name="Normal 2 52 3 6 2" xfId="22913" xr:uid="{00000000-0005-0000-0000-0000291A0000}"/>
    <cellStyle name="Normal 2 52 3 7" xfId="5143" xr:uid="{00000000-0005-0000-0000-00002A1A0000}"/>
    <cellStyle name="Normal 2 52 3 7 2" xfId="22914" xr:uid="{00000000-0005-0000-0000-00002B1A0000}"/>
    <cellStyle name="Normal 2 52 3 8" xfId="5144" xr:uid="{00000000-0005-0000-0000-00002C1A0000}"/>
    <cellStyle name="Normal 2 52 3 8 2" xfId="22915" xr:uid="{00000000-0005-0000-0000-00002D1A0000}"/>
    <cellStyle name="Normal 2 52 3 9" xfId="5145" xr:uid="{00000000-0005-0000-0000-00002E1A0000}"/>
    <cellStyle name="Normal 2 52 3 9 2" xfId="22916" xr:uid="{00000000-0005-0000-0000-00002F1A0000}"/>
    <cellStyle name="Normal 2 52 4" xfId="5146" xr:uid="{00000000-0005-0000-0000-0000301A0000}"/>
    <cellStyle name="Normal 2 52 4 10" xfId="5147" xr:uid="{00000000-0005-0000-0000-0000311A0000}"/>
    <cellStyle name="Normal 2 52 4 10 2" xfId="22918" xr:uid="{00000000-0005-0000-0000-0000321A0000}"/>
    <cellStyle name="Normal 2 52 4 11" xfId="5148" xr:uid="{00000000-0005-0000-0000-0000331A0000}"/>
    <cellStyle name="Normal 2 52 4 11 2" xfId="22919" xr:uid="{00000000-0005-0000-0000-0000341A0000}"/>
    <cellStyle name="Normal 2 52 4 12" xfId="5149" xr:uid="{00000000-0005-0000-0000-0000351A0000}"/>
    <cellStyle name="Normal 2 52 4 12 2" xfId="22920" xr:uid="{00000000-0005-0000-0000-0000361A0000}"/>
    <cellStyle name="Normal 2 52 4 13" xfId="5150" xr:uid="{00000000-0005-0000-0000-0000371A0000}"/>
    <cellStyle name="Normal 2 52 4 13 2" xfId="22921" xr:uid="{00000000-0005-0000-0000-0000381A0000}"/>
    <cellStyle name="Normal 2 52 4 14" xfId="5151" xr:uid="{00000000-0005-0000-0000-0000391A0000}"/>
    <cellStyle name="Normal 2 52 4 14 2" xfId="22922" xr:uid="{00000000-0005-0000-0000-00003A1A0000}"/>
    <cellStyle name="Normal 2 52 4 15" xfId="5152" xr:uid="{00000000-0005-0000-0000-00003B1A0000}"/>
    <cellStyle name="Normal 2 52 4 15 2" xfId="22923" xr:uid="{00000000-0005-0000-0000-00003C1A0000}"/>
    <cellStyle name="Normal 2 52 4 16" xfId="22917" xr:uid="{00000000-0005-0000-0000-00003D1A0000}"/>
    <cellStyle name="Normal 2 52 4 2" xfId="5153" xr:uid="{00000000-0005-0000-0000-00003E1A0000}"/>
    <cellStyle name="Normal 2 52 4 2 10" xfId="5154" xr:uid="{00000000-0005-0000-0000-00003F1A0000}"/>
    <cellStyle name="Normal 2 52 4 2 10 2" xfId="22925" xr:uid="{00000000-0005-0000-0000-0000401A0000}"/>
    <cellStyle name="Normal 2 52 4 2 11" xfId="5155" xr:uid="{00000000-0005-0000-0000-0000411A0000}"/>
    <cellStyle name="Normal 2 52 4 2 11 2" xfId="22926" xr:uid="{00000000-0005-0000-0000-0000421A0000}"/>
    <cellStyle name="Normal 2 52 4 2 12" xfId="5156" xr:uid="{00000000-0005-0000-0000-0000431A0000}"/>
    <cellStyle name="Normal 2 52 4 2 12 2" xfId="22927" xr:uid="{00000000-0005-0000-0000-0000441A0000}"/>
    <cellStyle name="Normal 2 52 4 2 13" xfId="5157" xr:uid="{00000000-0005-0000-0000-0000451A0000}"/>
    <cellStyle name="Normal 2 52 4 2 13 2" xfId="22928" xr:uid="{00000000-0005-0000-0000-0000461A0000}"/>
    <cellStyle name="Normal 2 52 4 2 14" xfId="5158" xr:uid="{00000000-0005-0000-0000-0000471A0000}"/>
    <cellStyle name="Normal 2 52 4 2 14 2" xfId="22929" xr:uid="{00000000-0005-0000-0000-0000481A0000}"/>
    <cellStyle name="Normal 2 52 4 2 15" xfId="22924" xr:uid="{00000000-0005-0000-0000-0000491A0000}"/>
    <cellStyle name="Normal 2 52 4 2 2" xfId="5159" xr:uid="{00000000-0005-0000-0000-00004A1A0000}"/>
    <cellStyle name="Normal 2 52 4 2 2 2" xfId="22930" xr:uid="{00000000-0005-0000-0000-00004B1A0000}"/>
    <cellStyle name="Normal 2 52 4 2 3" xfId="5160" xr:uid="{00000000-0005-0000-0000-00004C1A0000}"/>
    <cellStyle name="Normal 2 52 4 2 3 2" xfId="22931" xr:uid="{00000000-0005-0000-0000-00004D1A0000}"/>
    <cellStyle name="Normal 2 52 4 2 4" xfId="5161" xr:uid="{00000000-0005-0000-0000-00004E1A0000}"/>
    <cellStyle name="Normal 2 52 4 2 4 2" xfId="22932" xr:uid="{00000000-0005-0000-0000-00004F1A0000}"/>
    <cellStyle name="Normal 2 52 4 2 5" xfId="5162" xr:uid="{00000000-0005-0000-0000-0000501A0000}"/>
    <cellStyle name="Normal 2 52 4 2 5 2" xfId="22933" xr:uid="{00000000-0005-0000-0000-0000511A0000}"/>
    <cellStyle name="Normal 2 52 4 2 6" xfId="5163" xr:uid="{00000000-0005-0000-0000-0000521A0000}"/>
    <cellStyle name="Normal 2 52 4 2 6 2" xfId="22934" xr:uid="{00000000-0005-0000-0000-0000531A0000}"/>
    <cellStyle name="Normal 2 52 4 2 7" xfId="5164" xr:uid="{00000000-0005-0000-0000-0000541A0000}"/>
    <cellStyle name="Normal 2 52 4 2 7 2" xfId="22935" xr:uid="{00000000-0005-0000-0000-0000551A0000}"/>
    <cellStyle name="Normal 2 52 4 2 8" xfId="5165" xr:uid="{00000000-0005-0000-0000-0000561A0000}"/>
    <cellStyle name="Normal 2 52 4 2 8 2" xfId="22936" xr:uid="{00000000-0005-0000-0000-0000571A0000}"/>
    <cellStyle name="Normal 2 52 4 2 9" xfId="5166" xr:uid="{00000000-0005-0000-0000-0000581A0000}"/>
    <cellStyle name="Normal 2 52 4 2 9 2" xfId="22937" xr:uid="{00000000-0005-0000-0000-0000591A0000}"/>
    <cellStyle name="Normal 2 52 4 3" xfId="5167" xr:uid="{00000000-0005-0000-0000-00005A1A0000}"/>
    <cellStyle name="Normal 2 52 4 3 2" xfId="22938" xr:uid="{00000000-0005-0000-0000-00005B1A0000}"/>
    <cellStyle name="Normal 2 52 4 4" xfId="5168" xr:uid="{00000000-0005-0000-0000-00005C1A0000}"/>
    <cellStyle name="Normal 2 52 4 4 2" xfId="22939" xr:uid="{00000000-0005-0000-0000-00005D1A0000}"/>
    <cellStyle name="Normal 2 52 4 5" xfId="5169" xr:uid="{00000000-0005-0000-0000-00005E1A0000}"/>
    <cellStyle name="Normal 2 52 4 5 2" xfId="22940" xr:uid="{00000000-0005-0000-0000-00005F1A0000}"/>
    <cellStyle name="Normal 2 52 4 6" xfId="5170" xr:uid="{00000000-0005-0000-0000-0000601A0000}"/>
    <cellStyle name="Normal 2 52 4 6 2" xfId="22941" xr:uid="{00000000-0005-0000-0000-0000611A0000}"/>
    <cellStyle name="Normal 2 52 4 7" xfId="5171" xr:uid="{00000000-0005-0000-0000-0000621A0000}"/>
    <cellStyle name="Normal 2 52 4 7 2" xfId="22942" xr:uid="{00000000-0005-0000-0000-0000631A0000}"/>
    <cellStyle name="Normal 2 52 4 8" xfId="5172" xr:uid="{00000000-0005-0000-0000-0000641A0000}"/>
    <cellStyle name="Normal 2 52 4 8 2" xfId="22943" xr:uid="{00000000-0005-0000-0000-0000651A0000}"/>
    <cellStyle name="Normal 2 52 4 9" xfId="5173" xr:uid="{00000000-0005-0000-0000-0000661A0000}"/>
    <cellStyle name="Normal 2 52 4 9 2" xfId="22944" xr:uid="{00000000-0005-0000-0000-0000671A0000}"/>
    <cellStyle name="Normal 2 52 5" xfId="5174" xr:uid="{00000000-0005-0000-0000-0000681A0000}"/>
    <cellStyle name="Normal 2 52 5 10" xfId="5175" xr:uid="{00000000-0005-0000-0000-0000691A0000}"/>
    <cellStyle name="Normal 2 52 5 10 2" xfId="22946" xr:uid="{00000000-0005-0000-0000-00006A1A0000}"/>
    <cellStyle name="Normal 2 52 5 11" xfId="5176" xr:uid="{00000000-0005-0000-0000-00006B1A0000}"/>
    <cellStyle name="Normal 2 52 5 11 2" xfId="22947" xr:uid="{00000000-0005-0000-0000-00006C1A0000}"/>
    <cellStyle name="Normal 2 52 5 12" xfId="5177" xr:uid="{00000000-0005-0000-0000-00006D1A0000}"/>
    <cellStyle name="Normal 2 52 5 12 2" xfId="22948" xr:uid="{00000000-0005-0000-0000-00006E1A0000}"/>
    <cellStyle name="Normal 2 52 5 13" xfId="5178" xr:uid="{00000000-0005-0000-0000-00006F1A0000}"/>
    <cellStyle name="Normal 2 52 5 13 2" xfId="22949" xr:uid="{00000000-0005-0000-0000-0000701A0000}"/>
    <cellStyle name="Normal 2 52 5 14" xfId="5179" xr:uid="{00000000-0005-0000-0000-0000711A0000}"/>
    <cellStyle name="Normal 2 52 5 14 2" xfId="22950" xr:uid="{00000000-0005-0000-0000-0000721A0000}"/>
    <cellStyle name="Normal 2 52 5 15" xfId="22945" xr:uid="{00000000-0005-0000-0000-0000731A0000}"/>
    <cellStyle name="Normal 2 52 5 2" xfId="5180" xr:uid="{00000000-0005-0000-0000-0000741A0000}"/>
    <cellStyle name="Normal 2 52 5 2 2" xfId="22951" xr:uid="{00000000-0005-0000-0000-0000751A0000}"/>
    <cellStyle name="Normal 2 52 5 3" xfId="5181" xr:uid="{00000000-0005-0000-0000-0000761A0000}"/>
    <cellStyle name="Normal 2 52 5 3 2" xfId="22952" xr:uid="{00000000-0005-0000-0000-0000771A0000}"/>
    <cellStyle name="Normal 2 52 5 4" xfId="5182" xr:uid="{00000000-0005-0000-0000-0000781A0000}"/>
    <cellStyle name="Normal 2 52 5 4 2" xfId="22953" xr:uid="{00000000-0005-0000-0000-0000791A0000}"/>
    <cellStyle name="Normal 2 52 5 5" xfId="5183" xr:uid="{00000000-0005-0000-0000-00007A1A0000}"/>
    <cellStyle name="Normal 2 52 5 5 2" xfId="22954" xr:uid="{00000000-0005-0000-0000-00007B1A0000}"/>
    <cellStyle name="Normal 2 52 5 6" xfId="5184" xr:uid="{00000000-0005-0000-0000-00007C1A0000}"/>
    <cellStyle name="Normal 2 52 5 6 2" xfId="22955" xr:uid="{00000000-0005-0000-0000-00007D1A0000}"/>
    <cellStyle name="Normal 2 52 5 7" xfId="5185" xr:uid="{00000000-0005-0000-0000-00007E1A0000}"/>
    <cellStyle name="Normal 2 52 5 7 2" xfId="22956" xr:uid="{00000000-0005-0000-0000-00007F1A0000}"/>
    <cellStyle name="Normal 2 52 5 8" xfId="5186" xr:uid="{00000000-0005-0000-0000-0000801A0000}"/>
    <cellStyle name="Normal 2 52 5 8 2" xfId="22957" xr:uid="{00000000-0005-0000-0000-0000811A0000}"/>
    <cellStyle name="Normal 2 52 5 9" xfId="5187" xr:uid="{00000000-0005-0000-0000-0000821A0000}"/>
    <cellStyle name="Normal 2 52 5 9 2" xfId="22958" xr:uid="{00000000-0005-0000-0000-0000831A0000}"/>
    <cellStyle name="Normal 2 52 6" xfId="5188" xr:uid="{00000000-0005-0000-0000-0000841A0000}"/>
    <cellStyle name="Normal 2 52 6 10" xfId="5189" xr:uid="{00000000-0005-0000-0000-0000851A0000}"/>
    <cellStyle name="Normal 2 52 6 10 2" xfId="22960" xr:uid="{00000000-0005-0000-0000-0000861A0000}"/>
    <cellStyle name="Normal 2 52 6 11" xfId="5190" xr:uid="{00000000-0005-0000-0000-0000871A0000}"/>
    <cellStyle name="Normal 2 52 6 11 2" xfId="22961" xr:uid="{00000000-0005-0000-0000-0000881A0000}"/>
    <cellStyle name="Normal 2 52 6 12" xfId="5191" xr:uid="{00000000-0005-0000-0000-0000891A0000}"/>
    <cellStyle name="Normal 2 52 6 12 2" xfId="22962" xr:uid="{00000000-0005-0000-0000-00008A1A0000}"/>
    <cellStyle name="Normal 2 52 6 13" xfId="5192" xr:uid="{00000000-0005-0000-0000-00008B1A0000}"/>
    <cellStyle name="Normal 2 52 6 13 2" xfId="22963" xr:uid="{00000000-0005-0000-0000-00008C1A0000}"/>
    <cellStyle name="Normal 2 52 6 14" xfId="5193" xr:uid="{00000000-0005-0000-0000-00008D1A0000}"/>
    <cellStyle name="Normal 2 52 6 14 2" xfId="22964" xr:uid="{00000000-0005-0000-0000-00008E1A0000}"/>
    <cellStyle name="Normal 2 52 6 15" xfId="22959" xr:uid="{00000000-0005-0000-0000-00008F1A0000}"/>
    <cellStyle name="Normal 2 52 6 2" xfId="5194" xr:uid="{00000000-0005-0000-0000-0000901A0000}"/>
    <cellStyle name="Normal 2 52 6 2 2" xfId="22965" xr:uid="{00000000-0005-0000-0000-0000911A0000}"/>
    <cellStyle name="Normal 2 52 6 3" xfId="5195" xr:uid="{00000000-0005-0000-0000-0000921A0000}"/>
    <cellStyle name="Normal 2 52 6 3 2" xfId="22966" xr:uid="{00000000-0005-0000-0000-0000931A0000}"/>
    <cellStyle name="Normal 2 52 6 4" xfId="5196" xr:uid="{00000000-0005-0000-0000-0000941A0000}"/>
    <cellStyle name="Normal 2 52 6 4 2" xfId="22967" xr:uid="{00000000-0005-0000-0000-0000951A0000}"/>
    <cellStyle name="Normal 2 52 6 5" xfId="5197" xr:uid="{00000000-0005-0000-0000-0000961A0000}"/>
    <cellStyle name="Normal 2 52 6 5 2" xfId="22968" xr:uid="{00000000-0005-0000-0000-0000971A0000}"/>
    <cellStyle name="Normal 2 52 6 6" xfId="5198" xr:uid="{00000000-0005-0000-0000-0000981A0000}"/>
    <cellStyle name="Normal 2 52 6 6 2" xfId="22969" xr:uid="{00000000-0005-0000-0000-0000991A0000}"/>
    <cellStyle name="Normal 2 52 6 7" xfId="5199" xr:uid="{00000000-0005-0000-0000-00009A1A0000}"/>
    <cellStyle name="Normal 2 52 6 7 2" xfId="22970" xr:uid="{00000000-0005-0000-0000-00009B1A0000}"/>
    <cellStyle name="Normal 2 52 6 8" xfId="5200" xr:uid="{00000000-0005-0000-0000-00009C1A0000}"/>
    <cellStyle name="Normal 2 52 6 8 2" xfId="22971" xr:uid="{00000000-0005-0000-0000-00009D1A0000}"/>
    <cellStyle name="Normal 2 52 6 9" xfId="5201" xr:uid="{00000000-0005-0000-0000-00009E1A0000}"/>
    <cellStyle name="Normal 2 52 6 9 2" xfId="22972" xr:uid="{00000000-0005-0000-0000-00009F1A0000}"/>
    <cellStyle name="Normal 2 52 7" xfId="5202" xr:uid="{00000000-0005-0000-0000-0000A01A0000}"/>
    <cellStyle name="Normal 2 52 7 10" xfId="5203" xr:uid="{00000000-0005-0000-0000-0000A11A0000}"/>
    <cellStyle name="Normal 2 52 7 10 2" xfId="22974" xr:uid="{00000000-0005-0000-0000-0000A21A0000}"/>
    <cellStyle name="Normal 2 52 7 11" xfId="5204" xr:uid="{00000000-0005-0000-0000-0000A31A0000}"/>
    <cellStyle name="Normal 2 52 7 11 2" xfId="22975" xr:uid="{00000000-0005-0000-0000-0000A41A0000}"/>
    <cellStyle name="Normal 2 52 7 12" xfId="5205" xr:uid="{00000000-0005-0000-0000-0000A51A0000}"/>
    <cellStyle name="Normal 2 52 7 12 2" xfId="22976" xr:uid="{00000000-0005-0000-0000-0000A61A0000}"/>
    <cellStyle name="Normal 2 52 7 13" xfId="5206" xr:uid="{00000000-0005-0000-0000-0000A71A0000}"/>
    <cellStyle name="Normal 2 52 7 13 2" xfId="22977" xr:uid="{00000000-0005-0000-0000-0000A81A0000}"/>
    <cellStyle name="Normal 2 52 7 14" xfId="5207" xr:uid="{00000000-0005-0000-0000-0000A91A0000}"/>
    <cellStyle name="Normal 2 52 7 14 2" xfId="22978" xr:uid="{00000000-0005-0000-0000-0000AA1A0000}"/>
    <cellStyle name="Normal 2 52 7 15" xfId="22973" xr:uid="{00000000-0005-0000-0000-0000AB1A0000}"/>
    <cellStyle name="Normal 2 52 7 2" xfId="5208" xr:uid="{00000000-0005-0000-0000-0000AC1A0000}"/>
    <cellStyle name="Normal 2 52 7 2 2" xfId="22979" xr:uid="{00000000-0005-0000-0000-0000AD1A0000}"/>
    <cellStyle name="Normal 2 52 7 3" xfId="5209" xr:uid="{00000000-0005-0000-0000-0000AE1A0000}"/>
    <cellStyle name="Normal 2 52 7 3 2" xfId="22980" xr:uid="{00000000-0005-0000-0000-0000AF1A0000}"/>
    <cellStyle name="Normal 2 52 7 4" xfId="5210" xr:uid="{00000000-0005-0000-0000-0000B01A0000}"/>
    <cellStyle name="Normal 2 52 7 4 2" xfId="22981" xr:uid="{00000000-0005-0000-0000-0000B11A0000}"/>
    <cellStyle name="Normal 2 52 7 5" xfId="5211" xr:uid="{00000000-0005-0000-0000-0000B21A0000}"/>
    <cellStyle name="Normal 2 52 7 5 2" xfId="22982" xr:uid="{00000000-0005-0000-0000-0000B31A0000}"/>
    <cellStyle name="Normal 2 52 7 6" xfId="5212" xr:uid="{00000000-0005-0000-0000-0000B41A0000}"/>
    <cellStyle name="Normal 2 52 7 6 2" xfId="22983" xr:uid="{00000000-0005-0000-0000-0000B51A0000}"/>
    <cellStyle name="Normal 2 52 7 7" xfId="5213" xr:uid="{00000000-0005-0000-0000-0000B61A0000}"/>
    <cellStyle name="Normal 2 52 7 7 2" xfId="22984" xr:uid="{00000000-0005-0000-0000-0000B71A0000}"/>
    <cellStyle name="Normal 2 52 7 8" xfId="5214" xr:uid="{00000000-0005-0000-0000-0000B81A0000}"/>
    <cellStyle name="Normal 2 52 7 8 2" xfId="22985" xr:uid="{00000000-0005-0000-0000-0000B91A0000}"/>
    <cellStyle name="Normal 2 52 7 9" xfId="5215" xr:uid="{00000000-0005-0000-0000-0000BA1A0000}"/>
    <cellStyle name="Normal 2 52 7 9 2" xfId="22986" xr:uid="{00000000-0005-0000-0000-0000BB1A0000}"/>
    <cellStyle name="Normal 2 52 8" xfId="5216" xr:uid="{00000000-0005-0000-0000-0000BC1A0000}"/>
    <cellStyle name="Normal 2 52 8 10" xfId="5217" xr:uid="{00000000-0005-0000-0000-0000BD1A0000}"/>
    <cellStyle name="Normal 2 52 8 10 2" xfId="22988" xr:uid="{00000000-0005-0000-0000-0000BE1A0000}"/>
    <cellStyle name="Normal 2 52 8 11" xfId="5218" xr:uid="{00000000-0005-0000-0000-0000BF1A0000}"/>
    <cellStyle name="Normal 2 52 8 11 2" xfId="22989" xr:uid="{00000000-0005-0000-0000-0000C01A0000}"/>
    <cellStyle name="Normal 2 52 8 12" xfId="5219" xr:uid="{00000000-0005-0000-0000-0000C11A0000}"/>
    <cellStyle name="Normal 2 52 8 12 2" xfId="22990" xr:uid="{00000000-0005-0000-0000-0000C21A0000}"/>
    <cellStyle name="Normal 2 52 8 13" xfId="5220" xr:uid="{00000000-0005-0000-0000-0000C31A0000}"/>
    <cellStyle name="Normal 2 52 8 13 2" xfId="22991" xr:uid="{00000000-0005-0000-0000-0000C41A0000}"/>
    <cellStyle name="Normal 2 52 8 14" xfId="5221" xr:uid="{00000000-0005-0000-0000-0000C51A0000}"/>
    <cellStyle name="Normal 2 52 8 14 2" xfId="22992" xr:uid="{00000000-0005-0000-0000-0000C61A0000}"/>
    <cellStyle name="Normal 2 52 8 15" xfId="22987" xr:uid="{00000000-0005-0000-0000-0000C71A0000}"/>
    <cellStyle name="Normal 2 52 8 2" xfId="5222" xr:uid="{00000000-0005-0000-0000-0000C81A0000}"/>
    <cellStyle name="Normal 2 52 8 2 2" xfId="22993" xr:uid="{00000000-0005-0000-0000-0000C91A0000}"/>
    <cellStyle name="Normal 2 52 8 3" xfId="5223" xr:uid="{00000000-0005-0000-0000-0000CA1A0000}"/>
    <cellStyle name="Normal 2 52 8 3 2" xfId="22994" xr:uid="{00000000-0005-0000-0000-0000CB1A0000}"/>
    <cellStyle name="Normal 2 52 8 4" xfId="5224" xr:uid="{00000000-0005-0000-0000-0000CC1A0000}"/>
    <cellStyle name="Normal 2 52 8 4 2" xfId="22995" xr:uid="{00000000-0005-0000-0000-0000CD1A0000}"/>
    <cellStyle name="Normal 2 52 8 5" xfId="5225" xr:uid="{00000000-0005-0000-0000-0000CE1A0000}"/>
    <cellStyle name="Normal 2 52 8 5 2" xfId="22996" xr:uid="{00000000-0005-0000-0000-0000CF1A0000}"/>
    <cellStyle name="Normal 2 52 8 6" xfId="5226" xr:uid="{00000000-0005-0000-0000-0000D01A0000}"/>
    <cellStyle name="Normal 2 52 8 6 2" xfId="22997" xr:uid="{00000000-0005-0000-0000-0000D11A0000}"/>
    <cellStyle name="Normal 2 52 8 7" xfId="5227" xr:uid="{00000000-0005-0000-0000-0000D21A0000}"/>
    <cellStyle name="Normal 2 52 8 7 2" xfId="22998" xr:uid="{00000000-0005-0000-0000-0000D31A0000}"/>
    <cellStyle name="Normal 2 52 8 8" xfId="5228" xr:uid="{00000000-0005-0000-0000-0000D41A0000}"/>
    <cellStyle name="Normal 2 52 8 8 2" xfId="22999" xr:uid="{00000000-0005-0000-0000-0000D51A0000}"/>
    <cellStyle name="Normal 2 52 8 9" xfId="5229" xr:uid="{00000000-0005-0000-0000-0000D61A0000}"/>
    <cellStyle name="Normal 2 52 8 9 2" xfId="23000" xr:uid="{00000000-0005-0000-0000-0000D71A0000}"/>
    <cellStyle name="Normal 2 52 9" xfId="5230" xr:uid="{00000000-0005-0000-0000-0000D81A0000}"/>
    <cellStyle name="Normal 2 52 9 10" xfId="5231" xr:uid="{00000000-0005-0000-0000-0000D91A0000}"/>
    <cellStyle name="Normal 2 52 9 10 2" xfId="23002" xr:uid="{00000000-0005-0000-0000-0000DA1A0000}"/>
    <cellStyle name="Normal 2 52 9 11" xfId="5232" xr:uid="{00000000-0005-0000-0000-0000DB1A0000}"/>
    <cellStyle name="Normal 2 52 9 11 2" xfId="23003" xr:uid="{00000000-0005-0000-0000-0000DC1A0000}"/>
    <cellStyle name="Normal 2 52 9 12" xfId="5233" xr:uid="{00000000-0005-0000-0000-0000DD1A0000}"/>
    <cellStyle name="Normal 2 52 9 12 2" xfId="23004" xr:uid="{00000000-0005-0000-0000-0000DE1A0000}"/>
    <cellStyle name="Normal 2 52 9 13" xfId="5234" xr:uid="{00000000-0005-0000-0000-0000DF1A0000}"/>
    <cellStyle name="Normal 2 52 9 13 2" xfId="23005" xr:uid="{00000000-0005-0000-0000-0000E01A0000}"/>
    <cellStyle name="Normal 2 52 9 14" xfId="5235" xr:uid="{00000000-0005-0000-0000-0000E11A0000}"/>
    <cellStyle name="Normal 2 52 9 14 2" xfId="23006" xr:uid="{00000000-0005-0000-0000-0000E21A0000}"/>
    <cellStyle name="Normal 2 52 9 15" xfId="23001" xr:uid="{00000000-0005-0000-0000-0000E31A0000}"/>
    <cellStyle name="Normal 2 52 9 2" xfId="5236" xr:uid="{00000000-0005-0000-0000-0000E41A0000}"/>
    <cellStyle name="Normal 2 52 9 2 2" xfId="23007" xr:uid="{00000000-0005-0000-0000-0000E51A0000}"/>
    <cellStyle name="Normal 2 52 9 3" xfId="5237" xr:uid="{00000000-0005-0000-0000-0000E61A0000}"/>
    <cellStyle name="Normal 2 52 9 3 2" xfId="23008" xr:uid="{00000000-0005-0000-0000-0000E71A0000}"/>
    <cellStyle name="Normal 2 52 9 4" xfId="5238" xr:uid="{00000000-0005-0000-0000-0000E81A0000}"/>
    <cellStyle name="Normal 2 52 9 4 2" xfId="23009" xr:uid="{00000000-0005-0000-0000-0000E91A0000}"/>
    <cellStyle name="Normal 2 52 9 5" xfId="5239" xr:uid="{00000000-0005-0000-0000-0000EA1A0000}"/>
    <cellStyle name="Normal 2 52 9 5 2" xfId="23010" xr:uid="{00000000-0005-0000-0000-0000EB1A0000}"/>
    <cellStyle name="Normal 2 52 9 6" xfId="5240" xr:uid="{00000000-0005-0000-0000-0000EC1A0000}"/>
    <cellStyle name="Normal 2 52 9 6 2" xfId="23011" xr:uid="{00000000-0005-0000-0000-0000ED1A0000}"/>
    <cellStyle name="Normal 2 52 9 7" xfId="5241" xr:uid="{00000000-0005-0000-0000-0000EE1A0000}"/>
    <cellStyle name="Normal 2 52 9 7 2" xfId="23012" xr:uid="{00000000-0005-0000-0000-0000EF1A0000}"/>
    <cellStyle name="Normal 2 52 9 8" xfId="5242" xr:uid="{00000000-0005-0000-0000-0000F01A0000}"/>
    <cellStyle name="Normal 2 52 9 8 2" xfId="23013" xr:uid="{00000000-0005-0000-0000-0000F11A0000}"/>
    <cellStyle name="Normal 2 52 9 9" xfId="5243" xr:uid="{00000000-0005-0000-0000-0000F21A0000}"/>
    <cellStyle name="Normal 2 52 9 9 2" xfId="23014" xr:uid="{00000000-0005-0000-0000-0000F31A0000}"/>
    <cellStyle name="Normal 2 53" xfId="5244" xr:uid="{00000000-0005-0000-0000-0000F41A0000}"/>
    <cellStyle name="Normal 2 53 10" xfId="5245" xr:uid="{00000000-0005-0000-0000-0000F51A0000}"/>
    <cellStyle name="Normal 2 53 10 10" xfId="5246" xr:uid="{00000000-0005-0000-0000-0000F61A0000}"/>
    <cellStyle name="Normal 2 53 10 10 2" xfId="23017" xr:uid="{00000000-0005-0000-0000-0000F71A0000}"/>
    <cellStyle name="Normal 2 53 10 11" xfId="5247" xr:uid="{00000000-0005-0000-0000-0000F81A0000}"/>
    <cellStyle name="Normal 2 53 10 11 2" xfId="23018" xr:uid="{00000000-0005-0000-0000-0000F91A0000}"/>
    <cellStyle name="Normal 2 53 10 12" xfId="5248" xr:uid="{00000000-0005-0000-0000-0000FA1A0000}"/>
    <cellStyle name="Normal 2 53 10 12 2" xfId="23019" xr:uid="{00000000-0005-0000-0000-0000FB1A0000}"/>
    <cellStyle name="Normal 2 53 10 13" xfId="5249" xr:uid="{00000000-0005-0000-0000-0000FC1A0000}"/>
    <cellStyle name="Normal 2 53 10 13 2" xfId="23020" xr:uid="{00000000-0005-0000-0000-0000FD1A0000}"/>
    <cellStyle name="Normal 2 53 10 14" xfId="5250" xr:uid="{00000000-0005-0000-0000-0000FE1A0000}"/>
    <cellStyle name="Normal 2 53 10 14 2" xfId="23021" xr:uid="{00000000-0005-0000-0000-0000FF1A0000}"/>
    <cellStyle name="Normal 2 53 10 15" xfId="23016" xr:uid="{00000000-0005-0000-0000-0000001B0000}"/>
    <cellStyle name="Normal 2 53 10 2" xfId="5251" xr:uid="{00000000-0005-0000-0000-0000011B0000}"/>
    <cellStyle name="Normal 2 53 10 2 2" xfId="23022" xr:uid="{00000000-0005-0000-0000-0000021B0000}"/>
    <cellStyle name="Normal 2 53 10 3" xfId="5252" xr:uid="{00000000-0005-0000-0000-0000031B0000}"/>
    <cellStyle name="Normal 2 53 10 3 2" xfId="23023" xr:uid="{00000000-0005-0000-0000-0000041B0000}"/>
    <cellStyle name="Normal 2 53 10 4" xfId="5253" xr:uid="{00000000-0005-0000-0000-0000051B0000}"/>
    <cellStyle name="Normal 2 53 10 4 2" xfId="23024" xr:uid="{00000000-0005-0000-0000-0000061B0000}"/>
    <cellStyle name="Normal 2 53 10 5" xfId="5254" xr:uid="{00000000-0005-0000-0000-0000071B0000}"/>
    <cellStyle name="Normal 2 53 10 5 2" xfId="23025" xr:uid="{00000000-0005-0000-0000-0000081B0000}"/>
    <cellStyle name="Normal 2 53 10 6" xfId="5255" xr:uid="{00000000-0005-0000-0000-0000091B0000}"/>
    <cellStyle name="Normal 2 53 10 6 2" xfId="23026" xr:uid="{00000000-0005-0000-0000-00000A1B0000}"/>
    <cellStyle name="Normal 2 53 10 7" xfId="5256" xr:uid="{00000000-0005-0000-0000-00000B1B0000}"/>
    <cellStyle name="Normal 2 53 10 7 2" xfId="23027" xr:uid="{00000000-0005-0000-0000-00000C1B0000}"/>
    <cellStyle name="Normal 2 53 10 8" xfId="5257" xr:uid="{00000000-0005-0000-0000-00000D1B0000}"/>
    <cellStyle name="Normal 2 53 10 8 2" xfId="23028" xr:uid="{00000000-0005-0000-0000-00000E1B0000}"/>
    <cellStyle name="Normal 2 53 10 9" xfId="5258" xr:uid="{00000000-0005-0000-0000-00000F1B0000}"/>
    <cellStyle name="Normal 2 53 10 9 2" xfId="23029" xr:uid="{00000000-0005-0000-0000-0000101B0000}"/>
    <cellStyle name="Normal 2 53 11" xfId="5259" xr:uid="{00000000-0005-0000-0000-0000111B0000}"/>
    <cellStyle name="Normal 2 53 11 2" xfId="23030" xr:uid="{00000000-0005-0000-0000-0000121B0000}"/>
    <cellStyle name="Normal 2 53 12" xfId="5260" xr:uid="{00000000-0005-0000-0000-0000131B0000}"/>
    <cellStyle name="Normal 2 53 12 2" xfId="23031" xr:uid="{00000000-0005-0000-0000-0000141B0000}"/>
    <cellStyle name="Normal 2 53 13" xfId="5261" xr:uid="{00000000-0005-0000-0000-0000151B0000}"/>
    <cellStyle name="Normal 2 53 13 2" xfId="23032" xr:uid="{00000000-0005-0000-0000-0000161B0000}"/>
    <cellStyle name="Normal 2 53 14" xfId="5262" xr:uid="{00000000-0005-0000-0000-0000171B0000}"/>
    <cellStyle name="Normal 2 53 14 2" xfId="23033" xr:uid="{00000000-0005-0000-0000-0000181B0000}"/>
    <cellStyle name="Normal 2 53 15" xfId="5263" xr:uid="{00000000-0005-0000-0000-0000191B0000}"/>
    <cellStyle name="Normal 2 53 15 2" xfId="23034" xr:uid="{00000000-0005-0000-0000-00001A1B0000}"/>
    <cellStyle name="Normal 2 53 16" xfId="5264" xr:uid="{00000000-0005-0000-0000-00001B1B0000}"/>
    <cellStyle name="Normal 2 53 16 2" xfId="23035" xr:uid="{00000000-0005-0000-0000-00001C1B0000}"/>
    <cellStyle name="Normal 2 53 17" xfId="5265" xr:uid="{00000000-0005-0000-0000-00001D1B0000}"/>
    <cellStyle name="Normal 2 53 17 2" xfId="23036" xr:uid="{00000000-0005-0000-0000-00001E1B0000}"/>
    <cellStyle name="Normal 2 53 18" xfId="5266" xr:uid="{00000000-0005-0000-0000-00001F1B0000}"/>
    <cellStyle name="Normal 2 53 18 2" xfId="23037" xr:uid="{00000000-0005-0000-0000-0000201B0000}"/>
    <cellStyle name="Normal 2 53 19" xfId="5267" xr:uid="{00000000-0005-0000-0000-0000211B0000}"/>
    <cellStyle name="Normal 2 53 19 2" xfId="23038" xr:uid="{00000000-0005-0000-0000-0000221B0000}"/>
    <cellStyle name="Normal 2 53 2" xfId="5268" xr:uid="{00000000-0005-0000-0000-0000231B0000}"/>
    <cellStyle name="Normal 2 53 2 10" xfId="5269" xr:uid="{00000000-0005-0000-0000-0000241B0000}"/>
    <cellStyle name="Normal 2 53 2 10 2" xfId="23040" xr:uid="{00000000-0005-0000-0000-0000251B0000}"/>
    <cellStyle name="Normal 2 53 2 11" xfId="5270" xr:uid="{00000000-0005-0000-0000-0000261B0000}"/>
    <cellStyle name="Normal 2 53 2 11 2" xfId="23041" xr:uid="{00000000-0005-0000-0000-0000271B0000}"/>
    <cellStyle name="Normal 2 53 2 12" xfId="5271" xr:uid="{00000000-0005-0000-0000-0000281B0000}"/>
    <cellStyle name="Normal 2 53 2 12 2" xfId="23042" xr:uid="{00000000-0005-0000-0000-0000291B0000}"/>
    <cellStyle name="Normal 2 53 2 13" xfId="5272" xr:uid="{00000000-0005-0000-0000-00002A1B0000}"/>
    <cellStyle name="Normal 2 53 2 13 2" xfId="23043" xr:uid="{00000000-0005-0000-0000-00002B1B0000}"/>
    <cellStyle name="Normal 2 53 2 14" xfId="5273" xr:uid="{00000000-0005-0000-0000-00002C1B0000}"/>
    <cellStyle name="Normal 2 53 2 14 2" xfId="23044" xr:uid="{00000000-0005-0000-0000-00002D1B0000}"/>
    <cellStyle name="Normal 2 53 2 15" xfId="5274" xr:uid="{00000000-0005-0000-0000-00002E1B0000}"/>
    <cellStyle name="Normal 2 53 2 15 2" xfId="23045" xr:uid="{00000000-0005-0000-0000-00002F1B0000}"/>
    <cellStyle name="Normal 2 53 2 16" xfId="23039" xr:uid="{00000000-0005-0000-0000-0000301B0000}"/>
    <cellStyle name="Normal 2 53 2 2" xfId="5275" xr:uid="{00000000-0005-0000-0000-0000311B0000}"/>
    <cellStyle name="Normal 2 53 2 2 10" xfId="5276" xr:uid="{00000000-0005-0000-0000-0000321B0000}"/>
    <cellStyle name="Normal 2 53 2 2 10 2" xfId="23047" xr:uid="{00000000-0005-0000-0000-0000331B0000}"/>
    <cellStyle name="Normal 2 53 2 2 11" xfId="5277" xr:uid="{00000000-0005-0000-0000-0000341B0000}"/>
    <cellStyle name="Normal 2 53 2 2 11 2" xfId="23048" xr:uid="{00000000-0005-0000-0000-0000351B0000}"/>
    <cellStyle name="Normal 2 53 2 2 12" xfId="5278" xr:uid="{00000000-0005-0000-0000-0000361B0000}"/>
    <cellStyle name="Normal 2 53 2 2 12 2" xfId="23049" xr:uid="{00000000-0005-0000-0000-0000371B0000}"/>
    <cellStyle name="Normal 2 53 2 2 13" xfId="5279" xr:uid="{00000000-0005-0000-0000-0000381B0000}"/>
    <cellStyle name="Normal 2 53 2 2 13 2" xfId="23050" xr:uid="{00000000-0005-0000-0000-0000391B0000}"/>
    <cellStyle name="Normal 2 53 2 2 14" xfId="5280" xr:uid="{00000000-0005-0000-0000-00003A1B0000}"/>
    <cellStyle name="Normal 2 53 2 2 14 2" xfId="23051" xr:uid="{00000000-0005-0000-0000-00003B1B0000}"/>
    <cellStyle name="Normal 2 53 2 2 15" xfId="23046" xr:uid="{00000000-0005-0000-0000-00003C1B0000}"/>
    <cellStyle name="Normal 2 53 2 2 2" xfId="5281" xr:uid="{00000000-0005-0000-0000-00003D1B0000}"/>
    <cellStyle name="Normal 2 53 2 2 2 2" xfId="23052" xr:uid="{00000000-0005-0000-0000-00003E1B0000}"/>
    <cellStyle name="Normal 2 53 2 2 3" xfId="5282" xr:uid="{00000000-0005-0000-0000-00003F1B0000}"/>
    <cellStyle name="Normal 2 53 2 2 3 2" xfId="23053" xr:uid="{00000000-0005-0000-0000-0000401B0000}"/>
    <cellStyle name="Normal 2 53 2 2 4" xfId="5283" xr:uid="{00000000-0005-0000-0000-0000411B0000}"/>
    <cellStyle name="Normal 2 53 2 2 4 2" xfId="23054" xr:uid="{00000000-0005-0000-0000-0000421B0000}"/>
    <cellStyle name="Normal 2 53 2 2 5" xfId="5284" xr:uid="{00000000-0005-0000-0000-0000431B0000}"/>
    <cellStyle name="Normal 2 53 2 2 5 2" xfId="23055" xr:uid="{00000000-0005-0000-0000-0000441B0000}"/>
    <cellStyle name="Normal 2 53 2 2 6" xfId="5285" xr:uid="{00000000-0005-0000-0000-0000451B0000}"/>
    <cellStyle name="Normal 2 53 2 2 6 2" xfId="23056" xr:uid="{00000000-0005-0000-0000-0000461B0000}"/>
    <cellStyle name="Normal 2 53 2 2 7" xfId="5286" xr:uid="{00000000-0005-0000-0000-0000471B0000}"/>
    <cellStyle name="Normal 2 53 2 2 7 2" xfId="23057" xr:uid="{00000000-0005-0000-0000-0000481B0000}"/>
    <cellStyle name="Normal 2 53 2 2 8" xfId="5287" xr:uid="{00000000-0005-0000-0000-0000491B0000}"/>
    <cellStyle name="Normal 2 53 2 2 8 2" xfId="23058" xr:uid="{00000000-0005-0000-0000-00004A1B0000}"/>
    <cellStyle name="Normal 2 53 2 2 9" xfId="5288" xr:uid="{00000000-0005-0000-0000-00004B1B0000}"/>
    <cellStyle name="Normal 2 53 2 2 9 2" xfId="23059" xr:uid="{00000000-0005-0000-0000-00004C1B0000}"/>
    <cellStyle name="Normal 2 53 2 3" xfId="5289" xr:uid="{00000000-0005-0000-0000-00004D1B0000}"/>
    <cellStyle name="Normal 2 53 2 3 2" xfId="23060" xr:uid="{00000000-0005-0000-0000-00004E1B0000}"/>
    <cellStyle name="Normal 2 53 2 4" xfId="5290" xr:uid="{00000000-0005-0000-0000-00004F1B0000}"/>
    <cellStyle name="Normal 2 53 2 4 2" xfId="23061" xr:uid="{00000000-0005-0000-0000-0000501B0000}"/>
    <cellStyle name="Normal 2 53 2 5" xfId="5291" xr:uid="{00000000-0005-0000-0000-0000511B0000}"/>
    <cellStyle name="Normal 2 53 2 5 2" xfId="23062" xr:uid="{00000000-0005-0000-0000-0000521B0000}"/>
    <cellStyle name="Normal 2 53 2 6" xfId="5292" xr:uid="{00000000-0005-0000-0000-0000531B0000}"/>
    <cellStyle name="Normal 2 53 2 6 2" xfId="23063" xr:uid="{00000000-0005-0000-0000-0000541B0000}"/>
    <cellStyle name="Normal 2 53 2 7" xfId="5293" xr:uid="{00000000-0005-0000-0000-0000551B0000}"/>
    <cellStyle name="Normal 2 53 2 7 2" xfId="23064" xr:uid="{00000000-0005-0000-0000-0000561B0000}"/>
    <cellStyle name="Normal 2 53 2 8" xfId="5294" xr:uid="{00000000-0005-0000-0000-0000571B0000}"/>
    <cellStyle name="Normal 2 53 2 8 2" xfId="23065" xr:uid="{00000000-0005-0000-0000-0000581B0000}"/>
    <cellStyle name="Normal 2 53 2 9" xfId="5295" xr:uid="{00000000-0005-0000-0000-0000591B0000}"/>
    <cellStyle name="Normal 2 53 2 9 2" xfId="23066" xr:uid="{00000000-0005-0000-0000-00005A1B0000}"/>
    <cellStyle name="Normal 2 53 20" xfId="5296" xr:uid="{00000000-0005-0000-0000-00005B1B0000}"/>
    <cellStyle name="Normal 2 53 20 2" xfId="23067" xr:uid="{00000000-0005-0000-0000-00005C1B0000}"/>
    <cellStyle name="Normal 2 53 21" xfId="5297" xr:uid="{00000000-0005-0000-0000-00005D1B0000}"/>
    <cellStyle name="Normal 2 53 21 2" xfId="23068" xr:uid="{00000000-0005-0000-0000-00005E1B0000}"/>
    <cellStyle name="Normal 2 53 22" xfId="5298" xr:uid="{00000000-0005-0000-0000-00005F1B0000}"/>
    <cellStyle name="Normal 2 53 22 2" xfId="23069" xr:uid="{00000000-0005-0000-0000-0000601B0000}"/>
    <cellStyle name="Normal 2 53 23" xfId="5299" xr:uid="{00000000-0005-0000-0000-0000611B0000}"/>
    <cellStyle name="Normal 2 53 23 2" xfId="23070" xr:uid="{00000000-0005-0000-0000-0000621B0000}"/>
    <cellStyle name="Normal 2 53 24" xfId="23015" xr:uid="{00000000-0005-0000-0000-0000631B0000}"/>
    <cellStyle name="Normal 2 53 3" xfId="5300" xr:uid="{00000000-0005-0000-0000-0000641B0000}"/>
    <cellStyle name="Normal 2 53 3 10" xfId="5301" xr:uid="{00000000-0005-0000-0000-0000651B0000}"/>
    <cellStyle name="Normal 2 53 3 10 2" xfId="23072" xr:uid="{00000000-0005-0000-0000-0000661B0000}"/>
    <cellStyle name="Normal 2 53 3 11" xfId="5302" xr:uid="{00000000-0005-0000-0000-0000671B0000}"/>
    <cellStyle name="Normal 2 53 3 11 2" xfId="23073" xr:uid="{00000000-0005-0000-0000-0000681B0000}"/>
    <cellStyle name="Normal 2 53 3 12" xfId="5303" xr:uid="{00000000-0005-0000-0000-0000691B0000}"/>
    <cellStyle name="Normal 2 53 3 12 2" xfId="23074" xr:uid="{00000000-0005-0000-0000-00006A1B0000}"/>
    <cellStyle name="Normal 2 53 3 13" xfId="5304" xr:uid="{00000000-0005-0000-0000-00006B1B0000}"/>
    <cellStyle name="Normal 2 53 3 13 2" xfId="23075" xr:uid="{00000000-0005-0000-0000-00006C1B0000}"/>
    <cellStyle name="Normal 2 53 3 14" xfId="5305" xr:uid="{00000000-0005-0000-0000-00006D1B0000}"/>
    <cellStyle name="Normal 2 53 3 14 2" xfId="23076" xr:uid="{00000000-0005-0000-0000-00006E1B0000}"/>
    <cellStyle name="Normal 2 53 3 15" xfId="5306" xr:uid="{00000000-0005-0000-0000-00006F1B0000}"/>
    <cellStyle name="Normal 2 53 3 15 2" xfId="23077" xr:uid="{00000000-0005-0000-0000-0000701B0000}"/>
    <cellStyle name="Normal 2 53 3 16" xfId="23071" xr:uid="{00000000-0005-0000-0000-0000711B0000}"/>
    <cellStyle name="Normal 2 53 3 2" xfId="5307" xr:uid="{00000000-0005-0000-0000-0000721B0000}"/>
    <cellStyle name="Normal 2 53 3 2 10" xfId="5308" xr:uid="{00000000-0005-0000-0000-0000731B0000}"/>
    <cellStyle name="Normal 2 53 3 2 10 2" xfId="23079" xr:uid="{00000000-0005-0000-0000-0000741B0000}"/>
    <cellStyle name="Normal 2 53 3 2 11" xfId="5309" xr:uid="{00000000-0005-0000-0000-0000751B0000}"/>
    <cellStyle name="Normal 2 53 3 2 11 2" xfId="23080" xr:uid="{00000000-0005-0000-0000-0000761B0000}"/>
    <cellStyle name="Normal 2 53 3 2 12" xfId="5310" xr:uid="{00000000-0005-0000-0000-0000771B0000}"/>
    <cellStyle name="Normal 2 53 3 2 12 2" xfId="23081" xr:uid="{00000000-0005-0000-0000-0000781B0000}"/>
    <cellStyle name="Normal 2 53 3 2 13" xfId="5311" xr:uid="{00000000-0005-0000-0000-0000791B0000}"/>
    <cellStyle name="Normal 2 53 3 2 13 2" xfId="23082" xr:uid="{00000000-0005-0000-0000-00007A1B0000}"/>
    <cellStyle name="Normal 2 53 3 2 14" xfId="5312" xr:uid="{00000000-0005-0000-0000-00007B1B0000}"/>
    <cellStyle name="Normal 2 53 3 2 14 2" xfId="23083" xr:uid="{00000000-0005-0000-0000-00007C1B0000}"/>
    <cellStyle name="Normal 2 53 3 2 15" xfId="23078" xr:uid="{00000000-0005-0000-0000-00007D1B0000}"/>
    <cellStyle name="Normal 2 53 3 2 2" xfId="5313" xr:uid="{00000000-0005-0000-0000-00007E1B0000}"/>
    <cellStyle name="Normal 2 53 3 2 2 2" xfId="23084" xr:uid="{00000000-0005-0000-0000-00007F1B0000}"/>
    <cellStyle name="Normal 2 53 3 2 3" xfId="5314" xr:uid="{00000000-0005-0000-0000-0000801B0000}"/>
    <cellStyle name="Normal 2 53 3 2 3 2" xfId="23085" xr:uid="{00000000-0005-0000-0000-0000811B0000}"/>
    <cellStyle name="Normal 2 53 3 2 4" xfId="5315" xr:uid="{00000000-0005-0000-0000-0000821B0000}"/>
    <cellStyle name="Normal 2 53 3 2 4 2" xfId="23086" xr:uid="{00000000-0005-0000-0000-0000831B0000}"/>
    <cellStyle name="Normal 2 53 3 2 5" xfId="5316" xr:uid="{00000000-0005-0000-0000-0000841B0000}"/>
    <cellStyle name="Normal 2 53 3 2 5 2" xfId="23087" xr:uid="{00000000-0005-0000-0000-0000851B0000}"/>
    <cellStyle name="Normal 2 53 3 2 6" xfId="5317" xr:uid="{00000000-0005-0000-0000-0000861B0000}"/>
    <cellStyle name="Normal 2 53 3 2 6 2" xfId="23088" xr:uid="{00000000-0005-0000-0000-0000871B0000}"/>
    <cellStyle name="Normal 2 53 3 2 7" xfId="5318" xr:uid="{00000000-0005-0000-0000-0000881B0000}"/>
    <cellStyle name="Normal 2 53 3 2 7 2" xfId="23089" xr:uid="{00000000-0005-0000-0000-0000891B0000}"/>
    <cellStyle name="Normal 2 53 3 2 8" xfId="5319" xr:uid="{00000000-0005-0000-0000-00008A1B0000}"/>
    <cellStyle name="Normal 2 53 3 2 8 2" xfId="23090" xr:uid="{00000000-0005-0000-0000-00008B1B0000}"/>
    <cellStyle name="Normal 2 53 3 2 9" xfId="5320" xr:uid="{00000000-0005-0000-0000-00008C1B0000}"/>
    <cellStyle name="Normal 2 53 3 2 9 2" xfId="23091" xr:uid="{00000000-0005-0000-0000-00008D1B0000}"/>
    <cellStyle name="Normal 2 53 3 3" xfId="5321" xr:uid="{00000000-0005-0000-0000-00008E1B0000}"/>
    <cellStyle name="Normal 2 53 3 3 2" xfId="23092" xr:uid="{00000000-0005-0000-0000-00008F1B0000}"/>
    <cellStyle name="Normal 2 53 3 4" xfId="5322" xr:uid="{00000000-0005-0000-0000-0000901B0000}"/>
    <cellStyle name="Normal 2 53 3 4 2" xfId="23093" xr:uid="{00000000-0005-0000-0000-0000911B0000}"/>
    <cellStyle name="Normal 2 53 3 5" xfId="5323" xr:uid="{00000000-0005-0000-0000-0000921B0000}"/>
    <cellStyle name="Normal 2 53 3 5 2" xfId="23094" xr:uid="{00000000-0005-0000-0000-0000931B0000}"/>
    <cellStyle name="Normal 2 53 3 6" xfId="5324" xr:uid="{00000000-0005-0000-0000-0000941B0000}"/>
    <cellStyle name="Normal 2 53 3 6 2" xfId="23095" xr:uid="{00000000-0005-0000-0000-0000951B0000}"/>
    <cellStyle name="Normal 2 53 3 7" xfId="5325" xr:uid="{00000000-0005-0000-0000-0000961B0000}"/>
    <cellStyle name="Normal 2 53 3 7 2" xfId="23096" xr:uid="{00000000-0005-0000-0000-0000971B0000}"/>
    <cellStyle name="Normal 2 53 3 8" xfId="5326" xr:uid="{00000000-0005-0000-0000-0000981B0000}"/>
    <cellStyle name="Normal 2 53 3 8 2" xfId="23097" xr:uid="{00000000-0005-0000-0000-0000991B0000}"/>
    <cellStyle name="Normal 2 53 3 9" xfId="5327" xr:uid="{00000000-0005-0000-0000-00009A1B0000}"/>
    <cellStyle name="Normal 2 53 3 9 2" xfId="23098" xr:uid="{00000000-0005-0000-0000-00009B1B0000}"/>
    <cellStyle name="Normal 2 53 4" xfId="5328" xr:uid="{00000000-0005-0000-0000-00009C1B0000}"/>
    <cellStyle name="Normal 2 53 4 10" xfId="5329" xr:uid="{00000000-0005-0000-0000-00009D1B0000}"/>
    <cellStyle name="Normal 2 53 4 10 2" xfId="23100" xr:uid="{00000000-0005-0000-0000-00009E1B0000}"/>
    <cellStyle name="Normal 2 53 4 11" xfId="5330" xr:uid="{00000000-0005-0000-0000-00009F1B0000}"/>
    <cellStyle name="Normal 2 53 4 11 2" xfId="23101" xr:uid="{00000000-0005-0000-0000-0000A01B0000}"/>
    <cellStyle name="Normal 2 53 4 12" xfId="5331" xr:uid="{00000000-0005-0000-0000-0000A11B0000}"/>
    <cellStyle name="Normal 2 53 4 12 2" xfId="23102" xr:uid="{00000000-0005-0000-0000-0000A21B0000}"/>
    <cellStyle name="Normal 2 53 4 13" xfId="5332" xr:uid="{00000000-0005-0000-0000-0000A31B0000}"/>
    <cellStyle name="Normal 2 53 4 13 2" xfId="23103" xr:uid="{00000000-0005-0000-0000-0000A41B0000}"/>
    <cellStyle name="Normal 2 53 4 14" xfId="5333" xr:uid="{00000000-0005-0000-0000-0000A51B0000}"/>
    <cellStyle name="Normal 2 53 4 14 2" xfId="23104" xr:uid="{00000000-0005-0000-0000-0000A61B0000}"/>
    <cellStyle name="Normal 2 53 4 15" xfId="5334" xr:uid="{00000000-0005-0000-0000-0000A71B0000}"/>
    <cellStyle name="Normal 2 53 4 15 2" xfId="23105" xr:uid="{00000000-0005-0000-0000-0000A81B0000}"/>
    <cellStyle name="Normal 2 53 4 16" xfId="23099" xr:uid="{00000000-0005-0000-0000-0000A91B0000}"/>
    <cellStyle name="Normal 2 53 4 2" xfId="5335" xr:uid="{00000000-0005-0000-0000-0000AA1B0000}"/>
    <cellStyle name="Normal 2 53 4 2 10" xfId="5336" xr:uid="{00000000-0005-0000-0000-0000AB1B0000}"/>
    <cellStyle name="Normal 2 53 4 2 10 2" xfId="23107" xr:uid="{00000000-0005-0000-0000-0000AC1B0000}"/>
    <cellStyle name="Normal 2 53 4 2 11" xfId="5337" xr:uid="{00000000-0005-0000-0000-0000AD1B0000}"/>
    <cellStyle name="Normal 2 53 4 2 11 2" xfId="23108" xr:uid="{00000000-0005-0000-0000-0000AE1B0000}"/>
    <cellStyle name="Normal 2 53 4 2 12" xfId="5338" xr:uid="{00000000-0005-0000-0000-0000AF1B0000}"/>
    <cellStyle name="Normal 2 53 4 2 12 2" xfId="23109" xr:uid="{00000000-0005-0000-0000-0000B01B0000}"/>
    <cellStyle name="Normal 2 53 4 2 13" xfId="5339" xr:uid="{00000000-0005-0000-0000-0000B11B0000}"/>
    <cellStyle name="Normal 2 53 4 2 13 2" xfId="23110" xr:uid="{00000000-0005-0000-0000-0000B21B0000}"/>
    <cellStyle name="Normal 2 53 4 2 14" xfId="5340" xr:uid="{00000000-0005-0000-0000-0000B31B0000}"/>
    <cellStyle name="Normal 2 53 4 2 14 2" xfId="23111" xr:uid="{00000000-0005-0000-0000-0000B41B0000}"/>
    <cellStyle name="Normal 2 53 4 2 15" xfId="23106" xr:uid="{00000000-0005-0000-0000-0000B51B0000}"/>
    <cellStyle name="Normal 2 53 4 2 2" xfId="5341" xr:uid="{00000000-0005-0000-0000-0000B61B0000}"/>
    <cellStyle name="Normal 2 53 4 2 2 2" xfId="23112" xr:uid="{00000000-0005-0000-0000-0000B71B0000}"/>
    <cellStyle name="Normal 2 53 4 2 3" xfId="5342" xr:uid="{00000000-0005-0000-0000-0000B81B0000}"/>
    <cellStyle name="Normal 2 53 4 2 3 2" xfId="23113" xr:uid="{00000000-0005-0000-0000-0000B91B0000}"/>
    <cellStyle name="Normal 2 53 4 2 4" xfId="5343" xr:uid="{00000000-0005-0000-0000-0000BA1B0000}"/>
    <cellStyle name="Normal 2 53 4 2 4 2" xfId="23114" xr:uid="{00000000-0005-0000-0000-0000BB1B0000}"/>
    <cellStyle name="Normal 2 53 4 2 5" xfId="5344" xr:uid="{00000000-0005-0000-0000-0000BC1B0000}"/>
    <cellStyle name="Normal 2 53 4 2 5 2" xfId="23115" xr:uid="{00000000-0005-0000-0000-0000BD1B0000}"/>
    <cellStyle name="Normal 2 53 4 2 6" xfId="5345" xr:uid="{00000000-0005-0000-0000-0000BE1B0000}"/>
    <cellStyle name="Normal 2 53 4 2 6 2" xfId="23116" xr:uid="{00000000-0005-0000-0000-0000BF1B0000}"/>
    <cellStyle name="Normal 2 53 4 2 7" xfId="5346" xr:uid="{00000000-0005-0000-0000-0000C01B0000}"/>
    <cellStyle name="Normal 2 53 4 2 7 2" xfId="23117" xr:uid="{00000000-0005-0000-0000-0000C11B0000}"/>
    <cellStyle name="Normal 2 53 4 2 8" xfId="5347" xr:uid="{00000000-0005-0000-0000-0000C21B0000}"/>
    <cellStyle name="Normal 2 53 4 2 8 2" xfId="23118" xr:uid="{00000000-0005-0000-0000-0000C31B0000}"/>
    <cellStyle name="Normal 2 53 4 2 9" xfId="5348" xr:uid="{00000000-0005-0000-0000-0000C41B0000}"/>
    <cellStyle name="Normal 2 53 4 2 9 2" xfId="23119" xr:uid="{00000000-0005-0000-0000-0000C51B0000}"/>
    <cellStyle name="Normal 2 53 4 3" xfId="5349" xr:uid="{00000000-0005-0000-0000-0000C61B0000}"/>
    <cellStyle name="Normal 2 53 4 3 2" xfId="23120" xr:uid="{00000000-0005-0000-0000-0000C71B0000}"/>
    <cellStyle name="Normal 2 53 4 4" xfId="5350" xr:uid="{00000000-0005-0000-0000-0000C81B0000}"/>
    <cellStyle name="Normal 2 53 4 4 2" xfId="23121" xr:uid="{00000000-0005-0000-0000-0000C91B0000}"/>
    <cellStyle name="Normal 2 53 4 5" xfId="5351" xr:uid="{00000000-0005-0000-0000-0000CA1B0000}"/>
    <cellStyle name="Normal 2 53 4 5 2" xfId="23122" xr:uid="{00000000-0005-0000-0000-0000CB1B0000}"/>
    <cellStyle name="Normal 2 53 4 6" xfId="5352" xr:uid="{00000000-0005-0000-0000-0000CC1B0000}"/>
    <cellStyle name="Normal 2 53 4 6 2" xfId="23123" xr:uid="{00000000-0005-0000-0000-0000CD1B0000}"/>
    <cellStyle name="Normal 2 53 4 7" xfId="5353" xr:uid="{00000000-0005-0000-0000-0000CE1B0000}"/>
    <cellStyle name="Normal 2 53 4 7 2" xfId="23124" xr:uid="{00000000-0005-0000-0000-0000CF1B0000}"/>
    <cellStyle name="Normal 2 53 4 8" xfId="5354" xr:uid="{00000000-0005-0000-0000-0000D01B0000}"/>
    <cellStyle name="Normal 2 53 4 8 2" xfId="23125" xr:uid="{00000000-0005-0000-0000-0000D11B0000}"/>
    <cellStyle name="Normal 2 53 4 9" xfId="5355" xr:uid="{00000000-0005-0000-0000-0000D21B0000}"/>
    <cellStyle name="Normal 2 53 4 9 2" xfId="23126" xr:uid="{00000000-0005-0000-0000-0000D31B0000}"/>
    <cellStyle name="Normal 2 53 5" xfId="5356" xr:uid="{00000000-0005-0000-0000-0000D41B0000}"/>
    <cellStyle name="Normal 2 53 5 10" xfId="5357" xr:uid="{00000000-0005-0000-0000-0000D51B0000}"/>
    <cellStyle name="Normal 2 53 5 10 2" xfId="23128" xr:uid="{00000000-0005-0000-0000-0000D61B0000}"/>
    <cellStyle name="Normal 2 53 5 11" xfId="5358" xr:uid="{00000000-0005-0000-0000-0000D71B0000}"/>
    <cellStyle name="Normal 2 53 5 11 2" xfId="23129" xr:uid="{00000000-0005-0000-0000-0000D81B0000}"/>
    <cellStyle name="Normal 2 53 5 12" xfId="5359" xr:uid="{00000000-0005-0000-0000-0000D91B0000}"/>
    <cellStyle name="Normal 2 53 5 12 2" xfId="23130" xr:uid="{00000000-0005-0000-0000-0000DA1B0000}"/>
    <cellStyle name="Normal 2 53 5 13" xfId="5360" xr:uid="{00000000-0005-0000-0000-0000DB1B0000}"/>
    <cellStyle name="Normal 2 53 5 13 2" xfId="23131" xr:uid="{00000000-0005-0000-0000-0000DC1B0000}"/>
    <cellStyle name="Normal 2 53 5 14" xfId="5361" xr:uid="{00000000-0005-0000-0000-0000DD1B0000}"/>
    <cellStyle name="Normal 2 53 5 14 2" xfId="23132" xr:uid="{00000000-0005-0000-0000-0000DE1B0000}"/>
    <cellStyle name="Normal 2 53 5 15" xfId="23127" xr:uid="{00000000-0005-0000-0000-0000DF1B0000}"/>
    <cellStyle name="Normal 2 53 5 2" xfId="5362" xr:uid="{00000000-0005-0000-0000-0000E01B0000}"/>
    <cellStyle name="Normal 2 53 5 2 2" xfId="23133" xr:uid="{00000000-0005-0000-0000-0000E11B0000}"/>
    <cellStyle name="Normal 2 53 5 3" xfId="5363" xr:uid="{00000000-0005-0000-0000-0000E21B0000}"/>
    <cellStyle name="Normal 2 53 5 3 2" xfId="23134" xr:uid="{00000000-0005-0000-0000-0000E31B0000}"/>
    <cellStyle name="Normal 2 53 5 4" xfId="5364" xr:uid="{00000000-0005-0000-0000-0000E41B0000}"/>
    <cellStyle name="Normal 2 53 5 4 2" xfId="23135" xr:uid="{00000000-0005-0000-0000-0000E51B0000}"/>
    <cellStyle name="Normal 2 53 5 5" xfId="5365" xr:uid="{00000000-0005-0000-0000-0000E61B0000}"/>
    <cellStyle name="Normal 2 53 5 5 2" xfId="23136" xr:uid="{00000000-0005-0000-0000-0000E71B0000}"/>
    <cellStyle name="Normal 2 53 5 6" xfId="5366" xr:uid="{00000000-0005-0000-0000-0000E81B0000}"/>
    <cellStyle name="Normal 2 53 5 6 2" xfId="23137" xr:uid="{00000000-0005-0000-0000-0000E91B0000}"/>
    <cellStyle name="Normal 2 53 5 7" xfId="5367" xr:uid="{00000000-0005-0000-0000-0000EA1B0000}"/>
    <cellStyle name="Normal 2 53 5 7 2" xfId="23138" xr:uid="{00000000-0005-0000-0000-0000EB1B0000}"/>
    <cellStyle name="Normal 2 53 5 8" xfId="5368" xr:uid="{00000000-0005-0000-0000-0000EC1B0000}"/>
    <cellStyle name="Normal 2 53 5 8 2" xfId="23139" xr:uid="{00000000-0005-0000-0000-0000ED1B0000}"/>
    <cellStyle name="Normal 2 53 5 9" xfId="5369" xr:uid="{00000000-0005-0000-0000-0000EE1B0000}"/>
    <cellStyle name="Normal 2 53 5 9 2" xfId="23140" xr:uid="{00000000-0005-0000-0000-0000EF1B0000}"/>
    <cellStyle name="Normal 2 53 6" xfId="5370" xr:uid="{00000000-0005-0000-0000-0000F01B0000}"/>
    <cellStyle name="Normal 2 53 6 10" xfId="5371" xr:uid="{00000000-0005-0000-0000-0000F11B0000}"/>
    <cellStyle name="Normal 2 53 6 10 2" xfId="23142" xr:uid="{00000000-0005-0000-0000-0000F21B0000}"/>
    <cellStyle name="Normal 2 53 6 11" xfId="5372" xr:uid="{00000000-0005-0000-0000-0000F31B0000}"/>
    <cellStyle name="Normal 2 53 6 11 2" xfId="23143" xr:uid="{00000000-0005-0000-0000-0000F41B0000}"/>
    <cellStyle name="Normal 2 53 6 12" xfId="5373" xr:uid="{00000000-0005-0000-0000-0000F51B0000}"/>
    <cellStyle name="Normal 2 53 6 12 2" xfId="23144" xr:uid="{00000000-0005-0000-0000-0000F61B0000}"/>
    <cellStyle name="Normal 2 53 6 13" xfId="5374" xr:uid="{00000000-0005-0000-0000-0000F71B0000}"/>
    <cellStyle name="Normal 2 53 6 13 2" xfId="23145" xr:uid="{00000000-0005-0000-0000-0000F81B0000}"/>
    <cellStyle name="Normal 2 53 6 14" xfId="5375" xr:uid="{00000000-0005-0000-0000-0000F91B0000}"/>
    <cellStyle name="Normal 2 53 6 14 2" xfId="23146" xr:uid="{00000000-0005-0000-0000-0000FA1B0000}"/>
    <cellStyle name="Normal 2 53 6 15" xfId="23141" xr:uid="{00000000-0005-0000-0000-0000FB1B0000}"/>
    <cellStyle name="Normal 2 53 6 2" xfId="5376" xr:uid="{00000000-0005-0000-0000-0000FC1B0000}"/>
    <cellStyle name="Normal 2 53 6 2 2" xfId="23147" xr:uid="{00000000-0005-0000-0000-0000FD1B0000}"/>
    <cellStyle name="Normal 2 53 6 3" xfId="5377" xr:uid="{00000000-0005-0000-0000-0000FE1B0000}"/>
    <cellStyle name="Normal 2 53 6 3 2" xfId="23148" xr:uid="{00000000-0005-0000-0000-0000FF1B0000}"/>
    <cellStyle name="Normal 2 53 6 4" xfId="5378" xr:uid="{00000000-0005-0000-0000-0000001C0000}"/>
    <cellStyle name="Normal 2 53 6 4 2" xfId="23149" xr:uid="{00000000-0005-0000-0000-0000011C0000}"/>
    <cellStyle name="Normal 2 53 6 5" xfId="5379" xr:uid="{00000000-0005-0000-0000-0000021C0000}"/>
    <cellStyle name="Normal 2 53 6 5 2" xfId="23150" xr:uid="{00000000-0005-0000-0000-0000031C0000}"/>
    <cellStyle name="Normal 2 53 6 6" xfId="5380" xr:uid="{00000000-0005-0000-0000-0000041C0000}"/>
    <cellStyle name="Normal 2 53 6 6 2" xfId="23151" xr:uid="{00000000-0005-0000-0000-0000051C0000}"/>
    <cellStyle name="Normal 2 53 6 7" xfId="5381" xr:uid="{00000000-0005-0000-0000-0000061C0000}"/>
    <cellStyle name="Normal 2 53 6 7 2" xfId="23152" xr:uid="{00000000-0005-0000-0000-0000071C0000}"/>
    <cellStyle name="Normal 2 53 6 8" xfId="5382" xr:uid="{00000000-0005-0000-0000-0000081C0000}"/>
    <cellStyle name="Normal 2 53 6 8 2" xfId="23153" xr:uid="{00000000-0005-0000-0000-0000091C0000}"/>
    <cellStyle name="Normal 2 53 6 9" xfId="5383" xr:uid="{00000000-0005-0000-0000-00000A1C0000}"/>
    <cellStyle name="Normal 2 53 6 9 2" xfId="23154" xr:uid="{00000000-0005-0000-0000-00000B1C0000}"/>
    <cellStyle name="Normal 2 53 7" xfId="5384" xr:uid="{00000000-0005-0000-0000-00000C1C0000}"/>
    <cellStyle name="Normal 2 53 7 10" xfId="5385" xr:uid="{00000000-0005-0000-0000-00000D1C0000}"/>
    <cellStyle name="Normal 2 53 7 10 2" xfId="23156" xr:uid="{00000000-0005-0000-0000-00000E1C0000}"/>
    <cellStyle name="Normal 2 53 7 11" xfId="5386" xr:uid="{00000000-0005-0000-0000-00000F1C0000}"/>
    <cellStyle name="Normal 2 53 7 11 2" xfId="23157" xr:uid="{00000000-0005-0000-0000-0000101C0000}"/>
    <cellStyle name="Normal 2 53 7 12" xfId="5387" xr:uid="{00000000-0005-0000-0000-0000111C0000}"/>
    <cellStyle name="Normal 2 53 7 12 2" xfId="23158" xr:uid="{00000000-0005-0000-0000-0000121C0000}"/>
    <cellStyle name="Normal 2 53 7 13" xfId="5388" xr:uid="{00000000-0005-0000-0000-0000131C0000}"/>
    <cellStyle name="Normal 2 53 7 13 2" xfId="23159" xr:uid="{00000000-0005-0000-0000-0000141C0000}"/>
    <cellStyle name="Normal 2 53 7 14" xfId="5389" xr:uid="{00000000-0005-0000-0000-0000151C0000}"/>
    <cellStyle name="Normal 2 53 7 14 2" xfId="23160" xr:uid="{00000000-0005-0000-0000-0000161C0000}"/>
    <cellStyle name="Normal 2 53 7 15" xfId="23155" xr:uid="{00000000-0005-0000-0000-0000171C0000}"/>
    <cellStyle name="Normal 2 53 7 2" xfId="5390" xr:uid="{00000000-0005-0000-0000-0000181C0000}"/>
    <cellStyle name="Normal 2 53 7 2 2" xfId="23161" xr:uid="{00000000-0005-0000-0000-0000191C0000}"/>
    <cellStyle name="Normal 2 53 7 3" xfId="5391" xr:uid="{00000000-0005-0000-0000-00001A1C0000}"/>
    <cellStyle name="Normal 2 53 7 3 2" xfId="23162" xr:uid="{00000000-0005-0000-0000-00001B1C0000}"/>
    <cellStyle name="Normal 2 53 7 4" xfId="5392" xr:uid="{00000000-0005-0000-0000-00001C1C0000}"/>
    <cellStyle name="Normal 2 53 7 4 2" xfId="23163" xr:uid="{00000000-0005-0000-0000-00001D1C0000}"/>
    <cellStyle name="Normal 2 53 7 5" xfId="5393" xr:uid="{00000000-0005-0000-0000-00001E1C0000}"/>
    <cellStyle name="Normal 2 53 7 5 2" xfId="23164" xr:uid="{00000000-0005-0000-0000-00001F1C0000}"/>
    <cellStyle name="Normal 2 53 7 6" xfId="5394" xr:uid="{00000000-0005-0000-0000-0000201C0000}"/>
    <cellStyle name="Normal 2 53 7 6 2" xfId="23165" xr:uid="{00000000-0005-0000-0000-0000211C0000}"/>
    <cellStyle name="Normal 2 53 7 7" xfId="5395" xr:uid="{00000000-0005-0000-0000-0000221C0000}"/>
    <cellStyle name="Normal 2 53 7 7 2" xfId="23166" xr:uid="{00000000-0005-0000-0000-0000231C0000}"/>
    <cellStyle name="Normal 2 53 7 8" xfId="5396" xr:uid="{00000000-0005-0000-0000-0000241C0000}"/>
    <cellStyle name="Normal 2 53 7 8 2" xfId="23167" xr:uid="{00000000-0005-0000-0000-0000251C0000}"/>
    <cellStyle name="Normal 2 53 7 9" xfId="5397" xr:uid="{00000000-0005-0000-0000-0000261C0000}"/>
    <cellStyle name="Normal 2 53 7 9 2" xfId="23168" xr:uid="{00000000-0005-0000-0000-0000271C0000}"/>
    <cellStyle name="Normal 2 53 8" xfId="5398" xr:uid="{00000000-0005-0000-0000-0000281C0000}"/>
    <cellStyle name="Normal 2 53 8 10" xfId="5399" xr:uid="{00000000-0005-0000-0000-0000291C0000}"/>
    <cellStyle name="Normal 2 53 8 10 2" xfId="23170" xr:uid="{00000000-0005-0000-0000-00002A1C0000}"/>
    <cellStyle name="Normal 2 53 8 11" xfId="5400" xr:uid="{00000000-0005-0000-0000-00002B1C0000}"/>
    <cellStyle name="Normal 2 53 8 11 2" xfId="23171" xr:uid="{00000000-0005-0000-0000-00002C1C0000}"/>
    <cellStyle name="Normal 2 53 8 12" xfId="5401" xr:uid="{00000000-0005-0000-0000-00002D1C0000}"/>
    <cellStyle name="Normal 2 53 8 12 2" xfId="23172" xr:uid="{00000000-0005-0000-0000-00002E1C0000}"/>
    <cellStyle name="Normal 2 53 8 13" xfId="5402" xr:uid="{00000000-0005-0000-0000-00002F1C0000}"/>
    <cellStyle name="Normal 2 53 8 13 2" xfId="23173" xr:uid="{00000000-0005-0000-0000-0000301C0000}"/>
    <cellStyle name="Normal 2 53 8 14" xfId="5403" xr:uid="{00000000-0005-0000-0000-0000311C0000}"/>
    <cellStyle name="Normal 2 53 8 14 2" xfId="23174" xr:uid="{00000000-0005-0000-0000-0000321C0000}"/>
    <cellStyle name="Normal 2 53 8 15" xfId="23169" xr:uid="{00000000-0005-0000-0000-0000331C0000}"/>
    <cellStyle name="Normal 2 53 8 2" xfId="5404" xr:uid="{00000000-0005-0000-0000-0000341C0000}"/>
    <cellStyle name="Normal 2 53 8 2 2" xfId="23175" xr:uid="{00000000-0005-0000-0000-0000351C0000}"/>
    <cellStyle name="Normal 2 53 8 3" xfId="5405" xr:uid="{00000000-0005-0000-0000-0000361C0000}"/>
    <cellStyle name="Normal 2 53 8 3 2" xfId="23176" xr:uid="{00000000-0005-0000-0000-0000371C0000}"/>
    <cellStyle name="Normal 2 53 8 4" xfId="5406" xr:uid="{00000000-0005-0000-0000-0000381C0000}"/>
    <cellStyle name="Normal 2 53 8 4 2" xfId="23177" xr:uid="{00000000-0005-0000-0000-0000391C0000}"/>
    <cellStyle name="Normal 2 53 8 5" xfId="5407" xr:uid="{00000000-0005-0000-0000-00003A1C0000}"/>
    <cellStyle name="Normal 2 53 8 5 2" xfId="23178" xr:uid="{00000000-0005-0000-0000-00003B1C0000}"/>
    <cellStyle name="Normal 2 53 8 6" xfId="5408" xr:uid="{00000000-0005-0000-0000-00003C1C0000}"/>
    <cellStyle name="Normal 2 53 8 6 2" xfId="23179" xr:uid="{00000000-0005-0000-0000-00003D1C0000}"/>
    <cellStyle name="Normal 2 53 8 7" xfId="5409" xr:uid="{00000000-0005-0000-0000-00003E1C0000}"/>
    <cellStyle name="Normal 2 53 8 7 2" xfId="23180" xr:uid="{00000000-0005-0000-0000-00003F1C0000}"/>
    <cellStyle name="Normal 2 53 8 8" xfId="5410" xr:uid="{00000000-0005-0000-0000-0000401C0000}"/>
    <cellStyle name="Normal 2 53 8 8 2" xfId="23181" xr:uid="{00000000-0005-0000-0000-0000411C0000}"/>
    <cellStyle name="Normal 2 53 8 9" xfId="5411" xr:uid="{00000000-0005-0000-0000-0000421C0000}"/>
    <cellStyle name="Normal 2 53 8 9 2" xfId="23182" xr:uid="{00000000-0005-0000-0000-0000431C0000}"/>
    <cellStyle name="Normal 2 53 9" xfId="5412" xr:uid="{00000000-0005-0000-0000-0000441C0000}"/>
    <cellStyle name="Normal 2 53 9 10" xfId="5413" xr:uid="{00000000-0005-0000-0000-0000451C0000}"/>
    <cellStyle name="Normal 2 53 9 10 2" xfId="23184" xr:uid="{00000000-0005-0000-0000-0000461C0000}"/>
    <cellStyle name="Normal 2 53 9 11" xfId="5414" xr:uid="{00000000-0005-0000-0000-0000471C0000}"/>
    <cellStyle name="Normal 2 53 9 11 2" xfId="23185" xr:uid="{00000000-0005-0000-0000-0000481C0000}"/>
    <cellStyle name="Normal 2 53 9 12" xfId="5415" xr:uid="{00000000-0005-0000-0000-0000491C0000}"/>
    <cellStyle name="Normal 2 53 9 12 2" xfId="23186" xr:uid="{00000000-0005-0000-0000-00004A1C0000}"/>
    <cellStyle name="Normal 2 53 9 13" xfId="5416" xr:uid="{00000000-0005-0000-0000-00004B1C0000}"/>
    <cellStyle name="Normal 2 53 9 13 2" xfId="23187" xr:uid="{00000000-0005-0000-0000-00004C1C0000}"/>
    <cellStyle name="Normal 2 53 9 14" xfId="5417" xr:uid="{00000000-0005-0000-0000-00004D1C0000}"/>
    <cellStyle name="Normal 2 53 9 14 2" xfId="23188" xr:uid="{00000000-0005-0000-0000-00004E1C0000}"/>
    <cellStyle name="Normal 2 53 9 15" xfId="23183" xr:uid="{00000000-0005-0000-0000-00004F1C0000}"/>
    <cellStyle name="Normal 2 53 9 2" xfId="5418" xr:uid="{00000000-0005-0000-0000-0000501C0000}"/>
    <cellStyle name="Normal 2 53 9 2 2" xfId="23189" xr:uid="{00000000-0005-0000-0000-0000511C0000}"/>
    <cellStyle name="Normal 2 53 9 3" xfId="5419" xr:uid="{00000000-0005-0000-0000-0000521C0000}"/>
    <cellStyle name="Normal 2 53 9 3 2" xfId="23190" xr:uid="{00000000-0005-0000-0000-0000531C0000}"/>
    <cellStyle name="Normal 2 53 9 4" xfId="5420" xr:uid="{00000000-0005-0000-0000-0000541C0000}"/>
    <cellStyle name="Normal 2 53 9 4 2" xfId="23191" xr:uid="{00000000-0005-0000-0000-0000551C0000}"/>
    <cellStyle name="Normal 2 53 9 5" xfId="5421" xr:uid="{00000000-0005-0000-0000-0000561C0000}"/>
    <cellStyle name="Normal 2 53 9 5 2" xfId="23192" xr:uid="{00000000-0005-0000-0000-0000571C0000}"/>
    <cellStyle name="Normal 2 53 9 6" xfId="5422" xr:uid="{00000000-0005-0000-0000-0000581C0000}"/>
    <cellStyle name="Normal 2 53 9 6 2" xfId="23193" xr:uid="{00000000-0005-0000-0000-0000591C0000}"/>
    <cellStyle name="Normal 2 53 9 7" xfId="5423" xr:uid="{00000000-0005-0000-0000-00005A1C0000}"/>
    <cellStyle name="Normal 2 53 9 7 2" xfId="23194" xr:uid="{00000000-0005-0000-0000-00005B1C0000}"/>
    <cellStyle name="Normal 2 53 9 8" xfId="5424" xr:uid="{00000000-0005-0000-0000-00005C1C0000}"/>
    <cellStyle name="Normal 2 53 9 8 2" xfId="23195" xr:uid="{00000000-0005-0000-0000-00005D1C0000}"/>
    <cellStyle name="Normal 2 53 9 9" xfId="5425" xr:uid="{00000000-0005-0000-0000-00005E1C0000}"/>
    <cellStyle name="Normal 2 53 9 9 2" xfId="23196" xr:uid="{00000000-0005-0000-0000-00005F1C0000}"/>
    <cellStyle name="Normal 2 54" xfId="5426" xr:uid="{00000000-0005-0000-0000-0000601C0000}"/>
    <cellStyle name="Normal 2 54 10" xfId="5427" xr:uid="{00000000-0005-0000-0000-0000611C0000}"/>
    <cellStyle name="Normal 2 54 10 10" xfId="5428" xr:uid="{00000000-0005-0000-0000-0000621C0000}"/>
    <cellStyle name="Normal 2 54 10 10 2" xfId="23199" xr:uid="{00000000-0005-0000-0000-0000631C0000}"/>
    <cellStyle name="Normal 2 54 10 11" xfId="5429" xr:uid="{00000000-0005-0000-0000-0000641C0000}"/>
    <cellStyle name="Normal 2 54 10 11 2" xfId="23200" xr:uid="{00000000-0005-0000-0000-0000651C0000}"/>
    <cellStyle name="Normal 2 54 10 12" xfId="5430" xr:uid="{00000000-0005-0000-0000-0000661C0000}"/>
    <cellStyle name="Normal 2 54 10 12 2" xfId="23201" xr:uid="{00000000-0005-0000-0000-0000671C0000}"/>
    <cellStyle name="Normal 2 54 10 13" xfId="5431" xr:uid="{00000000-0005-0000-0000-0000681C0000}"/>
    <cellStyle name="Normal 2 54 10 13 2" xfId="23202" xr:uid="{00000000-0005-0000-0000-0000691C0000}"/>
    <cellStyle name="Normal 2 54 10 14" xfId="5432" xr:uid="{00000000-0005-0000-0000-00006A1C0000}"/>
    <cellStyle name="Normal 2 54 10 14 2" xfId="23203" xr:uid="{00000000-0005-0000-0000-00006B1C0000}"/>
    <cellStyle name="Normal 2 54 10 15" xfId="23198" xr:uid="{00000000-0005-0000-0000-00006C1C0000}"/>
    <cellStyle name="Normal 2 54 10 2" xfId="5433" xr:uid="{00000000-0005-0000-0000-00006D1C0000}"/>
    <cellStyle name="Normal 2 54 10 2 2" xfId="23204" xr:uid="{00000000-0005-0000-0000-00006E1C0000}"/>
    <cellStyle name="Normal 2 54 10 3" xfId="5434" xr:uid="{00000000-0005-0000-0000-00006F1C0000}"/>
    <cellStyle name="Normal 2 54 10 3 2" xfId="23205" xr:uid="{00000000-0005-0000-0000-0000701C0000}"/>
    <cellStyle name="Normal 2 54 10 4" xfId="5435" xr:uid="{00000000-0005-0000-0000-0000711C0000}"/>
    <cellStyle name="Normal 2 54 10 4 2" xfId="23206" xr:uid="{00000000-0005-0000-0000-0000721C0000}"/>
    <cellStyle name="Normal 2 54 10 5" xfId="5436" xr:uid="{00000000-0005-0000-0000-0000731C0000}"/>
    <cellStyle name="Normal 2 54 10 5 2" xfId="23207" xr:uid="{00000000-0005-0000-0000-0000741C0000}"/>
    <cellStyle name="Normal 2 54 10 6" xfId="5437" xr:uid="{00000000-0005-0000-0000-0000751C0000}"/>
    <cellStyle name="Normal 2 54 10 6 2" xfId="23208" xr:uid="{00000000-0005-0000-0000-0000761C0000}"/>
    <cellStyle name="Normal 2 54 10 7" xfId="5438" xr:uid="{00000000-0005-0000-0000-0000771C0000}"/>
    <cellStyle name="Normal 2 54 10 7 2" xfId="23209" xr:uid="{00000000-0005-0000-0000-0000781C0000}"/>
    <cellStyle name="Normal 2 54 10 8" xfId="5439" xr:uid="{00000000-0005-0000-0000-0000791C0000}"/>
    <cellStyle name="Normal 2 54 10 8 2" xfId="23210" xr:uid="{00000000-0005-0000-0000-00007A1C0000}"/>
    <cellStyle name="Normal 2 54 10 9" xfId="5440" xr:uid="{00000000-0005-0000-0000-00007B1C0000}"/>
    <cellStyle name="Normal 2 54 10 9 2" xfId="23211" xr:uid="{00000000-0005-0000-0000-00007C1C0000}"/>
    <cellStyle name="Normal 2 54 11" xfId="5441" xr:uid="{00000000-0005-0000-0000-00007D1C0000}"/>
    <cellStyle name="Normal 2 54 11 2" xfId="23212" xr:uid="{00000000-0005-0000-0000-00007E1C0000}"/>
    <cellStyle name="Normal 2 54 12" xfId="5442" xr:uid="{00000000-0005-0000-0000-00007F1C0000}"/>
    <cellStyle name="Normal 2 54 12 2" xfId="23213" xr:uid="{00000000-0005-0000-0000-0000801C0000}"/>
    <cellStyle name="Normal 2 54 13" xfId="5443" xr:uid="{00000000-0005-0000-0000-0000811C0000}"/>
    <cellStyle name="Normal 2 54 13 2" xfId="23214" xr:uid="{00000000-0005-0000-0000-0000821C0000}"/>
    <cellStyle name="Normal 2 54 14" xfId="5444" xr:uid="{00000000-0005-0000-0000-0000831C0000}"/>
    <cellStyle name="Normal 2 54 14 2" xfId="23215" xr:uid="{00000000-0005-0000-0000-0000841C0000}"/>
    <cellStyle name="Normal 2 54 15" xfId="5445" xr:uid="{00000000-0005-0000-0000-0000851C0000}"/>
    <cellStyle name="Normal 2 54 15 2" xfId="23216" xr:uid="{00000000-0005-0000-0000-0000861C0000}"/>
    <cellStyle name="Normal 2 54 16" xfId="5446" xr:uid="{00000000-0005-0000-0000-0000871C0000}"/>
    <cellStyle name="Normal 2 54 16 2" xfId="23217" xr:uid="{00000000-0005-0000-0000-0000881C0000}"/>
    <cellStyle name="Normal 2 54 17" xfId="5447" xr:uid="{00000000-0005-0000-0000-0000891C0000}"/>
    <cellStyle name="Normal 2 54 17 2" xfId="23218" xr:uid="{00000000-0005-0000-0000-00008A1C0000}"/>
    <cellStyle name="Normal 2 54 18" xfId="5448" xr:uid="{00000000-0005-0000-0000-00008B1C0000}"/>
    <cellStyle name="Normal 2 54 18 2" xfId="23219" xr:uid="{00000000-0005-0000-0000-00008C1C0000}"/>
    <cellStyle name="Normal 2 54 19" xfId="5449" xr:uid="{00000000-0005-0000-0000-00008D1C0000}"/>
    <cellStyle name="Normal 2 54 19 2" xfId="23220" xr:uid="{00000000-0005-0000-0000-00008E1C0000}"/>
    <cellStyle name="Normal 2 54 2" xfId="5450" xr:uid="{00000000-0005-0000-0000-00008F1C0000}"/>
    <cellStyle name="Normal 2 54 2 10" xfId="5451" xr:uid="{00000000-0005-0000-0000-0000901C0000}"/>
    <cellStyle name="Normal 2 54 2 10 2" xfId="23222" xr:uid="{00000000-0005-0000-0000-0000911C0000}"/>
    <cellStyle name="Normal 2 54 2 11" xfId="5452" xr:uid="{00000000-0005-0000-0000-0000921C0000}"/>
    <cellStyle name="Normal 2 54 2 11 2" xfId="23223" xr:uid="{00000000-0005-0000-0000-0000931C0000}"/>
    <cellStyle name="Normal 2 54 2 12" xfId="5453" xr:uid="{00000000-0005-0000-0000-0000941C0000}"/>
    <cellStyle name="Normal 2 54 2 12 2" xfId="23224" xr:uid="{00000000-0005-0000-0000-0000951C0000}"/>
    <cellStyle name="Normal 2 54 2 13" xfId="5454" xr:uid="{00000000-0005-0000-0000-0000961C0000}"/>
    <cellStyle name="Normal 2 54 2 13 2" xfId="23225" xr:uid="{00000000-0005-0000-0000-0000971C0000}"/>
    <cellStyle name="Normal 2 54 2 14" xfId="5455" xr:uid="{00000000-0005-0000-0000-0000981C0000}"/>
    <cellStyle name="Normal 2 54 2 14 2" xfId="23226" xr:uid="{00000000-0005-0000-0000-0000991C0000}"/>
    <cellStyle name="Normal 2 54 2 15" xfId="5456" xr:uid="{00000000-0005-0000-0000-00009A1C0000}"/>
    <cellStyle name="Normal 2 54 2 15 2" xfId="23227" xr:uid="{00000000-0005-0000-0000-00009B1C0000}"/>
    <cellStyle name="Normal 2 54 2 16" xfId="23221" xr:uid="{00000000-0005-0000-0000-00009C1C0000}"/>
    <cellStyle name="Normal 2 54 2 2" xfId="5457" xr:uid="{00000000-0005-0000-0000-00009D1C0000}"/>
    <cellStyle name="Normal 2 54 2 2 10" xfId="5458" xr:uid="{00000000-0005-0000-0000-00009E1C0000}"/>
    <cellStyle name="Normal 2 54 2 2 10 2" xfId="23229" xr:uid="{00000000-0005-0000-0000-00009F1C0000}"/>
    <cellStyle name="Normal 2 54 2 2 11" xfId="5459" xr:uid="{00000000-0005-0000-0000-0000A01C0000}"/>
    <cellStyle name="Normal 2 54 2 2 11 2" xfId="23230" xr:uid="{00000000-0005-0000-0000-0000A11C0000}"/>
    <cellStyle name="Normal 2 54 2 2 12" xfId="5460" xr:uid="{00000000-0005-0000-0000-0000A21C0000}"/>
    <cellStyle name="Normal 2 54 2 2 12 2" xfId="23231" xr:uid="{00000000-0005-0000-0000-0000A31C0000}"/>
    <cellStyle name="Normal 2 54 2 2 13" xfId="5461" xr:uid="{00000000-0005-0000-0000-0000A41C0000}"/>
    <cellStyle name="Normal 2 54 2 2 13 2" xfId="23232" xr:uid="{00000000-0005-0000-0000-0000A51C0000}"/>
    <cellStyle name="Normal 2 54 2 2 14" xfId="5462" xr:uid="{00000000-0005-0000-0000-0000A61C0000}"/>
    <cellStyle name="Normal 2 54 2 2 14 2" xfId="23233" xr:uid="{00000000-0005-0000-0000-0000A71C0000}"/>
    <cellStyle name="Normal 2 54 2 2 15" xfId="23228" xr:uid="{00000000-0005-0000-0000-0000A81C0000}"/>
    <cellStyle name="Normal 2 54 2 2 2" xfId="5463" xr:uid="{00000000-0005-0000-0000-0000A91C0000}"/>
    <cellStyle name="Normal 2 54 2 2 2 2" xfId="23234" xr:uid="{00000000-0005-0000-0000-0000AA1C0000}"/>
    <cellStyle name="Normal 2 54 2 2 3" xfId="5464" xr:uid="{00000000-0005-0000-0000-0000AB1C0000}"/>
    <cellStyle name="Normal 2 54 2 2 3 2" xfId="23235" xr:uid="{00000000-0005-0000-0000-0000AC1C0000}"/>
    <cellStyle name="Normal 2 54 2 2 4" xfId="5465" xr:uid="{00000000-0005-0000-0000-0000AD1C0000}"/>
    <cellStyle name="Normal 2 54 2 2 4 2" xfId="23236" xr:uid="{00000000-0005-0000-0000-0000AE1C0000}"/>
    <cellStyle name="Normal 2 54 2 2 5" xfId="5466" xr:uid="{00000000-0005-0000-0000-0000AF1C0000}"/>
    <cellStyle name="Normal 2 54 2 2 5 2" xfId="23237" xr:uid="{00000000-0005-0000-0000-0000B01C0000}"/>
    <cellStyle name="Normal 2 54 2 2 6" xfId="5467" xr:uid="{00000000-0005-0000-0000-0000B11C0000}"/>
    <cellStyle name="Normal 2 54 2 2 6 2" xfId="23238" xr:uid="{00000000-0005-0000-0000-0000B21C0000}"/>
    <cellStyle name="Normal 2 54 2 2 7" xfId="5468" xr:uid="{00000000-0005-0000-0000-0000B31C0000}"/>
    <cellStyle name="Normal 2 54 2 2 7 2" xfId="23239" xr:uid="{00000000-0005-0000-0000-0000B41C0000}"/>
    <cellStyle name="Normal 2 54 2 2 8" xfId="5469" xr:uid="{00000000-0005-0000-0000-0000B51C0000}"/>
    <cellStyle name="Normal 2 54 2 2 8 2" xfId="23240" xr:uid="{00000000-0005-0000-0000-0000B61C0000}"/>
    <cellStyle name="Normal 2 54 2 2 9" xfId="5470" xr:uid="{00000000-0005-0000-0000-0000B71C0000}"/>
    <cellStyle name="Normal 2 54 2 2 9 2" xfId="23241" xr:uid="{00000000-0005-0000-0000-0000B81C0000}"/>
    <cellStyle name="Normal 2 54 2 3" xfId="5471" xr:uid="{00000000-0005-0000-0000-0000B91C0000}"/>
    <cellStyle name="Normal 2 54 2 3 2" xfId="23242" xr:uid="{00000000-0005-0000-0000-0000BA1C0000}"/>
    <cellStyle name="Normal 2 54 2 4" xfId="5472" xr:uid="{00000000-0005-0000-0000-0000BB1C0000}"/>
    <cellStyle name="Normal 2 54 2 4 2" xfId="23243" xr:uid="{00000000-0005-0000-0000-0000BC1C0000}"/>
    <cellStyle name="Normal 2 54 2 5" xfId="5473" xr:uid="{00000000-0005-0000-0000-0000BD1C0000}"/>
    <cellStyle name="Normal 2 54 2 5 2" xfId="23244" xr:uid="{00000000-0005-0000-0000-0000BE1C0000}"/>
    <cellStyle name="Normal 2 54 2 6" xfId="5474" xr:uid="{00000000-0005-0000-0000-0000BF1C0000}"/>
    <cellStyle name="Normal 2 54 2 6 2" xfId="23245" xr:uid="{00000000-0005-0000-0000-0000C01C0000}"/>
    <cellStyle name="Normal 2 54 2 7" xfId="5475" xr:uid="{00000000-0005-0000-0000-0000C11C0000}"/>
    <cellStyle name="Normal 2 54 2 7 2" xfId="23246" xr:uid="{00000000-0005-0000-0000-0000C21C0000}"/>
    <cellStyle name="Normal 2 54 2 8" xfId="5476" xr:uid="{00000000-0005-0000-0000-0000C31C0000}"/>
    <cellStyle name="Normal 2 54 2 8 2" xfId="23247" xr:uid="{00000000-0005-0000-0000-0000C41C0000}"/>
    <cellStyle name="Normal 2 54 2 9" xfId="5477" xr:uid="{00000000-0005-0000-0000-0000C51C0000}"/>
    <cellStyle name="Normal 2 54 2 9 2" xfId="23248" xr:uid="{00000000-0005-0000-0000-0000C61C0000}"/>
    <cellStyle name="Normal 2 54 20" xfId="5478" xr:uid="{00000000-0005-0000-0000-0000C71C0000}"/>
    <cellStyle name="Normal 2 54 20 2" xfId="23249" xr:uid="{00000000-0005-0000-0000-0000C81C0000}"/>
    <cellStyle name="Normal 2 54 21" xfId="5479" xr:uid="{00000000-0005-0000-0000-0000C91C0000}"/>
    <cellStyle name="Normal 2 54 21 2" xfId="23250" xr:uid="{00000000-0005-0000-0000-0000CA1C0000}"/>
    <cellStyle name="Normal 2 54 22" xfId="5480" xr:uid="{00000000-0005-0000-0000-0000CB1C0000}"/>
    <cellStyle name="Normal 2 54 22 2" xfId="23251" xr:uid="{00000000-0005-0000-0000-0000CC1C0000}"/>
    <cellStyle name="Normal 2 54 23" xfId="5481" xr:uid="{00000000-0005-0000-0000-0000CD1C0000}"/>
    <cellStyle name="Normal 2 54 23 2" xfId="23252" xr:uid="{00000000-0005-0000-0000-0000CE1C0000}"/>
    <cellStyle name="Normal 2 54 24" xfId="23197" xr:uid="{00000000-0005-0000-0000-0000CF1C0000}"/>
    <cellStyle name="Normal 2 54 3" xfId="5482" xr:uid="{00000000-0005-0000-0000-0000D01C0000}"/>
    <cellStyle name="Normal 2 54 3 10" xfId="5483" xr:uid="{00000000-0005-0000-0000-0000D11C0000}"/>
    <cellStyle name="Normal 2 54 3 10 2" xfId="23254" xr:uid="{00000000-0005-0000-0000-0000D21C0000}"/>
    <cellStyle name="Normal 2 54 3 11" xfId="5484" xr:uid="{00000000-0005-0000-0000-0000D31C0000}"/>
    <cellStyle name="Normal 2 54 3 11 2" xfId="23255" xr:uid="{00000000-0005-0000-0000-0000D41C0000}"/>
    <cellStyle name="Normal 2 54 3 12" xfId="5485" xr:uid="{00000000-0005-0000-0000-0000D51C0000}"/>
    <cellStyle name="Normal 2 54 3 12 2" xfId="23256" xr:uid="{00000000-0005-0000-0000-0000D61C0000}"/>
    <cellStyle name="Normal 2 54 3 13" xfId="5486" xr:uid="{00000000-0005-0000-0000-0000D71C0000}"/>
    <cellStyle name="Normal 2 54 3 13 2" xfId="23257" xr:uid="{00000000-0005-0000-0000-0000D81C0000}"/>
    <cellStyle name="Normal 2 54 3 14" xfId="5487" xr:uid="{00000000-0005-0000-0000-0000D91C0000}"/>
    <cellStyle name="Normal 2 54 3 14 2" xfId="23258" xr:uid="{00000000-0005-0000-0000-0000DA1C0000}"/>
    <cellStyle name="Normal 2 54 3 15" xfId="5488" xr:uid="{00000000-0005-0000-0000-0000DB1C0000}"/>
    <cellStyle name="Normal 2 54 3 15 2" xfId="23259" xr:uid="{00000000-0005-0000-0000-0000DC1C0000}"/>
    <cellStyle name="Normal 2 54 3 16" xfId="23253" xr:uid="{00000000-0005-0000-0000-0000DD1C0000}"/>
    <cellStyle name="Normal 2 54 3 2" xfId="5489" xr:uid="{00000000-0005-0000-0000-0000DE1C0000}"/>
    <cellStyle name="Normal 2 54 3 2 10" xfId="5490" xr:uid="{00000000-0005-0000-0000-0000DF1C0000}"/>
    <cellStyle name="Normal 2 54 3 2 10 2" xfId="23261" xr:uid="{00000000-0005-0000-0000-0000E01C0000}"/>
    <cellStyle name="Normal 2 54 3 2 11" xfId="5491" xr:uid="{00000000-0005-0000-0000-0000E11C0000}"/>
    <cellStyle name="Normal 2 54 3 2 11 2" xfId="23262" xr:uid="{00000000-0005-0000-0000-0000E21C0000}"/>
    <cellStyle name="Normal 2 54 3 2 12" xfId="5492" xr:uid="{00000000-0005-0000-0000-0000E31C0000}"/>
    <cellStyle name="Normal 2 54 3 2 12 2" xfId="23263" xr:uid="{00000000-0005-0000-0000-0000E41C0000}"/>
    <cellStyle name="Normal 2 54 3 2 13" xfId="5493" xr:uid="{00000000-0005-0000-0000-0000E51C0000}"/>
    <cellStyle name="Normal 2 54 3 2 13 2" xfId="23264" xr:uid="{00000000-0005-0000-0000-0000E61C0000}"/>
    <cellStyle name="Normal 2 54 3 2 14" xfId="5494" xr:uid="{00000000-0005-0000-0000-0000E71C0000}"/>
    <cellStyle name="Normal 2 54 3 2 14 2" xfId="23265" xr:uid="{00000000-0005-0000-0000-0000E81C0000}"/>
    <cellStyle name="Normal 2 54 3 2 15" xfId="23260" xr:uid="{00000000-0005-0000-0000-0000E91C0000}"/>
    <cellStyle name="Normal 2 54 3 2 2" xfId="5495" xr:uid="{00000000-0005-0000-0000-0000EA1C0000}"/>
    <cellStyle name="Normal 2 54 3 2 2 2" xfId="23266" xr:uid="{00000000-0005-0000-0000-0000EB1C0000}"/>
    <cellStyle name="Normal 2 54 3 2 3" xfId="5496" xr:uid="{00000000-0005-0000-0000-0000EC1C0000}"/>
    <cellStyle name="Normal 2 54 3 2 3 2" xfId="23267" xr:uid="{00000000-0005-0000-0000-0000ED1C0000}"/>
    <cellStyle name="Normal 2 54 3 2 4" xfId="5497" xr:uid="{00000000-0005-0000-0000-0000EE1C0000}"/>
    <cellStyle name="Normal 2 54 3 2 4 2" xfId="23268" xr:uid="{00000000-0005-0000-0000-0000EF1C0000}"/>
    <cellStyle name="Normal 2 54 3 2 5" xfId="5498" xr:uid="{00000000-0005-0000-0000-0000F01C0000}"/>
    <cellStyle name="Normal 2 54 3 2 5 2" xfId="23269" xr:uid="{00000000-0005-0000-0000-0000F11C0000}"/>
    <cellStyle name="Normal 2 54 3 2 6" xfId="5499" xr:uid="{00000000-0005-0000-0000-0000F21C0000}"/>
    <cellStyle name="Normal 2 54 3 2 6 2" xfId="23270" xr:uid="{00000000-0005-0000-0000-0000F31C0000}"/>
    <cellStyle name="Normal 2 54 3 2 7" xfId="5500" xr:uid="{00000000-0005-0000-0000-0000F41C0000}"/>
    <cellStyle name="Normal 2 54 3 2 7 2" xfId="23271" xr:uid="{00000000-0005-0000-0000-0000F51C0000}"/>
    <cellStyle name="Normal 2 54 3 2 8" xfId="5501" xr:uid="{00000000-0005-0000-0000-0000F61C0000}"/>
    <cellStyle name="Normal 2 54 3 2 8 2" xfId="23272" xr:uid="{00000000-0005-0000-0000-0000F71C0000}"/>
    <cellStyle name="Normal 2 54 3 2 9" xfId="5502" xr:uid="{00000000-0005-0000-0000-0000F81C0000}"/>
    <cellStyle name="Normal 2 54 3 2 9 2" xfId="23273" xr:uid="{00000000-0005-0000-0000-0000F91C0000}"/>
    <cellStyle name="Normal 2 54 3 3" xfId="5503" xr:uid="{00000000-0005-0000-0000-0000FA1C0000}"/>
    <cellStyle name="Normal 2 54 3 3 2" xfId="23274" xr:uid="{00000000-0005-0000-0000-0000FB1C0000}"/>
    <cellStyle name="Normal 2 54 3 4" xfId="5504" xr:uid="{00000000-0005-0000-0000-0000FC1C0000}"/>
    <cellStyle name="Normal 2 54 3 4 2" xfId="23275" xr:uid="{00000000-0005-0000-0000-0000FD1C0000}"/>
    <cellStyle name="Normal 2 54 3 5" xfId="5505" xr:uid="{00000000-0005-0000-0000-0000FE1C0000}"/>
    <cellStyle name="Normal 2 54 3 5 2" xfId="23276" xr:uid="{00000000-0005-0000-0000-0000FF1C0000}"/>
    <cellStyle name="Normal 2 54 3 6" xfId="5506" xr:uid="{00000000-0005-0000-0000-0000001D0000}"/>
    <cellStyle name="Normal 2 54 3 6 2" xfId="23277" xr:uid="{00000000-0005-0000-0000-0000011D0000}"/>
    <cellStyle name="Normal 2 54 3 7" xfId="5507" xr:uid="{00000000-0005-0000-0000-0000021D0000}"/>
    <cellStyle name="Normal 2 54 3 7 2" xfId="23278" xr:uid="{00000000-0005-0000-0000-0000031D0000}"/>
    <cellStyle name="Normal 2 54 3 8" xfId="5508" xr:uid="{00000000-0005-0000-0000-0000041D0000}"/>
    <cellStyle name="Normal 2 54 3 8 2" xfId="23279" xr:uid="{00000000-0005-0000-0000-0000051D0000}"/>
    <cellStyle name="Normal 2 54 3 9" xfId="5509" xr:uid="{00000000-0005-0000-0000-0000061D0000}"/>
    <cellStyle name="Normal 2 54 3 9 2" xfId="23280" xr:uid="{00000000-0005-0000-0000-0000071D0000}"/>
    <cellStyle name="Normal 2 54 4" xfId="5510" xr:uid="{00000000-0005-0000-0000-0000081D0000}"/>
    <cellStyle name="Normal 2 54 4 10" xfId="5511" xr:uid="{00000000-0005-0000-0000-0000091D0000}"/>
    <cellStyle name="Normal 2 54 4 10 2" xfId="23282" xr:uid="{00000000-0005-0000-0000-00000A1D0000}"/>
    <cellStyle name="Normal 2 54 4 11" xfId="5512" xr:uid="{00000000-0005-0000-0000-00000B1D0000}"/>
    <cellStyle name="Normal 2 54 4 11 2" xfId="23283" xr:uid="{00000000-0005-0000-0000-00000C1D0000}"/>
    <cellStyle name="Normal 2 54 4 12" xfId="5513" xr:uid="{00000000-0005-0000-0000-00000D1D0000}"/>
    <cellStyle name="Normal 2 54 4 12 2" xfId="23284" xr:uid="{00000000-0005-0000-0000-00000E1D0000}"/>
    <cellStyle name="Normal 2 54 4 13" xfId="5514" xr:uid="{00000000-0005-0000-0000-00000F1D0000}"/>
    <cellStyle name="Normal 2 54 4 13 2" xfId="23285" xr:uid="{00000000-0005-0000-0000-0000101D0000}"/>
    <cellStyle name="Normal 2 54 4 14" xfId="5515" xr:uid="{00000000-0005-0000-0000-0000111D0000}"/>
    <cellStyle name="Normal 2 54 4 14 2" xfId="23286" xr:uid="{00000000-0005-0000-0000-0000121D0000}"/>
    <cellStyle name="Normal 2 54 4 15" xfId="5516" xr:uid="{00000000-0005-0000-0000-0000131D0000}"/>
    <cellStyle name="Normal 2 54 4 15 2" xfId="23287" xr:uid="{00000000-0005-0000-0000-0000141D0000}"/>
    <cellStyle name="Normal 2 54 4 16" xfId="23281" xr:uid="{00000000-0005-0000-0000-0000151D0000}"/>
    <cellStyle name="Normal 2 54 4 2" xfId="5517" xr:uid="{00000000-0005-0000-0000-0000161D0000}"/>
    <cellStyle name="Normal 2 54 4 2 10" xfId="5518" xr:uid="{00000000-0005-0000-0000-0000171D0000}"/>
    <cellStyle name="Normal 2 54 4 2 10 2" xfId="23289" xr:uid="{00000000-0005-0000-0000-0000181D0000}"/>
    <cellStyle name="Normal 2 54 4 2 11" xfId="5519" xr:uid="{00000000-0005-0000-0000-0000191D0000}"/>
    <cellStyle name="Normal 2 54 4 2 11 2" xfId="23290" xr:uid="{00000000-0005-0000-0000-00001A1D0000}"/>
    <cellStyle name="Normal 2 54 4 2 12" xfId="5520" xr:uid="{00000000-0005-0000-0000-00001B1D0000}"/>
    <cellStyle name="Normal 2 54 4 2 12 2" xfId="23291" xr:uid="{00000000-0005-0000-0000-00001C1D0000}"/>
    <cellStyle name="Normal 2 54 4 2 13" xfId="5521" xr:uid="{00000000-0005-0000-0000-00001D1D0000}"/>
    <cellStyle name="Normal 2 54 4 2 13 2" xfId="23292" xr:uid="{00000000-0005-0000-0000-00001E1D0000}"/>
    <cellStyle name="Normal 2 54 4 2 14" xfId="5522" xr:uid="{00000000-0005-0000-0000-00001F1D0000}"/>
    <cellStyle name="Normal 2 54 4 2 14 2" xfId="23293" xr:uid="{00000000-0005-0000-0000-0000201D0000}"/>
    <cellStyle name="Normal 2 54 4 2 15" xfId="23288" xr:uid="{00000000-0005-0000-0000-0000211D0000}"/>
    <cellStyle name="Normal 2 54 4 2 2" xfId="5523" xr:uid="{00000000-0005-0000-0000-0000221D0000}"/>
    <cellStyle name="Normal 2 54 4 2 2 2" xfId="23294" xr:uid="{00000000-0005-0000-0000-0000231D0000}"/>
    <cellStyle name="Normal 2 54 4 2 3" xfId="5524" xr:uid="{00000000-0005-0000-0000-0000241D0000}"/>
    <cellStyle name="Normal 2 54 4 2 3 2" xfId="23295" xr:uid="{00000000-0005-0000-0000-0000251D0000}"/>
    <cellStyle name="Normal 2 54 4 2 4" xfId="5525" xr:uid="{00000000-0005-0000-0000-0000261D0000}"/>
    <cellStyle name="Normal 2 54 4 2 4 2" xfId="23296" xr:uid="{00000000-0005-0000-0000-0000271D0000}"/>
    <cellStyle name="Normal 2 54 4 2 5" xfId="5526" xr:uid="{00000000-0005-0000-0000-0000281D0000}"/>
    <cellStyle name="Normal 2 54 4 2 5 2" xfId="23297" xr:uid="{00000000-0005-0000-0000-0000291D0000}"/>
    <cellStyle name="Normal 2 54 4 2 6" xfId="5527" xr:uid="{00000000-0005-0000-0000-00002A1D0000}"/>
    <cellStyle name="Normal 2 54 4 2 6 2" xfId="23298" xr:uid="{00000000-0005-0000-0000-00002B1D0000}"/>
    <cellStyle name="Normal 2 54 4 2 7" xfId="5528" xr:uid="{00000000-0005-0000-0000-00002C1D0000}"/>
    <cellStyle name="Normal 2 54 4 2 7 2" xfId="23299" xr:uid="{00000000-0005-0000-0000-00002D1D0000}"/>
    <cellStyle name="Normal 2 54 4 2 8" xfId="5529" xr:uid="{00000000-0005-0000-0000-00002E1D0000}"/>
    <cellStyle name="Normal 2 54 4 2 8 2" xfId="23300" xr:uid="{00000000-0005-0000-0000-00002F1D0000}"/>
    <cellStyle name="Normal 2 54 4 2 9" xfId="5530" xr:uid="{00000000-0005-0000-0000-0000301D0000}"/>
    <cellStyle name="Normal 2 54 4 2 9 2" xfId="23301" xr:uid="{00000000-0005-0000-0000-0000311D0000}"/>
    <cellStyle name="Normal 2 54 4 3" xfId="5531" xr:uid="{00000000-0005-0000-0000-0000321D0000}"/>
    <cellStyle name="Normal 2 54 4 3 2" xfId="23302" xr:uid="{00000000-0005-0000-0000-0000331D0000}"/>
    <cellStyle name="Normal 2 54 4 4" xfId="5532" xr:uid="{00000000-0005-0000-0000-0000341D0000}"/>
    <cellStyle name="Normal 2 54 4 4 2" xfId="23303" xr:uid="{00000000-0005-0000-0000-0000351D0000}"/>
    <cellStyle name="Normal 2 54 4 5" xfId="5533" xr:uid="{00000000-0005-0000-0000-0000361D0000}"/>
    <cellStyle name="Normal 2 54 4 5 2" xfId="23304" xr:uid="{00000000-0005-0000-0000-0000371D0000}"/>
    <cellStyle name="Normal 2 54 4 6" xfId="5534" xr:uid="{00000000-0005-0000-0000-0000381D0000}"/>
    <cellStyle name="Normal 2 54 4 6 2" xfId="23305" xr:uid="{00000000-0005-0000-0000-0000391D0000}"/>
    <cellStyle name="Normal 2 54 4 7" xfId="5535" xr:uid="{00000000-0005-0000-0000-00003A1D0000}"/>
    <cellStyle name="Normal 2 54 4 7 2" xfId="23306" xr:uid="{00000000-0005-0000-0000-00003B1D0000}"/>
    <cellStyle name="Normal 2 54 4 8" xfId="5536" xr:uid="{00000000-0005-0000-0000-00003C1D0000}"/>
    <cellStyle name="Normal 2 54 4 8 2" xfId="23307" xr:uid="{00000000-0005-0000-0000-00003D1D0000}"/>
    <cellStyle name="Normal 2 54 4 9" xfId="5537" xr:uid="{00000000-0005-0000-0000-00003E1D0000}"/>
    <cellStyle name="Normal 2 54 4 9 2" xfId="23308" xr:uid="{00000000-0005-0000-0000-00003F1D0000}"/>
    <cellStyle name="Normal 2 54 5" xfId="5538" xr:uid="{00000000-0005-0000-0000-0000401D0000}"/>
    <cellStyle name="Normal 2 54 5 10" xfId="5539" xr:uid="{00000000-0005-0000-0000-0000411D0000}"/>
    <cellStyle name="Normal 2 54 5 10 2" xfId="23310" xr:uid="{00000000-0005-0000-0000-0000421D0000}"/>
    <cellStyle name="Normal 2 54 5 11" xfId="5540" xr:uid="{00000000-0005-0000-0000-0000431D0000}"/>
    <cellStyle name="Normal 2 54 5 11 2" xfId="23311" xr:uid="{00000000-0005-0000-0000-0000441D0000}"/>
    <cellStyle name="Normal 2 54 5 12" xfId="5541" xr:uid="{00000000-0005-0000-0000-0000451D0000}"/>
    <cellStyle name="Normal 2 54 5 12 2" xfId="23312" xr:uid="{00000000-0005-0000-0000-0000461D0000}"/>
    <cellStyle name="Normal 2 54 5 13" xfId="5542" xr:uid="{00000000-0005-0000-0000-0000471D0000}"/>
    <cellStyle name="Normal 2 54 5 13 2" xfId="23313" xr:uid="{00000000-0005-0000-0000-0000481D0000}"/>
    <cellStyle name="Normal 2 54 5 14" xfId="5543" xr:uid="{00000000-0005-0000-0000-0000491D0000}"/>
    <cellStyle name="Normal 2 54 5 14 2" xfId="23314" xr:uid="{00000000-0005-0000-0000-00004A1D0000}"/>
    <cellStyle name="Normal 2 54 5 15" xfId="23309" xr:uid="{00000000-0005-0000-0000-00004B1D0000}"/>
    <cellStyle name="Normal 2 54 5 2" xfId="5544" xr:uid="{00000000-0005-0000-0000-00004C1D0000}"/>
    <cellStyle name="Normal 2 54 5 2 2" xfId="23315" xr:uid="{00000000-0005-0000-0000-00004D1D0000}"/>
    <cellStyle name="Normal 2 54 5 3" xfId="5545" xr:uid="{00000000-0005-0000-0000-00004E1D0000}"/>
    <cellStyle name="Normal 2 54 5 3 2" xfId="23316" xr:uid="{00000000-0005-0000-0000-00004F1D0000}"/>
    <cellStyle name="Normal 2 54 5 4" xfId="5546" xr:uid="{00000000-0005-0000-0000-0000501D0000}"/>
    <cellStyle name="Normal 2 54 5 4 2" xfId="23317" xr:uid="{00000000-0005-0000-0000-0000511D0000}"/>
    <cellStyle name="Normal 2 54 5 5" xfId="5547" xr:uid="{00000000-0005-0000-0000-0000521D0000}"/>
    <cellStyle name="Normal 2 54 5 5 2" xfId="23318" xr:uid="{00000000-0005-0000-0000-0000531D0000}"/>
    <cellStyle name="Normal 2 54 5 6" xfId="5548" xr:uid="{00000000-0005-0000-0000-0000541D0000}"/>
    <cellStyle name="Normal 2 54 5 6 2" xfId="23319" xr:uid="{00000000-0005-0000-0000-0000551D0000}"/>
    <cellStyle name="Normal 2 54 5 7" xfId="5549" xr:uid="{00000000-0005-0000-0000-0000561D0000}"/>
    <cellStyle name="Normal 2 54 5 7 2" xfId="23320" xr:uid="{00000000-0005-0000-0000-0000571D0000}"/>
    <cellStyle name="Normal 2 54 5 8" xfId="5550" xr:uid="{00000000-0005-0000-0000-0000581D0000}"/>
    <cellStyle name="Normal 2 54 5 8 2" xfId="23321" xr:uid="{00000000-0005-0000-0000-0000591D0000}"/>
    <cellStyle name="Normal 2 54 5 9" xfId="5551" xr:uid="{00000000-0005-0000-0000-00005A1D0000}"/>
    <cellStyle name="Normal 2 54 5 9 2" xfId="23322" xr:uid="{00000000-0005-0000-0000-00005B1D0000}"/>
    <cellStyle name="Normal 2 54 6" xfId="5552" xr:uid="{00000000-0005-0000-0000-00005C1D0000}"/>
    <cellStyle name="Normal 2 54 6 10" xfId="5553" xr:uid="{00000000-0005-0000-0000-00005D1D0000}"/>
    <cellStyle name="Normal 2 54 6 10 2" xfId="23324" xr:uid="{00000000-0005-0000-0000-00005E1D0000}"/>
    <cellStyle name="Normal 2 54 6 11" xfId="5554" xr:uid="{00000000-0005-0000-0000-00005F1D0000}"/>
    <cellStyle name="Normal 2 54 6 11 2" xfId="23325" xr:uid="{00000000-0005-0000-0000-0000601D0000}"/>
    <cellStyle name="Normal 2 54 6 12" xfId="5555" xr:uid="{00000000-0005-0000-0000-0000611D0000}"/>
    <cellStyle name="Normal 2 54 6 12 2" xfId="23326" xr:uid="{00000000-0005-0000-0000-0000621D0000}"/>
    <cellStyle name="Normal 2 54 6 13" xfId="5556" xr:uid="{00000000-0005-0000-0000-0000631D0000}"/>
    <cellStyle name="Normal 2 54 6 13 2" xfId="23327" xr:uid="{00000000-0005-0000-0000-0000641D0000}"/>
    <cellStyle name="Normal 2 54 6 14" xfId="5557" xr:uid="{00000000-0005-0000-0000-0000651D0000}"/>
    <cellStyle name="Normal 2 54 6 14 2" xfId="23328" xr:uid="{00000000-0005-0000-0000-0000661D0000}"/>
    <cellStyle name="Normal 2 54 6 15" xfId="23323" xr:uid="{00000000-0005-0000-0000-0000671D0000}"/>
    <cellStyle name="Normal 2 54 6 2" xfId="5558" xr:uid="{00000000-0005-0000-0000-0000681D0000}"/>
    <cellStyle name="Normal 2 54 6 2 2" xfId="23329" xr:uid="{00000000-0005-0000-0000-0000691D0000}"/>
    <cellStyle name="Normal 2 54 6 3" xfId="5559" xr:uid="{00000000-0005-0000-0000-00006A1D0000}"/>
    <cellStyle name="Normal 2 54 6 3 2" xfId="23330" xr:uid="{00000000-0005-0000-0000-00006B1D0000}"/>
    <cellStyle name="Normal 2 54 6 4" xfId="5560" xr:uid="{00000000-0005-0000-0000-00006C1D0000}"/>
    <cellStyle name="Normal 2 54 6 4 2" xfId="23331" xr:uid="{00000000-0005-0000-0000-00006D1D0000}"/>
    <cellStyle name="Normal 2 54 6 5" xfId="5561" xr:uid="{00000000-0005-0000-0000-00006E1D0000}"/>
    <cellStyle name="Normal 2 54 6 5 2" xfId="23332" xr:uid="{00000000-0005-0000-0000-00006F1D0000}"/>
    <cellStyle name="Normal 2 54 6 6" xfId="5562" xr:uid="{00000000-0005-0000-0000-0000701D0000}"/>
    <cellStyle name="Normal 2 54 6 6 2" xfId="23333" xr:uid="{00000000-0005-0000-0000-0000711D0000}"/>
    <cellStyle name="Normal 2 54 6 7" xfId="5563" xr:uid="{00000000-0005-0000-0000-0000721D0000}"/>
    <cellStyle name="Normal 2 54 6 7 2" xfId="23334" xr:uid="{00000000-0005-0000-0000-0000731D0000}"/>
    <cellStyle name="Normal 2 54 6 8" xfId="5564" xr:uid="{00000000-0005-0000-0000-0000741D0000}"/>
    <cellStyle name="Normal 2 54 6 8 2" xfId="23335" xr:uid="{00000000-0005-0000-0000-0000751D0000}"/>
    <cellStyle name="Normal 2 54 6 9" xfId="5565" xr:uid="{00000000-0005-0000-0000-0000761D0000}"/>
    <cellStyle name="Normal 2 54 6 9 2" xfId="23336" xr:uid="{00000000-0005-0000-0000-0000771D0000}"/>
    <cellStyle name="Normal 2 54 7" xfId="5566" xr:uid="{00000000-0005-0000-0000-0000781D0000}"/>
    <cellStyle name="Normal 2 54 7 10" xfId="5567" xr:uid="{00000000-0005-0000-0000-0000791D0000}"/>
    <cellStyle name="Normal 2 54 7 10 2" xfId="23338" xr:uid="{00000000-0005-0000-0000-00007A1D0000}"/>
    <cellStyle name="Normal 2 54 7 11" xfId="5568" xr:uid="{00000000-0005-0000-0000-00007B1D0000}"/>
    <cellStyle name="Normal 2 54 7 11 2" xfId="23339" xr:uid="{00000000-0005-0000-0000-00007C1D0000}"/>
    <cellStyle name="Normal 2 54 7 12" xfId="5569" xr:uid="{00000000-0005-0000-0000-00007D1D0000}"/>
    <cellStyle name="Normal 2 54 7 12 2" xfId="23340" xr:uid="{00000000-0005-0000-0000-00007E1D0000}"/>
    <cellStyle name="Normal 2 54 7 13" xfId="5570" xr:uid="{00000000-0005-0000-0000-00007F1D0000}"/>
    <cellStyle name="Normal 2 54 7 13 2" xfId="23341" xr:uid="{00000000-0005-0000-0000-0000801D0000}"/>
    <cellStyle name="Normal 2 54 7 14" xfId="5571" xr:uid="{00000000-0005-0000-0000-0000811D0000}"/>
    <cellStyle name="Normal 2 54 7 14 2" xfId="23342" xr:uid="{00000000-0005-0000-0000-0000821D0000}"/>
    <cellStyle name="Normal 2 54 7 15" xfId="23337" xr:uid="{00000000-0005-0000-0000-0000831D0000}"/>
    <cellStyle name="Normal 2 54 7 2" xfId="5572" xr:uid="{00000000-0005-0000-0000-0000841D0000}"/>
    <cellStyle name="Normal 2 54 7 2 2" xfId="23343" xr:uid="{00000000-0005-0000-0000-0000851D0000}"/>
    <cellStyle name="Normal 2 54 7 3" xfId="5573" xr:uid="{00000000-0005-0000-0000-0000861D0000}"/>
    <cellStyle name="Normal 2 54 7 3 2" xfId="23344" xr:uid="{00000000-0005-0000-0000-0000871D0000}"/>
    <cellStyle name="Normal 2 54 7 4" xfId="5574" xr:uid="{00000000-0005-0000-0000-0000881D0000}"/>
    <cellStyle name="Normal 2 54 7 4 2" xfId="23345" xr:uid="{00000000-0005-0000-0000-0000891D0000}"/>
    <cellStyle name="Normal 2 54 7 5" xfId="5575" xr:uid="{00000000-0005-0000-0000-00008A1D0000}"/>
    <cellStyle name="Normal 2 54 7 5 2" xfId="23346" xr:uid="{00000000-0005-0000-0000-00008B1D0000}"/>
    <cellStyle name="Normal 2 54 7 6" xfId="5576" xr:uid="{00000000-0005-0000-0000-00008C1D0000}"/>
    <cellStyle name="Normal 2 54 7 6 2" xfId="23347" xr:uid="{00000000-0005-0000-0000-00008D1D0000}"/>
    <cellStyle name="Normal 2 54 7 7" xfId="5577" xr:uid="{00000000-0005-0000-0000-00008E1D0000}"/>
    <cellStyle name="Normal 2 54 7 7 2" xfId="23348" xr:uid="{00000000-0005-0000-0000-00008F1D0000}"/>
    <cellStyle name="Normal 2 54 7 8" xfId="5578" xr:uid="{00000000-0005-0000-0000-0000901D0000}"/>
    <cellStyle name="Normal 2 54 7 8 2" xfId="23349" xr:uid="{00000000-0005-0000-0000-0000911D0000}"/>
    <cellStyle name="Normal 2 54 7 9" xfId="5579" xr:uid="{00000000-0005-0000-0000-0000921D0000}"/>
    <cellStyle name="Normal 2 54 7 9 2" xfId="23350" xr:uid="{00000000-0005-0000-0000-0000931D0000}"/>
    <cellStyle name="Normal 2 54 8" xfId="5580" xr:uid="{00000000-0005-0000-0000-0000941D0000}"/>
    <cellStyle name="Normal 2 54 8 10" xfId="5581" xr:uid="{00000000-0005-0000-0000-0000951D0000}"/>
    <cellStyle name="Normal 2 54 8 10 2" xfId="23352" xr:uid="{00000000-0005-0000-0000-0000961D0000}"/>
    <cellStyle name="Normal 2 54 8 11" xfId="5582" xr:uid="{00000000-0005-0000-0000-0000971D0000}"/>
    <cellStyle name="Normal 2 54 8 11 2" xfId="23353" xr:uid="{00000000-0005-0000-0000-0000981D0000}"/>
    <cellStyle name="Normal 2 54 8 12" xfId="5583" xr:uid="{00000000-0005-0000-0000-0000991D0000}"/>
    <cellStyle name="Normal 2 54 8 12 2" xfId="23354" xr:uid="{00000000-0005-0000-0000-00009A1D0000}"/>
    <cellStyle name="Normal 2 54 8 13" xfId="5584" xr:uid="{00000000-0005-0000-0000-00009B1D0000}"/>
    <cellStyle name="Normal 2 54 8 13 2" xfId="23355" xr:uid="{00000000-0005-0000-0000-00009C1D0000}"/>
    <cellStyle name="Normal 2 54 8 14" xfId="5585" xr:uid="{00000000-0005-0000-0000-00009D1D0000}"/>
    <cellStyle name="Normal 2 54 8 14 2" xfId="23356" xr:uid="{00000000-0005-0000-0000-00009E1D0000}"/>
    <cellStyle name="Normal 2 54 8 15" xfId="23351" xr:uid="{00000000-0005-0000-0000-00009F1D0000}"/>
    <cellStyle name="Normal 2 54 8 2" xfId="5586" xr:uid="{00000000-0005-0000-0000-0000A01D0000}"/>
    <cellStyle name="Normal 2 54 8 2 2" xfId="23357" xr:uid="{00000000-0005-0000-0000-0000A11D0000}"/>
    <cellStyle name="Normal 2 54 8 3" xfId="5587" xr:uid="{00000000-0005-0000-0000-0000A21D0000}"/>
    <cellStyle name="Normal 2 54 8 3 2" xfId="23358" xr:uid="{00000000-0005-0000-0000-0000A31D0000}"/>
    <cellStyle name="Normal 2 54 8 4" xfId="5588" xr:uid="{00000000-0005-0000-0000-0000A41D0000}"/>
    <cellStyle name="Normal 2 54 8 4 2" xfId="23359" xr:uid="{00000000-0005-0000-0000-0000A51D0000}"/>
    <cellStyle name="Normal 2 54 8 5" xfId="5589" xr:uid="{00000000-0005-0000-0000-0000A61D0000}"/>
    <cellStyle name="Normal 2 54 8 5 2" xfId="23360" xr:uid="{00000000-0005-0000-0000-0000A71D0000}"/>
    <cellStyle name="Normal 2 54 8 6" xfId="5590" xr:uid="{00000000-0005-0000-0000-0000A81D0000}"/>
    <cellStyle name="Normal 2 54 8 6 2" xfId="23361" xr:uid="{00000000-0005-0000-0000-0000A91D0000}"/>
    <cellStyle name="Normal 2 54 8 7" xfId="5591" xr:uid="{00000000-0005-0000-0000-0000AA1D0000}"/>
    <cellStyle name="Normal 2 54 8 7 2" xfId="23362" xr:uid="{00000000-0005-0000-0000-0000AB1D0000}"/>
    <cellStyle name="Normal 2 54 8 8" xfId="5592" xr:uid="{00000000-0005-0000-0000-0000AC1D0000}"/>
    <cellStyle name="Normal 2 54 8 8 2" xfId="23363" xr:uid="{00000000-0005-0000-0000-0000AD1D0000}"/>
    <cellStyle name="Normal 2 54 8 9" xfId="5593" xr:uid="{00000000-0005-0000-0000-0000AE1D0000}"/>
    <cellStyle name="Normal 2 54 8 9 2" xfId="23364" xr:uid="{00000000-0005-0000-0000-0000AF1D0000}"/>
    <cellStyle name="Normal 2 54 9" xfId="5594" xr:uid="{00000000-0005-0000-0000-0000B01D0000}"/>
    <cellStyle name="Normal 2 54 9 10" xfId="5595" xr:uid="{00000000-0005-0000-0000-0000B11D0000}"/>
    <cellStyle name="Normal 2 54 9 10 2" xfId="23366" xr:uid="{00000000-0005-0000-0000-0000B21D0000}"/>
    <cellStyle name="Normal 2 54 9 11" xfId="5596" xr:uid="{00000000-0005-0000-0000-0000B31D0000}"/>
    <cellStyle name="Normal 2 54 9 11 2" xfId="23367" xr:uid="{00000000-0005-0000-0000-0000B41D0000}"/>
    <cellStyle name="Normal 2 54 9 12" xfId="5597" xr:uid="{00000000-0005-0000-0000-0000B51D0000}"/>
    <cellStyle name="Normal 2 54 9 12 2" xfId="23368" xr:uid="{00000000-0005-0000-0000-0000B61D0000}"/>
    <cellStyle name="Normal 2 54 9 13" xfId="5598" xr:uid="{00000000-0005-0000-0000-0000B71D0000}"/>
    <cellStyle name="Normal 2 54 9 13 2" xfId="23369" xr:uid="{00000000-0005-0000-0000-0000B81D0000}"/>
    <cellStyle name="Normal 2 54 9 14" xfId="5599" xr:uid="{00000000-0005-0000-0000-0000B91D0000}"/>
    <cellStyle name="Normal 2 54 9 14 2" xfId="23370" xr:uid="{00000000-0005-0000-0000-0000BA1D0000}"/>
    <cellStyle name="Normal 2 54 9 15" xfId="23365" xr:uid="{00000000-0005-0000-0000-0000BB1D0000}"/>
    <cellStyle name="Normal 2 54 9 2" xfId="5600" xr:uid="{00000000-0005-0000-0000-0000BC1D0000}"/>
    <cellStyle name="Normal 2 54 9 2 2" xfId="23371" xr:uid="{00000000-0005-0000-0000-0000BD1D0000}"/>
    <cellStyle name="Normal 2 54 9 3" xfId="5601" xr:uid="{00000000-0005-0000-0000-0000BE1D0000}"/>
    <cellStyle name="Normal 2 54 9 3 2" xfId="23372" xr:uid="{00000000-0005-0000-0000-0000BF1D0000}"/>
    <cellStyle name="Normal 2 54 9 4" xfId="5602" xr:uid="{00000000-0005-0000-0000-0000C01D0000}"/>
    <cellStyle name="Normal 2 54 9 4 2" xfId="23373" xr:uid="{00000000-0005-0000-0000-0000C11D0000}"/>
    <cellStyle name="Normal 2 54 9 5" xfId="5603" xr:uid="{00000000-0005-0000-0000-0000C21D0000}"/>
    <cellStyle name="Normal 2 54 9 5 2" xfId="23374" xr:uid="{00000000-0005-0000-0000-0000C31D0000}"/>
    <cellStyle name="Normal 2 54 9 6" xfId="5604" xr:uid="{00000000-0005-0000-0000-0000C41D0000}"/>
    <cellStyle name="Normal 2 54 9 6 2" xfId="23375" xr:uid="{00000000-0005-0000-0000-0000C51D0000}"/>
    <cellStyle name="Normal 2 54 9 7" xfId="5605" xr:uid="{00000000-0005-0000-0000-0000C61D0000}"/>
    <cellStyle name="Normal 2 54 9 7 2" xfId="23376" xr:uid="{00000000-0005-0000-0000-0000C71D0000}"/>
    <cellStyle name="Normal 2 54 9 8" xfId="5606" xr:uid="{00000000-0005-0000-0000-0000C81D0000}"/>
    <cellStyle name="Normal 2 54 9 8 2" xfId="23377" xr:uid="{00000000-0005-0000-0000-0000C91D0000}"/>
    <cellStyle name="Normal 2 54 9 9" xfId="5607" xr:uid="{00000000-0005-0000-0000-0000CA1D0000}"/>
    <cellStyle name="Normal 2 54 9 9 2" xfId="23378" xr:uid="{00000000-0005-0000-0000-0000CB1D0000}"/>
    <cellStyle name="Normal 2 55" xfId="5608" xr:uid="{00000000-0005-0000-0000-0000CC1D0000}"/>
    <cellStyle name="Normal 2 55 10" xfId="5609" xr:uid="{00000000-0005-0000-0000-0000CD1D0000}"/>
    <cellStyle name="Normal 2 55 10 10" xfId="5610" xr:uid="{00000000-0005-0000-0000-0000CE1D0000}"/>
    <cellStyle name="Normal 2 55 10 10 2" xfId="23381" xr:uid="{00000000-0005-0000-0000-0000CF1D0000}"/>
    <cellStyle name="Normal 2 55 10 11" xfId="5611" xr:uid="{00000000-0005-0000-0000-0000D01D0000}"/>
    <cellStyle name="Normal 2 55 10 11 2" xfId="23382" xr:uid="{00000000-0005-0000-0000-0000D11D0000}"/>
    <cellStyle name="Normal 2 55 10 12" xfId="5612" xr:uid="{00000000-0005-0000-0000-0000D21D0000}"/>
    <cellStyle name="Normal 2 55 10 12 2" xfId="23383" xr:uid="{00000000-0005-0000-0000-0000D31D0000}"/>
    <cellStyle name="Normal 2 55 10 13" xfId="5613" xr:uid="{00000000-0005-0000-0000-0000D41D0000}"/>
    <cellStyle name="Normal 2 55 10 13 2" xfId="23384" xr:uid="{00000000-0005-0000-0000-0000D51D0000}"/>
    <cellStyle name="Normal 2 55 10 14" xfId="5614" xr:uid="{00000000-0005-0000-0000-0000D61D0000}"/>
    <cellStyle name="Normal 2 55 10 14 2" xfId="23385" xr:uid="{00000000-0005-0000-0000-0000D71D0000}"/>
    <cellStyle name="Normal 2 55 10 15" xfId="23380" xr:uid="{00000000-0005-0000-0000-0000D81D0000}"/>
    <cellStyle name="Normal 2 55 10 2" xfId="5615" xr:uid="{00000000-0005-0000-0000-0000D91D0000}"/>
    <cellStyle name="Normal 2 55 10 2 2" xfId="23386" xr:uid="{00000000-0005-0000-0000-0000DA1D0000}"/>
    <cellStyle name="Normal 2 55 10 3" xfId="5616" xr:uid="{00000000-0005-0000-0000-0000DB1D0000}"/>
    <cellStyle name="Normal 2 55 10 3 2" xfId="23387" xr:uid="{00000000-0005-0000-0000-0000DC1D0000}"/>
    <cellStyle name="Normal 2 55 10 4" xfId="5617" xr:uid="{00000000-0005-0000-0000-0000DD1D0000}"/>
    <cellStyle name="Normal 2 55 10 4 2" xfId="23388" xr:uid="{00000000-0005-0000-0000-0000DE1D0000}"/>
    <cellStyle name="Normal 2 55 10 5" xfId="5618" xr:uid="{00000000-0005-0000-0000-0000DF1D0000}"/>
    <cellStyle name="Normal 2 55 10 5 2" xfId="23389" xr:uid="{00000000-0005-0000-0000-0000E01D0000}"/>
    <cellStyle name="Normal 2 55 10 6" xfId="5619" xr:uid="{00000000-0005-0000-0000-0000E11D0000}"/>
    <cellStyle name="Normal 2 55 10 6 2" xfId="23390" xr:uid="{00000000-0005-0000-0000-0000E21D0000}"/>
    <cellStyle name="Normal 2 55 10 7" xfId="5620" xr:uid="{00000000-0005-0000-0000-0000E31D0000}"/>
    <cellStyle name="Normal 2 55 10 7 2" xfId="23391" xr:uid="{00000000-0005-0000-0000-0000E41D0000}"/>
    <cellStyle name="Normal 2 55 10 8" xfId="5621" xr:uid="{00000000-0005-0000-0000-0000E51D0000}"/>
    <cellStyle name="Normal 2 55 10 8 2" xfId="23392" xr:uid="{00000000-0005-0000-0000-0000E61D0000}"/>
    <cellStyle name="Normal 2 55 10 9" xfId="5622" xr:uid="{00000000-0005-0000-0000-0000E71D0000}"/>
    <cellStyle name="Normal 2 55 10 9 2" xfId="23393" xr:uid="{00000000-0005-0000-0000-0000E81D0000}"/>
    <cellStyle name="Normal 2 55 11" xfId="5623" xr:uid="{00000000-0005-0000-0000-0000E91D0000}"/>
    <cellStyle name="Normal 2 55 11 2" xfId="23394" xr:uid="{00000000-0005-0000-0000-0000EA1D0000}"/>
    <cellStyle name="Normal 2 55 12" xfId="5624" xr:uid="{00000000-0005-0000-0000-0000EB1D0000}"/>
    <cellStyle name="Normal 2 55 12 2" xfId="23395" xr:uid="{00000000-0005-0000-0000-0000EC1D0000}"/>
    <cellStyle name="Normal 2 55 13" xfId="5625" xr:uid="{00000000-0005-0000-0000-0000ED1D0000}"/>
    <cellStyle name="Normal 2 55 13 2" xfId="23396" xr:uid="{00000000-0005-0000-0000-0000EE1D0000}"/>
    <cellStyle name="Normal 2 55 14" xfId="5626" xr:uid="{00000000-0005-0000-0000-0000EF1D0000}"/>
    <cellStyle name="Normal 2 55 14 2" xfId="23397" xr:uid="{00000000-0005-0000-0000-0000F01D0000}"/>
    <cellStyle name="Normal 2 55 15" xfId="5627" xr:uid="{00000000-0005-0000-0000-0000F11D0000}"/>
    <cellStyle name="Normal 2 55 15 2" xfId="23398" xr:uid="{00000000-0005-0000-0000-0000F21D0000}"/>
    <cellStyle name="Normal 2 55 16" xfId="5628" xr:uid="{00000000-0005-0000-0000-0000F31D0000}"/>
    <cellStyle name="Normal 2 55 16 2" xfId="23399" xr:uid="{00000000-0005-0000-0000-0000F41D0000}"/>
    <cellStyle name="Normal 2 55 17" xfId="5629" xr:uid="{00000000-0005-0000-0000-0000F51D0000}"/>
    <cellStyle name="Normal 2 55 17 2" xfId="23400" xr:uid="{00000000-0005-0000-0000-0000F61D0000}"/>
    <cellStyle name="Normal 2 55 18" xfId="5630" xr:uid="{00000000-0005-0000-0000-0000F71D0000}"/>
    <cellStyle name="Normal 2 55 18 2" xfId="23401" xr:uid="{00000000-0005-0000-0000-0000F81D0000}"/>
    <cellStyle name="Normal 2 55 19" xfId="5631" xr:uid="{00000000-0005-0000-0000-0000F91D0000}"/>
    <cellStyle name="Normal 2 55 19 2" xfId="23402" xr:uid="{00000000-0005-0000-0000-0000FA1D0000}"/>
    <cellStyle name="Normal 2 55 2" xfId="5632" xr:uid="{00000000-0005-0000-0000-0000FB1D0000}"/>
    <cellStyle name="Normal 2 55 2 10" xfId="5633" xr:uid="{00000000-0005-0000-0000-0000FC1D0000}"/>
    <cellStyle name="Normal 2 55 2 10 2" xfId="23404" xr:uid="{00000000-0005-0000-0000-0000FD1D0000}"/>
    <cellStyle name="Normal 2 55 2 11" xfId="5634" xr:uid="{00000000-0005-0000-0000-0000FE1D0000}"/>
    <cellStyle name="Normal 2 55 2 11 2" xfId="23405" xr:uid="{00000000-0005-0000-0000-0000FF1D0000}"/>
    <cellStyle name="Normal 2 55 2 12" xfId="5635" xr:uid="{00000000-0005-0000-0000-0000001E0000}"/>
    <cellStyle name="Normal 2 55 2 12 2" xfId="23406" xr:uid="{00000000-0005-0000-0000-0000011E0000}"/>
    <cellStyle name="Normal 2 55 2 13" xfId="5636" xr:uid="{00000000-0005-0000-0000-0000021E0000}"/>
    <cellStyle name="Normal 2 55 2 13 2" xfId="23407" xr:uid="{00000000-0005-0000-0000-0000031E0000}"/>
    <cellStyle name="Normal 2 55 2 14" xfId="5637" xr:uid="{00000000-0005-0000-0000-0000041E0000}"/>
    <cellStyle name="Normal 2 55 2 14 2" xfId="23408" xr:uid="{00000000-0005-0000-0000-0000051E0000}"/>
    <cellStyle name="Normal 2 55 2 15" xfId="5638" xr:uid="{00000000-0005-0000-0000-0000061E0000}"/>
    <cellStyle name="Normal 2 55 2 15 2" xfId="23409" xr:uid="{00000000-0005-0000-0000-0000071E0000}"/>
    <cellStyle name="Normal 2 55 2 16" xfId="23403" xr:uid="{00000000-0005-0000-0000-0000081E0000}"/>
    <cellStyle name="Normal 2 55 2 2" xfId="5639" xr:uid="{00000000-0005-0000-0000-0000091E0000}"/>
    <cellStyle name="Normal 2 55 2 2 10" xfId="5640" xr:uid="{00000000-0005-0000-0000-00000A1E0000}"/>
    <cellStyle name="Normal 2 55 2 2 10 2" xfId="23411" xr:uid="{00000000-0005-0000-0000-00000B1E0000}"/>
    <cellStyle name="Normal 2 55 2 2 11" xfId="5641" xr:uid="{00000000-0005-0000-0000-00000C1E0000}"/>
    <cellStyle name="Normal 2 55 2 2 11 2" xfId="23412" xr:uid="{00000000-0005-0000-0000-00000D1E0000}"/>
    <cellStyle name="Normal 2 55 2 2 12" xfId="5642" xr:uid="{00000000-0005-0000-0000-00000E1E0000}"/>
    <cellStyle name="Normal 2 55 2 2 12 2" xfId="23413" xr:uid="{00000000-0005-0000-0000-00000F1E0000}"/>
    <cellStyle name="Normal 2 55 2 2 13" xfId="5643" xr:uid="{00000000-0005-0000-0000-0000101E0000}"/>
    <cellStyle name="Normal 2 55 2 2 13 2" xfId="23414" xr:uid="{00000000-0005-0000-0000-0000111E0000}"/>
    <cellStyle name="Normal 2 55 2 2 14" xfId="5644" xr:uid="{00000000-0005-0000-0000-0000121E0000}"/>
    <cellStyle name="Normal 2 55 2 2 14 2" xfId="23415" xr:uid="{00000000-0005-0000-0000-0000131E0000}"/>
    <cellStyle name="Normal 2 55 2 2 15" xfId="23410" xr:uid="{00000000-0005-0000-0000-0000141E0000}"/>
    <cellStyle name="Normal 2 55 2 2 2" xfId="5645" xr:uid="{00000000-0005-0000-0000-0000151E0000}"/>
    <cellStyle name="Normal 2 55 2 2 2 2" xfId="23416" xr:uid="{00000000-0005-0000-0000-0000161E0000}"/>
    <cellStyle name="Normal 2 55 2 2 3" xfId="5646" xr:uid="{00000000-0005-0000-0000-0000171E0000}"/>
    <cellStyle name="Normal 2 55 2 2 3 2" xfId="23417" xr:uid="{00000000-0005-0000-0000-0000181E0000}"/>
    <cellStyle name="Normal 2 55 2 2 4" xfId="5647" xr:uid="{00000000-0005-0000-0000-0000191E0000}"/>
    <cellStyle name="Normal 2 55 2 2 4 2" xfId="23418" xr:uid="{00000000-0005-0000-0000-00001A1E0000}"/>
    <cellStyle name="Normal 2 55 2 2 5" xfId="5648" xr:uid="{00000000-0005-0000-0000-00001B1E0000}"/>
    <cellStyle name="Normal 2 55 2 2 5 2" xfId="23419" xr:uid="{00000000-0005-0000-0000-00001C1E0000}"/>
    <cellStyle name="Normal 2 55 2 2 6" xfId="5649" xr:uid="{00000000-0005-0000-0000-00001D1E0000}"/>
    <cellStyle name="Normal 2 55 2 2 6 2" xfId="23420" xr:uid="{00000000-0005-0000-0000-00001E1E0000}"/>
    <cellStyle name="Normal 2 55 2 2 7" xfId="5650" xr:uid="{00000000-0005-0000-0000-00001F1E0000}"/>
    <cellStyle name="Normal 2 55 2 2 7 2" xfId="23421" xr:uid="{00000000-0005-0000-0000-0000201E0000}"/>
    <cellStyle name="Normal 2 55 2 2 8" xfId="5651" xr:uid="{00000000-0005-0000-0000-0000211E0000}"/>
    <cellStyle name="Normal 2 55 2 2 8 2" xfId="23422" xr:uid="{00000000-0005-0000-0000-0000221E0000}"/>
    <cellStyle name="Normal 2 55 2 2 9" xfId="5652" xr:uid="{00000000-0005-0000-0000-0000231E0000}"/>
    <cellStyle name="Normal 2 55 2 2 9 2" xfId="23423" xr:uid="{00000000-0005-0000-0000-0000241E0000}"/>
    <cellStyle name="Normal 2 55 2 3" xfId="5653" xr:uid="{00000000-0005-0000-0000-0000251E0000}"/>
    <cellStyle name="Normal 2 55 2 3 2" xfId="23424" xr:uid="{00000000-0005-0000-0000-0000261E0000}"/>
    <cellStyle name="Normal 2 55 2 4" xfId="5654" xr:uid="{00000000-0005-0000-0000-0000271E0000}"/>
    <cellStyle name="Normal 2 55 2 4 2" xfId="23425" xr:uid="{00000000-0005-0000-0000-0000281E0000}"/>
    <cellStyle name="Normal 2 55 2 5" xfId="5655" xr:uid="{00000000-0005-0000-0000-0000291E0000}"/>
    <cellStyle name="Normal 2 55 2 5 2" xfId="23426" xr:uid="{00000000-0005-0000-0000-00002A1E0000}"/>
    <cellStyle name="Normal 2 55 2 6" xfId="5656" xr:uid="{00000000-0005-0000-0000-00002B1E0000}"/>
    <cellStyle name="Normal 2 55 2 6 2" xfId="23427" xr:uid="{00000000-0005-0000-0000-00002C1E0000}"/>
    <cellStyle name="Normal 2 55 2 7" xfId="5657" xr:uid="{00000000-0005-0000-0000-00002D1E0000}"/>
    <cellStyle name="Normal 2 55 2 7 2" xfId="23428" xr:uid="{00000000-0005-0000-0000-00002E1E0000}"/>
    <cellStyle name="Normal 2 55 2 8" xfId="5658" xr:uid="{00000000-0005-0000-0000-00002F1E0000}"/>
    <cellStyle name="Normal 2 55 2 8 2" xfId="23429" xr:uid="{00000000-0005-0000-0000-0000301E0000}"/>
    <cellStyle name="Normal 2 55 2 9" xfId="5659" xr:uid="{00000000-0005-0000-0000-0000311E0000}"/>
    <cellStyle name="Normal 2 55 2 9 2" xfId="23430" xr:uid="{00000000-0005-0000-0000-0000321E0000}"/>
    <cellStyle name="Normal 2 55 20" xfId="5660" xr:uid="{00000000-0005-0000-0000-0000331E0000}"/>
    <cellStyle name="Normal 2 55 20 2" xfId="23431" xr:uid="{00000000-0005-0000-0000-0000341E0000}"/>
    <cellStyle name="Normal 2 55 21" xfId="5661" xr:uid="{00000000-0005-0000-0000-0000351E0000}"/>
    <cellStyle name="Normal 2 55 21 2" xfId="23432" xr:uid="{00000000-0005-0000-0000-0000361E0000}"/>
    <cellStyle name="Normal 2 55 22" xfId="5662" xr:uid="{00000000-0005-0000-0000-0000371E0000}"/>
    <cellStyle name="Normal 2 55 22 2" xfId="23433" xr:uid="{00000000-0005-0000-0000-0000381E0000}"/>
    <cellStyle name="Normal 2 55 23" xfId="5663" xr:uid="{00000000-0005-0000-0000-0000391E0000}"/>
    <cellStyle name="Normal 2 55 23 2" xfId="23434" xr:uid="{00000000-0005-0000-0000-00003A1E0000}"/>
    <cellStyle name="Normal 2 55 24" xfId="23379" xr:uid="{00000000-0005-0000-0000-00003B1E0000}"/>
    <cellStyle name="Normal 2 55 3" xfId="5664" xr:uid="{00000000-0005-0000-0000-00003C1E0000}"/>
    <cellStyle name="Normal 2 55 3 10" xfId="5665" xr:uid="{00000000-0005-0000-0000-00003D1E0000}"/>
    <cellStyle name="Normal 2 55 3 10 2" xfId="23436" xr:uid="{00000000-0005-0000-0000-00003E1E0000}"/>
    <cellStyle name="Normal 2 55 3 11" xfId="5666" xr:uid="{00000000-0005-0000-0000-00003F1E0000}"/>
    <cellStyle name="Normal 2 55 3 11 2" xfId="23437" xr:uid="{00000000-0005-0000-0000-0000401E0000}"/>
    <cellStyle name="Normal 2 55 3 12" xfId="5667" xr:uid="{00000000-0005-0000-0000-0000411E0000}"/>
    <cellStyle name="Normal 2 55 3 12 2" xfId="23438" xr:uid="{00000000-0005-0000-0000-0000421E0000}"/>
    <cellStyle name="Normal 2 55 3 13" xfId="5668" xr:uid="{00000000-0005-0000-0000-0000431E0000}"/>
    <cellStyle name="Normal 2 55 3 13 2" xfId="23439" xr:uid="{00000000-0005-0000-0000-0000441E0000}"/>
    <cellStyle name="Normal 2 55 3 14" xfId="5669" xr:uid="{00000000-0005-0000-0000-0000451E0000}"/>
    <cellStyle name="Normal 2 55 3 14 2" xfId="23440" xr:uid="{00000000-0005-0000-0000-0000461E0000}"/>
    <cellStyle name="Normal 2 55 3 15" xfId="5670" xr:uid="{00000000-0005-0000-0000-0000471E0000}"/>
    <cellStyle name="Normal 2 55 3 15 2" xfId="23441" xr:uid="{00000000-0005-0000-0000-0000481E0000}"/>
    <cellStyle name="Normal 2 55 3 16" xfId="23435" xr:uid="{00000000-0005-0000-0000-0000491E0000}"/>
    <cellStyle name="Normal 2 55 3 2" xfId="5671" xr:uid="{00000000-0005-0000-0000-00004A1E0000}"/>
    <cellStyle name="Normal 2 55 3 2 10" xfId="5672" xr:uid="{00000000-0005-0000-0000-00004B1E0000}"/>
    <cellStyle name="Normal 2 55 3 2 10 2" xfId="23443" xr:uid="{00000000-0005-0000-0000-00004C1E0000}"/>
    <cellStyle name="Normal 2 55 3 2 11" xfId="5673" xr:uid="{00000000-0005-0000-0000-00004D1E0000}"/>
    <cellStyle name="Normal 2 55 3 2 11 2" xfId="23444" xr:uid="{00000000-0005-0000-0000-00004E1E0000}"/>
    <cellStyle name="Normal 2 55 3 2 12" xfId="5674" xr:uid="{00000000-0005-0000-0000-00004F1E0000}"/>
    <cellStyle name="Normal 2 55 3 2 12 2" xfId="23445" xr:uid="{00000000-0005-0000-0000-0000501E0000}"/>
    <cellStyle name="Normal 2 55 3 2 13" xfId="5675" xr:uid="{00000000-0005-0000-0000-0000511E0000}"/>
    <cellStyle name="Normal 2 55 3 2 13 2" xfId="23446" xr:uid="{00000000-0005-0000-0000-0000521E0000}"/>
    <cellStyle name="Normal 2 55 3 2 14" xfId="5676" xr:uid="{00000000-0005-0000-0000-0000531E0000}"/>
    <cellStyle name="Normal 2 55 3 2 14 2" xfId="23447" xr:uid="{00000000-0005-0000-0000-0000541E0000}"/>
    <cellStyle name="Normal 2 55 3 2 15" xfId="23442" xr:uid="{00000000-0005-0000-0000-0000551E0000}"/>
    <cellStyle name="Normal 2 55 3 2 2" xfId="5677" xr:uid="{00000000-0005-0000-0000-0000561E0000}"/>
    <cellStyle name="Normal 2 55 3 2 2 2" xfId="23448" xr:uid="{00000000-0005-0000-0000-0000571E0000}"/>
    <cellStyle name="Normal 2 55 3 2 3" xfId="5678" xr:uid="{00000000-0005-0000-0000-0000581E0000}"/>
    <cellStyle name="Normal 2 55 3 2 3 2" xfId="23449" xr:uid="{00000000-0005-0000-0000-0000591E0000}"/>
    <cellStyle name="Normal 2 55 3 2 4" xfId="5679" xr:uid="{00000000-0005-0000-0000-00005A1E0000}"/>
    <cellStyle name="Normal 2 55 3 2 4 2" xfId="23450" xr:uid="{00000000-0005-0000-0000-00005B1E0000}"/>
    <cellStyle name="Normal 2 55 3 2 5" xfId="5680" xr:uid="{00000000-0005-0000-0000-00005C1E0000}"/>
    <cellStyle name="Normal 2 55 3 2 5 2" xfId="23451" xr:uid="{00000000-0005-0000-0000-00005D1E0000}"/>
    <cellStyle name="Normal 2 55 3 2 6" xfId="5681" xr:uid="{00000000-0005-0000-0000-00005E1E0000}"/>
    <cellStyle name="Normal 2 55 3 2 6 2" xfId="23452" xr:uid="{00000000-0005-0000-0000-00005F1E0000}"/>
    <cellStyle name="Normal 2 55 3 2 7" xfId="5682" xr:uid="{00000000-0005-0000-0000-0000601E0000}"/>
    <cellStyle name="Normal 2 55 3 2 7 2" xfId="23453" xr:uid="{00000000-0005-0000-0000-0000611E0000}"/>
    <cellStyle name="Normal 2 55 3 2 8" xfId="5683" xr:uid="{00000000-0005-0000-0000-0000621E0000}"/>
    <cellStyle name="Normal 2 55 3 2 8 2" xfId="23454" xr:uid="{00000000-0005-0000-0000-0000631E0000}"/>
    <cellStyle name="Normal 2 55 3 2 9" xfId="5684" xr:uid="{00000000-0005-0000-0000-0000641E0000}"/>
    <cellStyle name="Normal 2 55 3 2 9 2" xfId="23455" xr:uid="{00000000-0005-0000-0000-0000651E0000}"/>
    <cellStyle name="Normal 2 55 3 3" xfId="5685" xr:uid="{00000000-0005-0000-0000-0000661E0000}"/>
    <cellStyle name="Normal 2 55 3 3 2" xfId="23456" xr:uid="{00000000-0005-0000-0000-0000671E0000}"/>
    <cellStyle name="Normal 2 55 3 4" xfId="5686" xr:uid="{00000000-0005-0000-0000-0000681E0000}"/>
    <cellStyle name="Normal 2 55 3 4 2" xfId="23457" xr:uid="{00000000-0005-0000-0000-0000691E0000}"/>
    <cellStyle name="Normal 2 55 3 5" xfId="5687" xr:uid="{00000000-0005-0000-0000-00006A1E0000}"/>
    <cellStyle name="Normal 2 55 3 5 2" xfId="23458" xr:uid="{00000000-0005-0000-0000-00006B1E0000}"/>
    <cellStyle name="Normal 2 55 3 6" xfId="5688" xr:uid="{00000000-0005-0000-0000-00006C1E0000}"/>
    <cellStyle name="Normal 2 55 3 6 2" xfId="23459" xr:uid="{00000000-0005-0000-0000-00006D1E0000}"/>
    <cellStyle name="Normal 2 55 3 7" xfId="5689" xr:uid="{00000000-0005-0000-0000-00006E1E0000}"/>
    <cellStyle name="Normal 2 55 3 7 2" xfId="23460" xr:uid="{00000000-0005-0000-0000-00006F1E0000}"/>
    <cellStyle name="Normal 2 55 3 8" xfId="5690" xr:uid="{00000000-0005-0000-0000-0000701E0000}"/>
    <cellStyle name="Normal 2 55 3 8 2" xfId="23461" xr:uid="{00000000-0005-0000-0000-0000711E0000}"/>
    <cellStyle name="Normal 2 55 3 9" xfId="5691" xr:uid="{00000000-0005-0000-0000-0000721E0000}"/>
    <cellStyle name="Normal 2 55 3 9 2" xfId="23462" xr:uid="{00000000-0005-0000-0000-0000731E0000}"/>
    <cellStyle name="Normal 2 55 4" xfId="5692" xr:uid="{00000000-0005-0000-0000-0000741E0000}"/>
    <cellStyle name="Normal 2 55 4 10" xfId="5693" xr:uid="{00000000-0005-0000-0000-0000751E0000}"/>
    <cellStyle name="Normal 2 55 4 10 2" xfId="23464" xr:uid="{00000000-0005-0000-0000-0000761E0000}"/>
    <cellStyle name="Normal 2 55 4 11" xfId="5694" xr:uid="{00000000-0005-0000-0000-0000771E0000}"/>
    <cellStyle name="Normal 2 55 4 11 2" xfId="23465" xr:uid="{00000000-0005-0000-0000-0000781E0000}"/>
    <cellStyle name="Normal 2 55 4 12" xfId="5695" xr:uid="{00000000-0005-0000-0000-0000791E0000}"/>
    <cellStyle name="Normal 2 55 4 12 2" xfId="23466" xr:uid="{00000000-0005-0000-0000-00007A1E0000}"/>
    <cellStyle name="Normal 2 55 4 13" xfId="5696" xr:uid="{00000000-0005-0000-0000-00007B1E0000}"/>
    <cellStyle name="Normal 2 55 4 13 2" xfId="23467" xr:uid="{00000000-0005-0000-0000-00007C1E0000}"/>
    <cellStyle name="Normal 2 55 4 14" xfId="5697" xr:uid="{00000000-0005-0000-0000-00007D1E0000}"/>
    <cellStyle name="Normal 2 55 4 14 2" xfId="23468" xr:uid="{00000000-0005-0000-0000-00007E1E0000}"/>
    <cellStyle name="Normal 2 55 4 15" xfId="5698" xr:uid="{00000000-0005-0000-0000-00007F1E0000}"/>
    <cellStyle name="Normal 2 55 4 15 2" xfId="23469" xr:uid="{00000000-0005-0000-0000-0000801E0000}"/>
    <cellStyle name="Normal 2 55 4 16" xfId="23463" xr:uid="{00000000-0005-0000-0000-0000811E0000}"/>
    <cellStyle name="Normal 2 55 4 2" xfId="5699" xr:uid="{00000000-0005-0000-0000-0000821E0000}"/>
    <cellStyle name="Normal 2 55 4 2 10" xfId="5700" xr:uid="{00000000-0005-0000-0000-0000831E0000}"/>
    <cellStyle name="Normal 2 55 4 2 10 2" xfId="23471" xr:uid="{00000000-0005-0000-0000-0000841E0000}"/>
    <cellStyle name="Normal 2 55 4 2 11" xfId="5701" xr:uid="{00000000-0005-0000-0000-0000851E0000}"/>
    <cellStyle name="Normal 2 55 4 2 11 2" xfId="23472" xr:uid="{00000000-0005-0000-0000-0000861E0000}"/>
    <cellStyle name="Normal 2 55 4 2 12" xfId="5702" xr:uid="{00000000-0005-0000-0000-0000871E0000}"/>
    <cellStyle name="Normal 2 55 4 2 12 2" xfId="23473" xr:uid="{00000000-0005-0000-0000-0000881E0000}"/>
    <cellStyle name="Normal 2 55 4 2 13" xfId="5703" xr:uid="{00000000-0005-0000-0000-0000891E0000}"/>
    <cellStyle name="Normal 2 55 4 2 13 2" xfId="23474" xr:uid="{00000000-0005-0000-0000-00008A1E0000}"/>
    <cellStyle name="Normal 2 55 4 2 14" xfId="5704" xr:uid="{00000000-0005-0000-0000-00008B1E0000}"/>
    <cellStyle name="Normal 2 55 4 2 14 2" xfId="23475" xr:uid="{00000000-0005-0000-0000-00008C1E0000}"/>
    <cellStyle name="Normal 2 55 4 2 15" xfId="23470" xr:uid="{00000000-0005-0000-0000-00008D1E0000}"/>
    <cellStyle name="Normal 2 55 4 2 2" xfId="5705" xr:uid="{00000000-0005-0000-0000-00008E1E0000}"/>
    <cellStyle name="Normal 2 55 4 2 2 2" xfId="23476" xr:uid="{00000000-0005-0000-0000-00008F1E0000}"/>
    <cellStyle name="Normal 2 55 4 2 3" xfId="5706" xr:uid="{00000000-0005-0000-0000-0000901E0000}"/>
    <cellStyle name="Normal 2 55 4 2 3 2" xfId="23477" xr:uid="{00000000-0005-0000-0000-0000911E0000}"/>
    <cellStyle name="Normal 2 55 4 2 4" xfId="5707" xr:uid="{00000000-0005-0000-0000-0000921E0000}"/>
    <cellStyle name="Normal 2 55 4 2 4 2" xfId="23478" xr:uid="{00000000-0005-0000-0000-0000931E0000}"/>
    <cellStyle name="Normal 2 55 4 2 5" xfId="5708" xr:uid="{00000000-0005-0000-0000-0000941E0000}"/>
    <cellStyle name="Normal 2 55 4 2 5 2" xfId="23479" xr:uid="{00000000-0005-0000-0000-0000951E0000}"/>
    <cellStyle name="Normal 2 55 4 2 6" xfId="5709" xr:uid="{00000000-0005-0000-0000-0000961E0000}"/>
    <cellStyle name="Normal 2 55 4 2 6 2" xfId="23480" xr:uid="{00000000-0005-0000-0000-0000971E0000}"/>
    <cellStyle name="Normal 2 55 4 2 7" xfId="5710" xr:uid="{00000000-0005-0000-0000-0000981E0000}"/>
    <cellStyle name="Normal 2 55 4 2 7 2" xfId="23481" xr:uid="{00000000-0005-0000-0000-0000991E0000}"/>
    <cellStyle name="Normal 2 55 4 2 8" xfId="5711" xr:uid="{00000000-0005-0000-0000-00009A1E0000}"/>
    <cellStyle name="Normal 2 55 4 2 8 2" xfId="23482" xr:uid="{00000000-0005-0000-0000-00009B1E0000}"/>
    <cellStyle name="Normal 2 55 4 2 9" xfId="5712" xr:uid="{00000000-0005-0000-0000-00009C1E0000}"/>
    <cellStyle name="Normal 2 55 4 2 9 2" xfId="23483" xr:uid="{00000000-0005-0000-0000-00009D1E0000}"/>
    <cellStyle name="Normal 2 55 4 3" xfId="5713" xr:uid="{00000000-0005-0000-0000-00009E1E0000}"/>
    <cellStyle name="Normal 2 55 4 3 2" xfId="23484" xr:uid="{00000000-0005-0000-0000-00009F1E0000}"/>
    <cellStyle name="Normal 2 55 4 4" xfId="5714" xr:uid="{00000000-0005-0000-0000-0000A01E0000}"/>
    <cellStyle name="Normal 2 55 4 4 2" xfId="23485" xr:uid="{00000000-0005-0000-0000-0000A11E0000}"/>
    <cellStyle name="Normal 2 55 4 5" xfId="5715" xr:uid="{00000000-0005-0000-0000-0000A21E0000}"/>
    <cellStyle name="Normal 2 55 4 5 2" xfId="23486" xr:uid="{00000000-0005-0000-0000-0000A31E0000}"/>
    <cellStyle name="Normal 2 55 4 6" xfId="5716" xr:uid="{00000000-0005-0000-0000-0000A41E0000}"/>
    <cellStyle name="Normal 2 55 4 6 2" xfId="23487" xr:uid="{00000000-0005-0000-0000-0000A51E0000}"/>
    <cellStyle name="Normal 2 55 4 7" xfId="5717" xr:uid="{00000000-0005-0000-0000-0000A61E0000}"/>
    <cellStyle name="Normal 2 55 4 7 2" xfId="23488" xr:uid="{00000000-0005-0000-0000-0000A71E0000}"/>
    <cellStyle name="Normal 2 55 4 8" xfId="5718" xr:uid="{00000000-0005-0000-0000-0000A81E0000}"/>
    <cellStyle name="Normal 2 55 4 8 2" xfId="23489" xr:uid="{00000000-0005-0000-0000-0000A91E0000}"/>
    <cellStyle name="Normal 2 55 4 9" xfId="5719" xr:uid="{00000000-0005-0000-0000-0000AA1E0000}"/>
    <cellStyle name="Normal 2 55 4 9 2" xfId="23490" xr:uid="{00000000-0005-0000-0000-0000AB1E0000}"/>
    <cellStyle name="Normal 2 55 5" xfId="5720" xr:uid="{00000000-0005-0000-0000-0000AC1E0000}"/>
    <cellStyle name="Normal 2 55 5 10" xfId="5721" xr:uid="{00000000-0005-0000-0000-0000AD1E0000}"/>
    <cellStyle name="Normal 2 55 5 10 2" xfId="23492" xr:uid="{00000000-0005-0000-0000-0000AE1E0000}"/>
    <cellStyle name="Normal 2 55 5 11" xfId="5722" xr:uid="{00000000-0005-0000-0000-0000AF1E0000}"/>
    <cellStyle name="Normal 2 55 5 11 2" xfId="23493" xr:uid="{00000000-0005-0000-0000-0000B01E0000}"/>
    <cellStyle name="Normal 2 55 5 12" xfId="5723" xr:uid="{00000000-0005-0000-0000-0000B11E0000}"/>
    <cellStyle name="Normal 2 55 5 12 2" xfId="23494" xr:uid="{00000000-0005-0000-0000-0000B21E0000}"/>
    <cellStyle name="Normal 2 55 5 13" xfId="5724" xr:uid="{00000000-0005-0000-0000-0000B31E0000}"/>
    <cellStyle name="Normal 2 55 5 13 2" xfId="23495" xr:uid="{00000000-0005-0000-0000-0000B41E0000}"/>
    <cellStyle name="Normal 2 55 5 14" xfId="5725" xr:uid="{00000000-0005-0000-0000-0000B51E0000}"/>
    <cellStyle name="Normal 2 55 5 14 2" xfId="23496" xr:uid="{00000000-0005-0000-0000-0000B61E0000}"/>
    <cellStyle name="Normal 2 55 5 15" xfId="23491" xr:uid="{00000000-0005-0000-0000-0000B71E0000}"/>
    <cellStyle name="Normal 2 55 5 2" xfId="5726" xr:uid="{00000000-0005-0000-0000-0000B81E0000}"/>
    <cellStyle name="Normal 2 55 5 2 2" xfId="23497" xr:uid="{00000000-0005-0000-0000-0000B91E0000}"/>
    <cellStyle name="Normal 2 55 5 3" xfId="5727" xr:uid="{00000000-0005-0000-0000-0000BA1E0000}"/>
    <cellStyle name="Normal 2 55 5 3 2" xfId="23498" xr:uid="{00000000-0005-0000-0000-0000BB1E0000}"/>
    <cellStyle name="Normal 2 55 5 4" xfId="5728" xr:uid="{00000000-0005-0000-0000-0000BC1E0000}"/>
    <cellStyle name="Normal 2 55 5 4 2" xfId="23499" xr:uid="{00000000-0005-0000-0000-0000BD1E0000}"/>
    <cellStyle name="Normal 2 55 5 5" xfId="5729" xr:uid="{00000000-0005-0000-0000-0000BE1E0000}"/>
    <cellStyle name="Normal 2 55 5 5 2" xfId="23500" xr:uid="{00000000-0005-0000-0000-0000BF1E0000}"/>
    <cellStyle name="Normal 2 55 5 6" xfId="5730" xr:uid="{00000000-0005-0000-0000-0000C01E0000}"/>
    <cellStyle name="Normal 2 55 5 6 2" xfId="23501" xr:uid="{00000000-0005-0000-0000-0000C11E0000}"/>
    <cellStyle name="Normal 2 55 5 7" xfId="5731" xr:uid="{00000000-0005-0000-0000-0000C21E0000}"/>
    <cellStyle name="Normal 2 55 5 7 2" xfId="23502" xr:uid="{00000000-0005-0000-0000-0000C31E0000}"/>
    <cellStyle name="Normal 2 55 5 8" xfId="5732" xr:uid="{00000000-0005-0000-0000-0000C41E0000}"/>
    <cellStyle name="Normal 2 55 5 8 2" xfId="23503" xr:uid="{00000000-0005-0000-0000-0000C51E0000}"/>
    <cellStyle name="Normal 2 55 5 9" xfId="5733" xr:uid="{00000000-0005-0000-0000-0000C61E0000}"/>
    <cellStyle name="Normal 2 55 5 9 2" xfId="23504" xr:uid="{00000000-0005-0000-0000-0000C71E0000}"/>
    <cellStyle name="Normal 2 55 6" xfId="5734" xr:uid="{00000000-0005-0000-0000-0000C81E0000}"/>
    <cellStyle name="Normal 2 55 6 10" xfId="5735" xr:uid="{00000000-0005-0000-0000-0000C91E0000}"/>
    <cellStyle name="Normal 2 55 6 10 2" xfId="23506" xr:uid="{00000000-0005-0000-0000-0000CA1E0000}"/>
    <cellStyle name="Normal 2 55 6 11" xfId="5736" xr:uid="{00000000-0005-0000-0000-0000CB1E0000}"/>
    <cellStyle name="Normal 2 55 6 11 2" xfId="23507" xr:uid="{00000000-0005-0000-0000-0000CC1E0000}"/>
    <cellStyle name="Normal 2 55 6 12" xfId="5737" xr:uid="{00000000-0005-0000-0000-0000CD1E0000}"/>
    <cellStyle name="Normal 2 55 6 12 2" xfId="23508" xr:uid="{00000000-0005-0000-0000-0000CE1E0000}"/>
    <cellStyle name="Normal 2 55 6 13" xfId="5738" xr:uid="{00000000-0005-0000-0000-0000CF1E0000}"/>
    <cellStyle name="Normal 2 55 6 13 2" xfId="23509" xr:uid="{00000000-0005-0000-0000-0000D01E0000}"/>
    <cellStyle name="Normal 2 55 6 14" xfId="5739" xr:uid="{00000000-0005-0000-0000-0000D11E0000}"/>
    <cellStyle name="Normal 2 55 6 14 2" xfId="23510" xr:uid="{00000000-0005-0000-0000-0000D21E0000}"/>
    <cellStyle name="Normal 2 55 6 15" xfId="23505" xr:uid="{00000000-0005-0000-0000-0000D31E0000}"/>
    <cellStyle name="Normal 2 55 6 2" xfId="5740" xr:uid="{00000000-0005-0000-0000-0000D41E0000}"/>
    <cellStyle name="Normal 2 55 6 2 2" xfId="23511" xr:uid="{00000000-0005-0000-0000-0000D51E0000}"/>
    <cellStyle name="Normal 2 55 6 3" xfId="5741" xr:uid="{00000000-0005-0000-0000-0000D61E0000}"/>
    <cellStyle name="Normal 2 55 6 3 2" xfId="23512" xr:uid="{00000000-0005-0000-0000-0000D71E0000}"/>
    <cellStyle name="Normal 2 55 6 4" xfId="5742" xr:uid="{00000000-0005-0000-0000-0000D81E0000}"/>
    <cellStyle name="Normal 2 55 6 4 2" xfId="23513" xr:uid="{00000000-0005-0000-0000-0000D91E0000}"/>
    <cellStyle name="Normal 2 55 6 5" xfId="5743" xr:uid="{00000000-0005-0000-0000-0000DA1E0000}"/>
    <cellStyle name="Normal 2 55 6 5 2" xfId="23514" xr:uid="{00000000-0005-0000-0000-0000DB1E0000}"/>
    <cellStyle name="Normal 2 55 6 6" xfId="5744" xr:uid="{00000000-0005-0000-0000-0000DC1E0000}"/>
    <cellStyle name="Normal 2 55 6 6 2" xfId="23515" xr:uid="{00000000-0005-0000-0000-0000DD1E0000}"/>
    <cellStyle name="Normal 2 55 6 7" xfId="5745" xr:uid="{00000000-0005-0000-0000-0000DE1E0000}"/>
    <cellStyle name="Normal 2 55 6 7 2" xfId="23516" xr:uid="{00000000-0005-0000-0000-0000DF1E0000}"/>
    <cellStyle name="Normal 2 55 6 8" xfId="5746" xr:uid="{00000000-0005-0000-0000-0000E01E0000}"/>
    <cellStyle name="Normal 2 55 6 8 2" xfId="23517" xr:uid="{00000000-0005-0000-0000-0000E11E0000}"/>
    <cellStyle name="Normal 2 55 6 9" xfId="5747" xr:uid="{00000000-0005-0000-0000-0000E21E0000}"/>
    <cellStyle name="Normal 2 55 6 9 2" xfId="23518" xr:uid="{00000000-0005-0000-0000-0000E31E0000}"/>
    <cellStyle name="Normal 2 55 7" xfId="5748" xr:uid="{00000000-0005-0000-0000-0000E41E0000}"/>
    <cellStyle name="Normal 2 55 7 10" xfId="5749" xr:uid="{00000000-0005-0000-0000-0000E51E0000}"/>
    <cellStyle name="Normal 2 55 7 10 2" xfId="23520" xr:uid="{00000000-0005-0000-0000-0000E61E0000}"/>
    <cellStyle name="Normal 2 55 7 11" xfId="5750" xr:uid="{00000000-0005-0000-0000-0000E71E0000}"/>
    <cellStyle name="Normal 2 55 7 11 2" xfId="23521" xr:uid="{00000000-0005-0000-0000-0000E81E0000}"/>
    <cellStyle name="Normal 2 55 7 12" xfId="5751" xr:uid="{00000000-0005-0000-0000-0000E91E0000}"/>
    <cellStyle name="Normal 2 55 7 12 2" xfId="23522" xr:uid="{00000000-0005-0000-0000-0000EA1E0000}"/>
    <cellStyle name="Normal 2 55 7 13" xfId="5752" xr:uid="{00000000-0005-0000-0000-0000EB1E0000}"/>
    <cellStyle name="Normal 2 55 7 13 2" xfId="23523" xr:uid="{00000000-0005-0000-0000-0000EC1E0000}"/>
    <cellStyle name="Normal 2 55 7 14" xfId="5753" xr:uid="{00000000-0005-0000-0000-0000ED1E0000}"/>
    <cellStyle name="Normal 2 55 7 14 2" xfId="23524" xr:uid="{00000000-0005-0000-0000-0000EE1E0000}"/>
    <cellStyle name="Normal 2 55 7 15" xfId="23519" xr:uid="{00000000-0005-0000-0000-0000EF1E0000}"/>
    <cellStyle name="Normal 2 55 7 2" xfId="5754" xr:uid="{00000000-0005-0000-0000-0000F01E0000}"/>
    <cellStyle name="Normal 2 55 7 2 2" xfId="23525" xr:uid="{00000000-0005-0000-0000-0000F11E0000}"/>
    <cellStyle name="Normal 2 55 7 3" xfId="5755" xr:uid="{00000000-0005-0000-0000-0000F21E0000}"/>
    <cellStyle name="Normal 2 55 7 3 2" xfId="23526" xr:uid="{00000000-0005-0000-0000-0000F31E0000}"/>
    <cellStyle name="Normal 2 55 7 4" xfId="5756" xr:uid="{00000000-0005-0000-0000-0000F41E0000}"/>
    <cellStyle name="Normal 2 55 7 4 2" xfId="23527" xr:uid="{00000000-0005-0000-0000-0000F51E0000}"/>
    <cellStyle name="Normal 2 55 7 5" xfId="5757" xr:uid="{00000000-0005-0000-0000-0000F61E0000}"/>
    <cellStyle name="Normal 2 55 7 5 2" xfId="23528" xr:uid="{00000000-0005-0000-0000-0000F71E0000}"/>
    <cellStyle name="Normal 2 55 7 6" xfId="5758" xr:uid="{00000000-0005-0000-0000-0000F81E0000}"/>
    <cellStyle name="Normal 2 55 7 6 2" xfId="23529" xr:uid="{00000000-0005-0000-0000-0000F91E0000}"/>
    <cellStyle name="Normal 2 55 7 7" xfId="5759" xr:uid="{00000000-0005-0000-0000-0000FA1E0000}"/>
    <cellStyle name="Normal 2 55 7 7 2" xfId="23530" xr:uid="{00000000-0005-0000-0000-0000FB1E0000}"/>
    <cellStyle name="Normal 2 55 7 8" xfId="5760" xr:uid="{00000000-0005-0000-0000-0000FC1E0000}"/>
    <cellStyle name="Normal 2 55 7 8 2" xfId="23531" xr:uid="{00000000-0005-0000-0000-0000FD1E0000}"/>
    <cellStyle name="Normal 2 55 7 9" xfId="5761" xr:uid="{00000000-0005-0000-0000-0000FE1E0000}"/>
    <cellStyle name="Normal 2 55 7 9 2" xfId="23532" xr:uid="{00000000-0005-0000-0000-0000FF1E0000}"/>
    <cellStyle name="Normal 2 55 8" xfId="5762" xr:uid="{00000000-0005-0000-0000-0000001F0000}"/>
    <cellStyle name="Normal 2 55 8 10" xfId="5763" xr:uid="{00000000-0005-0000-0000-0000011F0000}"/>
    <cellStyle name="Normal 2 55 8 10 2" xfId="23534" xr:uid="{00000000-0005-0000-0000-0000021F0000}"/>
    <cellStyle name="Normal 2 55 8 11" xfId="5764" xr:uid="{00000000-0005-0000-0000-0000031F0000}"/>
    <cellStyle name="Normal 2 55 8 11 2" xfId="23535" xr:uid="{00000000-0005-0000-0000-0000041F0000}"/>
    <cellStyle name="Normal 2 55 8 12" xfId="5765" xr:uid="{00000000-0005-0000-0000-0000051F0000}"/>
    <cellStyle name="Normal 2 55 8 12 2" xfId="23536" xr:uid="{00000000-0005-0000-0000-0000061F0000}"/>
    <cellStyle name="Normal 2 55 8 13" xfId="5766" xr:uid="{00000000-0005-0000-0000-0000071F0000}"/>
    <cellStyle name="Normal 2 55 8 13 2" xfId="23537" xr:uid="{00000000-0005-0000-0000-0000081F0000}"/>
    <cellStyle name="Normal 2 55 8 14" xfId="5767" xr:uid="{00000000-0005-0000-0000-0000091F0000}"/>
    <cellStyle name="Normal 2 55 8 14 2" xfId="23538" xr:uid="{00000000-0005-0000-0000-00000A1F0000}"/>
    <cellStyle name="Normal 2 55 8 15" xfId="23533" xr:uid="{00000000-0005-0000-0000-00000B1F0000}"/>
    <cellStyle name="Normal 2 55 8 2" xfId="5768" xr:uid="{00000000-0005-0000-0000-00000C1F0000}"/>
    <cellStyle name="Normal 2 55 8 2 2" xfId="23539" xr:uid="{00000000-0005-0000-0000-00000D1F0000}"/>
    <cellStyle name="Normal 2 55 8 3" xfId="5769" xr:uid="{00000000-0005-0000-0000-00000E1F0000}"/>
    <cellStyle name="Normal 2 55 8 3 2" xfId="23540" xr:uid="{00000000-0005-0000-0000-00000F1F0000}"/>
    <cellStyle name="Normal 2 55 8 4" xfId="5770" xr:uid="{00000000-0005-0000-0000-0000101F0000}"/>
    <cellStyle name="Normal 2 55 8 4 2" xfId="23541" xr:uid="{00000000-0005-0000-0000-0000111F0000}"/>
    <cellStyle name="Normal 2 55 8 5" xfId="5771" xr:uid="{00000000-0005-0000-0000-0000121F0000}"/>
    <cellStyle name="Normal 2 55 8 5 2" xfId="23542" xr:uid="{00000000-0005-0000-0000-0000131F0000}"/>
    <cellStyle name="Normal 2 55 8 6" xfId="5772" xr:uid="{00000000-0005-0000-0000-0000141F0000}"/>
    <cellStyle name="Normal 2 55 8 6 2" xfId="23543" xr:uid="{00000000-0005-0000-0000-0000151F0000}"/>
    <cellStyle name="Normal 2 55 8 7" xfId="5773" xr:uid="{00000000-0005-0000-0000-0000161F0000}"/>
    <cellStyle name="Normal 2 55 8 7 2" xfId="23544" xr:uid="{00000000-0005-0000-0000-0000171F0000}"/>
    <cellStyle name="Normal 2 55 8 8" xfId="5774" xr:uid="{00000000-0005-0000-0000-0000181F0000}"/>
    <cellStyle name="Normal 2 55 8 8 2" xfId="23545" xr:uid="{00000000-0005-0000-0000-0000191F0000}"/>
    <cellStyle name="Normal 2 55 8 9" xfId="5775" xr:uid="{00000000-0005-0000-0000-00001A1F0000}"/>
    <cellStyle name="Normal 2 55 8 9 2" xfId="23546" xr:uid="{00000000-0005-0000-0000-00001B1F0000}"/>
    <cellStyle name="Normal 2 55 9" xfId="5776" xr:uid="{00000000-0005-0000-0000-00001C1F0000}"/>
    <cellStyle name="Normal 2 55 9 10" xfId="5777" xr:uid="{00000000-0005-0000-0000-00001D1F0000}"/>
    <cellStyle name="Normal 2 55 9 10 2" xfId="23548" xr:uid="{00000000-0005-0000-0000-00001E1F0000}"/>
    <cellStyle name="Normal 2 55 9 11" xfId="5778" xr:uid="{00000000-0005-0000-0000-00001F1F0000}"/>
    <cellStyle name="Normal 2 55 9 11 2" xfId="23549" xr:uid="{00000000-0005-0000-0000-0000201F0000}"/>
    <cellStyle name="Normal 2 55 9 12" xfId="5779" xr:uid="{00000000-0005-0000-0000-0000211F0000}"/>
    <cellStyle name="Normal 2 55 9 12 2" xfId="23550" xr:uid="{00000000-0005-0000-0000-0000221F0000}"/>
    <cellStyle name="Normal 2 55 9 13" xfId="5780" xr:uid="{00000000-0005-0000-0000-0000231F0000}"/>
    <cellStyle name="Normal 2 55 9 13 2" xfId="23551" xr:uid="{00000000-0005-0000-0000-0000241F0000}"/>
    <cellStyle name="Normal 2 55 9 14" xfId="5781" xr:uid="{00000000-0005-0000-0000-0000251F0000}"/>
    <cellStyle name="Normal 2 55 9 14 2" xfId="23552" xr:uid="{00000000-0005-0000-0000-0000261F0000}"/>
    <cellStyle name="Normal 2 55 9 15" xfId="23547" xr:uid="{00000000-0005-0000-0000-0000271F0000}"/>
    <cellStyle name="Normal 2 55 9 2" xfId="5782" xr:uid="{00000000-0005-0000-0000-0000281F0000}"/>
    <cellStyle name="Normal 2 55 9 2 2" xfId="23553" xr:uid="{00000000-0005-0000-0000-0000291F0000}"/>
    <cellStyle name="Normal 2 55 9 3" xfId="5783" xr:uid="{00000000-0005-0000-0000-00002A1F0000}"/>
    <cellStyle name="Normal 2 55 9 3 2" xfId="23554" xr:uid="{00000000-0005-0000-0000-00002B1F0000}"/>
    <cellStyle name="Normal 2 55 9 4" xfId="5784" xr:uid="{00000000-0005-0000-0000-00002C1F0000}"/>
    <cellStyle name="Normal 2 55 9 4 2" xfId="23555" xr:uid="{00000000-0005-0000-0000-00002D1F0000}"/>
    <cellStyle name="Normal 2 55 9 5" xfId="5785" xr:uid="{00000000-0005-0000-0000-00002E1F0000}"/>
    <cellStyle name="Normal 2 55 9 5 2" xfId="23556" xr:uid="{00000000-0005-0000-0000-00002F1F0000}"/>
    <cellStyle name="Normal 2 55 9 6" xfId="5786" xr:uid="{00000000-0005-0000-0000-0000301F0000}"/>
    <cellStyle name="Normal 2 55 9 6 2" xfId="23557" xr:uid="{00000000-0005-0000-0000-0000311F0000}"/>
    <cellStyle name="Normal 2 55 9 7" xfId="5787" xr:uid="{00000000-0005-0000-0000-0000321F0000}"/>
    <cellStyle name="Normal 2 55 9 7 2" xfId="23558" xr:uid="{00000000-0005-0000-0000-0000331F0000}"/>
    <cellStyle name="Normal 2 55 9 8" xfId="5788" xr:uid="{00000000-0005-0000-0000-0000341F0000}"/>
    <cellStyle name="Normal 2 55 9 8 2" xfId="23559" xr:uid="{00000000-0005-0000-0000-0000351F0000}"/>
    <cellStyle name="Normal 2 55 9 9" xfId="5789" xr:uid="{00000000-0005-0000-0000-0000361F0000}"/>
    <cellStyle name="Normal 2 55 9 9 2" xfId="23560" xr:uid="{00000000-0005-0000-0000-0000371F0000}"/>
    <cellStyle name="Normal 2 56" xfId="5790" xr:uid="{00000000-0005-0000-0000-0000381F0000}"/>
    <cellStyle name="Normal 2 56 10" xfId="5791" xr:uid="{00000000-0005-0000-0000-0000391F0000}"/>
    <cellStyle name="Normal 2 56 10 10" xfId="5792" xr:uid="{00000000-0005-0000-0000-00003A1F0000}"/>
    <cellStyle name="Normal 2 56 10 10 2" xfId="23563" xr:uid="{00000000-0005-0000-0000-00003B1F0000}"/>
    <cellStyle name="Normal 2 56 10 11" xfId="5793" xr:uid="{00000000-0005-0000-0000-00003C1F0000}"/>
    <cellStyle name="Normal 2 56 10 11 2" xfId="23564" xr:uid="{00000000-0005-0000-0000-00003D1F0000}"/>
    <cellStyle name="Normal 2 56 10 12" xfId="5794" xr:uid="{00000000-0005-0000-0000-00003E1F0000}"/>
    <cellStyle name="Normal 2 56 10 12 2" xfId="23565" xr:uid="{00000000-0005-0000-0000-00003F1F0000}"/>
    <cellStyle name="Normal 2 56 10 13" xfId="5795" xr:uid="{00000000-0005-0000-0000-0000401F0000}"/>
    <cellStyle name="Normal 2 56 10 13 2" xfId="23566" xr:uid="{00000000-0005-0000-0000-0000411F0000}"/>
    <cellStyle name="Normal 2 56 10 14" xfId="5796" xr:uid="{00000000-0005-0000-0000-0000421F0000}"/>
    <cellStyle name="Normal 2 56 10 14 2" xfId="23567" xr:uid="{00000000-0005-0000-0000-0000431F0000}"/>
    <cellStyle name="Normal 2 56 10 15" xfId="23562" xr:uid="{00000000-0005-0000-0000-0000441F0000}"/>
    <cellStyle name="Normal 2 56 10 2" xfId="5797" xr:uid="{00000000-0005-0000-0000-0000451F0000}"/>
    <cellStyle name="Normal 2 56 10 2 2" xfId="23568" xr:uid="{00000000-0005-0000-0000-0000461F0000}"/>
    <cellStyle name="Normal 2 56 10 3" xfId="5798" xr:uid="{00000000-0005-0000-0000-0000471F0000}"/>
    <cellStyle name="Normal 2 56 10 3 2" xfId="23569" xr:uid="{00000000-0005-0000-0000-0000481F0000}"/>
    <cellStyle name="Normal 2 56 10 4" xfId="5799" xr:uid="{00000000-0005-0000-0000-0000491F0000}"/>
    <cellStyle name="Normal 2 56 10 4 2" xfId="23570" xr:uid="{00000000-0005-0000-0000-00004A1F0000}"/>
    <cellStyle name="Normal 2 56 10 5" xfId="5800" xr:uid="{00000000-0005-0000-0000-00004B1F0000}"/>
    <cellStyle name="Normal 2 56 10 5 2" xfId="23571" xr:uid="{00000000-0005-0000-0000-00004C1F0000}"/>
    <cellStyle name="Normal 2 56 10 6" xfId="5801" xr:uid="{00000000-0005-0000-0000-00004D1F0000}"/>
    <cellStyle name="Normal 2 56 10 6 2" xfId="23572" xr:uid="{00000000-0005-0000-0000-00004E1F0000}"/>
    <cellStyle name="Normal 2 56 10 7" xfId="5802" xr:uid="{00000000-0005-0000-0000-00004F1F0000}"/>
    <cellStyle name="Normal 2 56 10 7 2" xfId="23573" xr:uid="{00000000-0005-0000-0000-0000501F0000}"/>
    <cellStyle name="Normal 2 56 10 8" xfId="5803" xr:uid="{00000000-0005-0000-0000-0000511F0000}"/>
    <cellStyle name="Normal 2 56 10 8 2" xfId="23574" xr:uid="{00000000-0005-0000-0000-0000521F0000}"/>
    <cellStyle name="Normal 2 56 10 9" xfId="5804" xr:uid="{00000000-0005-0000-0000-0000531F0000}"/>
    <cellStyle name="Normal 2 56 10 9 2" xfId="23575" xr:uid="{00000000-0005-0000-0000-0000541F0000}"/>
    <cellStyle name="Normal 2 56 11" xfId="5805" xr:uid="{00000000-0005-0000-0000-0000551F0000}"/>
    <cellStyle name="Normal 2 56 11 2" xfId="23576" xr:uid="{00000000-0005-0000-0000-0000561F0000}"/>
    <cellStyle name="Normal 2 56 12" xfId="5806" xr:uid="{00000000-0005-0000-0000-0000571F0000}"/>
    <cellStyle name="Normal 2 56 12 2" xfId="23577" xr:uid="{00000000-0005-0000-0000-0000581F0000}"/>
    <cellStyle name="Normal 2 56 13" xfId="5807" xr:uid="{00000000-0005-0000-0000-0000591F0000}"/>
    <cellStyle name="Normal 2 56 13 2" xfId="23578" xr:uid="{00000000-0005-0000-0000-00005A1F0000}"/>
    <cellStyle name="Normal 2 56 14" xfId="5808" xr:uid="{00000000-0005-0000-0000-00005B1F0000}"/>
    <cellStyle name="Normal 2 56 14 2" xfId="23579" xr:uid="{00000000-0005-0000-0000-00005C1F0000}"/>
    <cellStyle name="Normal 2 56 15" xfId="5809" xr:uid="{00000000-0005-0000-0000-00005D1F0000}"/>
    <cellStyle name="Normal 2 56 15 2" xfId="23580" xr:uid="{00000000-0005-0000-0000-00005E1F0000}"/>
    <cellStyle name="Normal 2 56 16" xfId="5810" xr:uid="{00000000-0005-0000-0000-00005F1F0000}"/>
    <cellStyle name="Normal 2 56 16 2" xfId="23581" xr:uid="{00000000-0005-0000-0000-0000601F0000}"/>
    <cellStyle name="Normal 2 56 17" xfId="5811" xr:uid="{00000000-0005-0000-0000-0000611F0000}"/>
    <cellStyle name="Normal 2 56 17 2" xfId="23582" xr:uid="{00000000-0005-0000-0000-0000621F0000}"/>
    <cellStyle name="Normal 2 56 18" xfId="5812" xr:uid="{00000000-0005-0000-0000-0000631F0000}"/>
    <cellStyle name="Normal 2 56 18 2" xfId="23583" xr:uid="{00000000-0005-0000-0000-0000641F0000}"/>
    <cellStyle name="Normal 2 56 19" xfId="5813" xr:uid="{00000000-0005-0000-0000-0000651F0000}"/>
    <cellStyle name="Normal 2 56 19 2" xfId="23584" xr:uid="{00000000-0005-0000-0000-0000661F0000}"/>
    <cellStyle name="Normal 2 56 2" xfId="5814" xr:uid="{00000000-0005-0000-0000-0000671F0000}"/>
    <cellStyle name="Normal 2 56 2 10" xfId="5815" xr:uid="{00000000-0005-0000-0000-0000681F0000}"/>
    <cellStyle name="Normal 2 56 2 10 2" xfId="23586" xr:uid="{00000000-0005-0000-0000-0000691F0000}"/>
    <cellStyle name="Normal 2 56 2 11" xfId="5816" xr:uid="{00000000-0005-0000-0000-00006A1F0000}"/>
    <cellStyle name="Normal 2 56 2 11 2" xfId="23587" xr:uid="{00000000-0005-0000-0000-00006B1F0000}"/>
    <cellStyle name="Normal 2 56 2 12" xfId="5817" xr:uid="{00000000-0005-0000-0000-00006C1F0000}"/>
    <cellStyle name="Normal 2 56 2 12 2" xfId="23588" xr:uid="{00000000-0005-0000-0000-00006D1F0000}"/>
    <cellStyle name="Normal 2 56 2 13" xfId="5818" xr:uid="{00000000-0005-0000-0000-00006E1F0000}"/>
    <cellStyle name="Normal 2 56 2 13 2" xfId="23589" xr:uid="{00000000-0005-0000-0000-00006F1F0000}"/>
    <cellStyle name="Normal 2 56 2 14" xfId="5819" xr:uid="{00000000-0005-0000-0000-0000701F0000}"/>
    <cellStyle name="Normal 2 56 2 14 2" xfId="23590" xr:uid="{00000000-0005-0000-0000-0000711F0000}"/>
    <cellStyle name="Normal 2 56 2 15" xfId="5820" xr:uid="{00000000-0005-0000-0000-0000721F0000}"/>
    <cellStyle name="Normal 2 56 2 15 2" xfId="23591" xr:uid="{00000000-0005-0000-0000-0000731F0000}"/>
    <cellStyle name="Normal 2 56 2 16" xfId="23585" xr:uid="{00000000-0005-0000-0000-0000741F0000}"/>
    <cellStyle name="Normal 2 56 2 2" xfId="5821" xr:uid="{00000000-0005-0000-0000-0000751F0000}"/>
    <cellStyle name="Normal 2 56 2 2 10" xfId="5822" xr:uid="{00000000-0005-0000-0000-0000761F0000}"/>
    <cellStyle name="Normal 2 56 2 2 10 2" xfId="23593" xr:uid="{00000000-0005-0000-0000-0000771F0000}"/>
    <cellStyle name="Normal 2 56 2 2 11" xfId="5823" xr:uid="{00000000-0005-0000-0000-0000781F0000}"/>
    <cellStyle name="Normal 2 56 2 2 11 2" xfId="23594" xr:uid="{00000000-0005-0000-0000-0000791F0000}"/>
    <cellStyle name="Normal 2 56 2 2 12" xfId="5824" xr:uid="{00000000-0005-0000-0000-00007A1F0000}"/>
    <cellStyle name="Normal 2 56 2 2 12 2" xfId="23595" xr:uid="{00000000-0005-0000-0000-00007B1F0000}"/>
    <cellStyle name="Normal 2 56 2 2 13" xfId="5825" xr:uid="{00000000-0005-0000-0000-00007C1F0000}"/>
    <cellStyle name="Normal 2 56 2 2 13 2" xfId="23596" xr:uid="{00000000-0005-0000-0000-00007D1F0000}"/>
    <cellStyle name="Normal 2 56 2 2 14" xfId="5826" xr:uid="{00000000-0005-0000-0000-00007E1F0000}"/>
    <cellStyle name="Normal 2 56 2 2 14 2" xfId="23597" xr:uid="{00000000-0005-0000-0000-00007F1F0000}"/>
    <cellStyle name="Normal 2 56 2 2 15" xfId="23592" xr:uid="{00000000-0005-0000-0000-0000801F0000}"/>
    <cellStyle name="Normal 2 56 2 2 2" xfId="5827" xr:uid="{00000000-0005-0000-0000-0000811F0000}"/>
    <cellStyle name="Normal 2 56 2 2 2 2" xfId="23598" xr:uid="{00000000-0005-0000-0000-0000821F0000}"/>
    <cellStyle name="Normal 2 56 2 2 3" xfId="5828" xr:uid="{00000000-0005-0000-0000-0000831F0000}"/>
    <cellStyle name="Normal 2 56 2 2 3 2" xfId="23599" xr:uid="{00000000-0005-0000-0000-0000841F0000}"/>
    <cellStyle name="Normal 2 56 2 2 4" xfId="5829" xr:uid="{00000000-0005-0000-0000-0000851F0000}"/>
    <cellStyle name="Normal 2 56 2 2 4 2" xfId="23600" xr:uid="{00000000-0005-0000-0000-0000861F0000}"/>
    <cellStyle name="Normal 2 56 2 2 5" xfId="5830" xr:uid="{00000000-0005-0000-0000-0000871F0000}"/>
    <cellStyle name="Normal 2 56 2 2 5 2" xfId="23601" xr:uid="{00000000-0005-0000-0000-0000881F0000}"/>
    <cellStyle name="Normal 2 56 2 2 6" xfId="5831" xr:uid="{00000000-0005-0000-0000-0000891F0000}"/>
    <cellStyle name="Normal 2 56 2 2 6 2" xfId="23602" xr:uid="{00000000-0005-0000-0000-00008A1F0000}"/>
    <cellStyle name="Normal 2 56 2 2 7" xfId="5832" xr:uid="{00000000-0005-0000-0000-00008B1F0000}"/>
    <cellStyle name="Normal 2 56 2 2 7 2" xfId="23603" xr:uid="{00000000-0005-0000-0000-00008C1F0000}"/>
    <cellStyle name="Normal 2 56 2 2 8" xfId="5833" xr:uid="{00000000-0005-0000-0000-00008D1F0000}"/>
    <cellStyle name="Normal 2 56 2 2 8 2" xfId="23604" xr:uid="{00000000-0005-0000-0000-00008E1F0000}"/>
    <cellStyle name="Normal 2 56 2 2 9" xfId="5834" xr:uid="{00000000-0005-0000-0000-00008F1F0000}"/>
    <cellStyle name="Normal 2 56 2 2 9 2" xfId="23605" xr:uid="{00000000-0005-0000-0000-0000901F0000}"/>
    <cellStyle name="Normal 2 56 2 3" xfId="5835" xr:uid="{00000000-0005-0000-0000-0000911F0000}"/>
    <cellStyle name="Normal 2 56 2 3 2" xfId="23606" xr:uid="{00000000-0005-0000-0000-0000921F0000}"/>
    <cellStyle name="Normal 2 56 2 4" xfId="5836" xr:uid="{00000000-0005-0000-0000-0000931F0000}"/>
    <cellStyle name="Normal 2 56 2 4 2" xfId="23607" xr:uid="{00000000-0005-0000-0000-0000941F0000}"/>
    <cellStyle name="Normal 2 56 2 5" xfId="5837" xr:uid="{00000000-0005-0000-0000-0000951F0000}"/>
    <cellStyle name="Normal 2 56 2 5 2" xfId="23608" xr:uid="{00000000-0005-0000-0000-0000961F0000}"/>
    <cellStyle name="Normal 2 56 2 6" xfId="5838" xr:uid="{00000000-0005-0000-0000-0000971F0000}"/>
    <cellStyle name="Normal 2 56 2 6 2" xfId="23609" xr:uid="{00000000-0005-0000-0000-0000981F0000}"/>
    <cellStyle name="Normal 2 56 2 7" xfId="5839" xr:uid="{00000000-0005-0000-0000-0000991F0000}"/>
    <cellStyle name="Normal 2 56 2 7 2" xfId="23610" xr:uid="{00000000-0005-0000-0000-00009A1F0000}"/>
    <cellStyle name="Normal 2 56 2 8" xfId="5840" xr:uid="{00000000-0005-0000-0000-00009B1F0000}"/>
    <cellStyle name="Normal 2 56 2 8 2" xfId="23611" xr:uid="{00000000-0005-0000-0000-00009C1F0000}"/>
    <cellStyle name="Normal 2 56 2 9" xfId="5841" xr:uid="{00000000-0005-0000-0000-00009D1F0000}"/>
    <cellStyle name="Normal 2 56 2 9 2" xfId="23612" xr:uid="{00000000-0005-0000-0000-00009E1F0000}"/>
    <cellStyle name="Normal 2 56 20" xfId="5842" xr:uid="{00000000-0005-0000-0000-00009F1F0000}"/>
    <cellStyle name="Normal 2 56 20 2" xfId="23613" xr:uid="{00000000-0005-0000-0000-0000A01F0000}"/>
    <cellStyle name="Normal 2 56 21" xfId="5843" xr:uid="{00000000-0005-0000-0000-0000A11F0000}"/>
    <cellStyle name="Normal 2 56 21 2" xfId="23614" xr:uid="{00000000-0005-0000-0000-0000A21F0000}"/>
    <cellStyle name="Normal 2 56 22" xfId="5844" xr:uid="{00000000-0005-0000-0000-0000A31F0000}"/>
    <cellStyle name="Normal 2 56 22 2" xfId="23615" xr:uid="{00000000-0005-0000-0000-0000A41F0000}"/>
    <cellStyle name="Normal 2 56 23" xfId="5845" xr:uid="{00000000-0005-0000-0000-0000A51F0000}"/>
    <cellStyle name="Normal 2 56 23 2" xfId="23616" xr:uid="{00000000-0005-0000-0000-0000A61F0000}"/>
    <cellStyle name="Normal 2 56 24" xfId="23561" xr:uid="{00000000-0005-0000-0000-0000A71F0000}"/>
    <cellStyle name="Normal 2 56 3" xfId="5846" xr:uid="{00000000-0005-0000-0000-0000A81F0000}"/>
    <cellStyle name="Normal 2 56 3 10" xfId="5847" xr:uid="{00000000-0005-0000-0000-0000A91F0000}"/>
    <cellStyle name="Normal 2 56 3 10 2" xfId="23618" xr:uid="{00000000-0005-0000-0000-0000AA1F0000}"/>
    <cellStyle name="Normal 2 56 3 11" xfId="5848" xr:uid="{00000000-0005-0000-0000-0000AB1F0000}"/>
    <cellStyle name="Normal 2 56 3 11 2" xfId="23619" xr:uid="{00000000-0005-0000-0000-0000AC1F0000}"/>
    <cellStyle name="Normal 2 56 3 12" xfId="5849" xr:uid="{00000000-0005-0000-0000-0000AD1F0000}"/>
    <cellStyle name="Normal 2 56 3 12 2" xfId="23620" xr:uid="{00000000-0005-0000-0000-0000AE1F0000}"/>
    <cellStyle name="Normal 2 56 3 13" xfId="5850" xr:uid="{00000000-0005-0000-0000-0000AF1F0000}"/>
    <cellStyle name="Normal 2 56 3 13 2" xfId="23621" xr:uid="{00000000-0005-0000-0000-0000B01F0000}"/>
    <cellStyle name="Normal 2 56 3 14" xfId="5851" xr:uid="{00000000-0005-0000-0000-0000B11F0000}"/>
    <cellStyle name="Normal 2 56 3 14 2" xfId="23622" xr:uid="{00000000-0005-0000-0000-0000B21F0000}"/>
    <cellStyle name="Normal 2 56 3 15" xfId="5852" xr:uid="{00000000-0005-0000-0000-0000B31F0000}"/>
    <cellStyle name="Normal 2 56 3 15 2" xfId="23623" xr:uid="{00000000-0005-0000-0000-0000B41F0000}"/>
    <cellStyle name="Normal 2 56 3 16" xfId="23617" xr:uid="{00000000-0005-0000-0000-0000B51F0000}"/>
    <cellStyle name="Normal 2 56 3 2" xfId="5853" xr:uid="{00000000-0005-0000-0000-0000B61F0000}"/>
    <cellStyle name="Normal 2 56 3 2 10" xfId="5854" xr:uid="{00000000-0005-0000-0000-0000B71F0000}"/>
    <cellStyle name="Normal 2 56 3 2 10 2" xfId="23625" xr:uid="{00000000-0005-0000-0000-0000B81F0000}"/>
    <cellStyle name="Normal 2 56 3 2 11" xfId="5855" xr:uid="{00000000-0005-0000-0000-0000B91F0000}"/>
    <cellStyle name="Normal 2 56 3 2 11 2" xfId="23626" xr:uid="{00000000-0005-0000-0000-0000BA1F0000}"/>
    <cellStyle name="Normal 2 56 3 2 12" xfId="5856" xr:uid="{00000000-0005-0000-0000-0000BB1F0000}"/>
    <cellStyle name="Normal 2 56 3 2 12 2" xfId="23627" xr:uid="{00000000-0005-0000-0000-0000BC1F0000}"/>
    <cellStyle name="Normal 2 56 3 2 13" xfId="5857" xr:uid="{00000000-0005-0000-0000-0000BD1F0000}"/>
    <cellStyle name="Normal 2 56 3 2 13 2" xfId="23628" xr:uid="{00000000-0005-0000-0000-0000BE1F0000}"/>
    <cellStyle name="Normal 2 56 3 2 14" xfId="5858" xr:uid="{00000000-0005-0000-0000-0000BF1F0000}"/>
    <cellStyle name="Normal 2 56 3 2 14 2" xfId="23629" xr:uid="{00000000-0005-0000-0000-0000C01F0000}"/>
    <cellStyle name="Normal 2 56 3 2 15" xfId="23624" xr:uid="{00000000-0005-0000-0000-0000C11F0000}"/>
    <cellStyle name="Normal 2 56 3 2 2" xfId="5859" xr:uid="{00000000-0005-0000-0000-0000C21F0000}"/>
    <cellStyle name="Normal 2 56 3 2 2 2" xfId="23630" xr:uid="{00000000-0005-0000-0000-0000C31F0000}"/>
    <cellStyle name="Normal 2 56 3 2 3" xfId="5860" xr:uid="{00000000-0005-0000-0000-0000C41F0000}"/>
    <cellStyle name="Normal 2 56 3 2 3 2" xfId="23631" xr:uid="{00000000-0005-0000-0000-0000C51F0000}"/>
    <cellStyle name="Normal 2 56 3 2 4" xfId="5861" xr:uid="{00000000-0005-0000-0000-0000C61F0000}"/>
    <cellStyle name="Normal 2 56 3 2 4 2" xfId="23632" xr:uid="{00000000-0005-0000-0000-0000C71F0000}"/>
    <cellStyle name="Normal 2 56 3 2 5" xfId="5862" xr:uid="{00000000-0005-0000-0000-0000C81F0000}"/>
    <cellStyle name="Normal 2 56 3 2 5 2" xfId="23633" xr:uid="{00000000-0005-0000-0000-0000C91F0000}"/>
    <cellStyle name="Normal 2 56 3 2 6" xfId="5863" xr:uid="{00000000-0005-0000-0000-0000CA1F0000}"/>
    <cellStyle name="Normal 2 56 3 2 6 2" xfId="23634" xr:uid="{00000000-0005-0000-0000-0000CB1F0000}"/>
    <cellStyle name="Normal 2 56 3 2 7" xfId="5864" xr:uid="{00000000-0005-0000-0000-0000CC1F0000}"/>
    <cellStyle name="Normal 2 56 3 2 7 2" xfId="23635" xr:uid="{00000000-0005-0000-0000-0000CD1F0000}"/>
    <cellStyle name="Normal 2 56 3 2 8" xfId="5865" xr:uid="{00000000-0005-0000-0000-0000CE1F0000}"/>
    <cellStyle name="Normal 2 56 3 2 8 2" xfId="23636" xr:uid="{00000000-0005-0000-0000-0000CF1F0000}"/>
    <cellStyle name="Normal 2 56 3 2 9" xfId="5866" xr:uid="{00000000-0005-0000-0000-0000D01F0000}"/>
    <cellStyle name="Normal 2 56 3 2 9 2" xfId="23637" xr:uid="{00000000-0005-0000-0000-0000D11F0000}"/>
    <cellStyle name="Normal 2 56 3 3" xfId="5867" xr:uid="{00000000-0005-0000-0000-0000D21F0000}"/>
    <cellStyle name="Normal 2 56 3 3 2" xfId="23638" xr:uid="{00000000-0005-0000-0000-0000D31F0000}"/>
    <cellStyle name="Normal 2 56 3 4" xfId="5868" xr:uid="{00000000-0005-0000-0000-0000D41F0000}"/>
    <cellStyle name="Normal 2 56 3 4 2" xfId="23639" xr:uid="{00000000-0005-0000-0000-0000D51F0000}"/>
    <cellStyle name="Normal 2 56 3 5" xfId="5869" xr:uid="{00000000-0005-0000-0000-0000D61F0000}"/>
    <cellStyle name="Normal 2 56 3 5 2" xfId="23640" xr:uid="{00000000-0005-0000-0000-0000D71F0000}"/>
    <cellStyle name="Normal 2 56 3 6" xfId="5870" xr:uid="{00000000-0005-0000-0000-0000D81F0000}"/>
    <cellStyle name="Normal 2 56 3 6 2" xfId="23641" xr:uid="{00000000-0005-0000-0000-0000D91F0000}"/>
    <cellStyle name="Normal 2 56 3 7" xfId="5871" xr:uid="{00000000-0005-0000-0000-0000DA1F0000}"/>
    <cellStyle name="Normal 2 56 3 7 2" xfId="23642" xr:uid="{00000000-0005-0000-0000-0000DB1F0000}"/>
    <cellStyle name="Normal 2 56 3 8" xfId="5872" xr:uid="{00000000-0005-0000-0000-0000DC1F0000}"/>
    <cellStyle name="Normal 2 56 3 8 2" xfId="23643" xr:uid="{00000000-0005-0000-0000-0000DD1F0000}"/>
    <cellStyle name="Normal 2 56 3 9" xfId="5873" xr:uid="{00000000-0005-0000-0000-0000DE1F0000}"/>
    <cellStyle name="Normal 2 56 3 9 2" xfId="23644" xr:uid="{00000000-0005-0000-0000-0000DF1F0000}"/>
    <cellStyle name="Normal 2 56 4" xfId="5874" xr:uid="{00000000-0005-0000-0000-0000E01F0000}"/>
    <cellStyle name="Normal 2 56 4 10" xfId="5875" xr:uid="{00000000-0005-0000-0000-0000E11F0000}"/>
    <cellStyle name="Normal 2 56 4 10 2" xfId="23646" xr:uid="{00000000-0005-0000-0000-0000E21F0000}"/>
    <cellStyle name="Normal 2 56 4 11" xfId="5876" xr:uid="{00000000-0005-0000-0000-0000E31F0000}"/>
    <cellStyle name="Normal 2 56 4 11 2" xfId="23647" xr:uid="{00000000-0005-0000-0000-0000E41F0000}"/>
    <cellStyle name="Normal 2 56 4 12" xfId="5877" xr:uid="{00000000-0005-0000-0000-0000E51F0000}"/>
    <cellStyle name="Normal 2 56 4 12 2" xfId="23648" xr:uid="{00000000-0005-0000-0000-0000E61F0000}"/>
    <cellStyle name="Normal 2 56 4 13" xfId="5878" xr:uid="{00000000-0005-0000-0000-0000E71F0000}"/>
    <cellStyle name="Normal 2 56 4 13 2" xfId="23649" xr:uid="{00000000-0005-0000-0000-0000E81F0000}"/>
    <cellStyle name="Normal 2 56 4 14" xfId="5879" xr:uid="{00000000-0005-0000-0000-0000E91F0000}"/>
    <cellStyle name="Normal 2 56 4 14 2" xfId="23650" xr:uid="{00000000-0005-0000-0000-0000EA1F0000}"/>
    <cellStyle name="Normal 2 56 4 15" xfId="5880" xr:uid="{00000000-0005-0000-0000-0000EB1F0000}"/>
    <cellStyle name="Normal 2 56 4 15 2" xfId="23651" xr:uid="{00000000-0005-0000-0000-0000EC1F0000}"/>
    <cellStyle name="Normal 2 56 4 16" xfId="23645" xr:uid="{00000000-0005-0000-0000-0000ED1F0000}"/>
    <cellStyle name="Normal 2 56 4 2" xfId="5881" xr:uid="{00000000-0005-0000-0000-0000EE1F0000}"/>
    <cellStyle name="Normal 2 56 4 2 10" xfId="5882" xr:uid="{00000000-0005-0000-0000-0000EF1F0000}"/>
    <cellStyle name="Normal 2 56 4 2 10 2" xfId="23653" xr:uid="{00000000-0005-0000-0000-0000F01F0000}"/>
    <cellStyle name="Normal 2 56 4 2 11" xfId="5883" xr:uid="{00000000-0005-0000-0000-0000F11F0000}"/>
    <cellStyle name="Normal 2 56 4 2 11 2" xfId="23654" xr:uid="{00000000-0005-0000-0000-0000F21F0000}"/>
    <cellStyle name="Normal 2 56 4 2 12" xfId="5884" xr:uid="{00000000-0005-0000-0000-0000F31F0000}"/>
    <cellStyle name="Normal 2 56 4 2 12 2" xfId="23655" xr:uid="{00000000-0005-0000-0000-0000F41F0000}"/>
    <cellStyle name="Normal 2 56 4 2 13" xfId="5885" xr:uid="{00000000-0005-0000-0000-0000F51F0000}"/>
    <cellStyle name="Normal 2 56 4 2 13 2" xfId="23656" xr:uid="{00000000-0005-0000-0000-0000F61F0000}"/>
    <cellStyle name="Normal 2 56 4 2 14" xfId="5886" xr:uid="{00000000-0005-0000-0000-0000F71F0000}"/>
    <cellStyle name="Normal 2 56 4 2 14 2" xfId="23657" xr:uid="{00000000-0005-0000-0000-0000F81F0000}"/>
    <cellStyle name="Normal 2 56 4 2 15" xfId="23652" xr:uid="{00000000-0005-0000-0000-0000F91F0000}"/>
    <cellStyle name="Normal 2 56 4 2 2" xfId="5887" xr:uid="{00000000-0005-0000-0000-0000FA1F0000}"/>
    <cellStyle name="Normal 2 56 4 2 2 2" xfId="23658" xr:uid="{00000000-0005-0000-0000-0000FB1F0000}"/>
    <cellStyle name="Normal 2 56 4 2 3" xfId="5888" xr:uid="{00000000-0005-0000-0000-0000FC1F0000}"/>
    <cellStyle name="Normal 2 56 4 2 3 2" xfId="23659" xr:uid="{00000000-0005-0000-0000-0000FD1F0000}"/>
    <cellStyle name="Normal 2 56 4 2 4" xfId="5889" xr:uid="{00000000-0005-0000-0000-0000FE1F0000}"/>
    <cellStyle name="Normal 2 56 4 2 4 2" xfId="23660" xr:uid="{00000000-0005-0000-0000-0000FF1F0000}"/>
    <cellStyle name="Normal 2 56 4 2 5" xfId="5890" xr:uid="{00000000-0005-0000-0000-000000200000}"/>
    <cellStyle name="Normal 2 56 4 2 5 2" xfId="23661" xr:uid="{00000000-0005-0000-0000-000001200000}"/>
    <cellStyle name="Normal 2 56 4 2 6" xfId="5891" xr:uid="{00000000-0005-0000-0000-000002200000}"/>
    <cellStyle name="Normal 2 56 4 2 6 2" xfId="23662" xr:uid="{00000000-0005-0000-0000-000003200000}"/>
    <cellStyle name="Normal 2 56 4 2 7" xfId="5892" xr:uid="{00000000-0005-0000-0000-000004200000}"/>
    <cellStyle name="Normal 2 56 4 2 7 2" xfId="23663" xr:uid="{00000000-0005-0000-0000-000005200000}"/>
    <cellStyle name="Normal 2 56 4 2 8" xfId="5893" xr:uid="{00000000-0005-0000-0000-000006200000}"/>
    <cellStyle name="Normal 2 56 4 2 8 2" xfId="23664" xr:uid="{00000000-0005-0000-0000-000007200000}"/>
    <cellStyle name="Normal 2 56 4 2 9" xfId="5894" xr:uid="{00000000-0005-0000-0000-000008200000}"/>
    <cellStyle name="Normal 2 56 4 2 9 2" xfId="23665" xr:uid="{00000000-0005-0000-0000-000009200000}"/>
    <cellStyle name="Normal 2 56 4 3" xfId="5895" xr:uid="{00000000-0005-0000-0000-00000A200000}"/>
    <cellStyle name="Normal 2 56 4 3 2" xfId="23666" xr:uid="{00000000-0005-0000-0000-00000B200000}"/>
    <cellStyle name="Normal 2 56 4 4" xfId="5896" xr:uid="{00000000-0005-0000-0000-00000C200000}"/>
    <cellStyle name="Normal 2 56 4 4 2" xfId="23667" xr:uid="{00000000-0005-0000-0000-00000D200000}"/>
    <cellStyle name="Normal 2 56 4 5" xfId="5897" xr:uid="{00000000-0005-0000-0000-00000E200000}"/>
    <cellStyle name="Normal 2 56 4 5 2" xfId="23668" xr:uid="{00000000-0005-0000-0000-00000F200000}"/>
    <cellStyle name="Normal 2 56 4 6" xfId="5898" xr:uid="{00000000-0005-0000-0000-000010200000}"/>
    <cellStyle name="Normal 2 56 4 6 2" xfId="23669" xr:uid="{00000000-0005-0000-0000-000011200000}"/>
    <cellStyle name="Normal 2 56 4 7" xfId="5899" xr:uid="{00000000-0005-0000-0000-000012200000}"/>
    <cellStyle name="Normal 2 56 4 7 2" xfId="23670" xr:uid="{00000000-0005-0000-0000-000013200000}"/>
    <cellStyle name="Normal 2 56 4 8" xfId="5900" xr:uid="{00000000-0005-0000-0000-000014200000}"/>
    <cellStyle name="Normal 2 56 4 8 2" xfId="23671" xr:uid="{00000000-0005-0000-0000-000015200000}"/>
    <cellStyle name="Normal 2 56 4 9" xfId="5901" xr:uid="{00000000-0005-0000-0000-000016200000}"/>
    <cellStyle name="Normal 2 56 4 9 2" xfId="23672" xr:uid="{00000000-0005-0000-0000-000017200000}"/>
    <cellStyle name="Normal 2 56 5" xfId="5902" xr:uid="{00000000-0005-0000-0000-000018200000}"/>
    <cellStyle name="Normal 2 56 5 10" xfId="5903" xr:uid="{00000000-0005-0000-0000-000019200000}"/>
    <cellStyle name="Normal 2 56 5 10 2" xfId="23674" xr:uid="{00000000-0005-0000-0000-00001A200000}"/>
    <cellStyle name="Normal 2 56 5 11" xfId="5904" xr:uid="{00000000-0005-0000-0000-00001B200000}"/>
    <cellStyle name="Normal 2 56 5 11 2" xfId="23675" xr:uid="{00000000-0005-0000-0000-00001C200000}"/>
    <cellStyle name="Normal 2 56 5 12" xfId="5905" xr:uid="{00000000-0005-0000-0000-00001D200000}"/>
    <cellStyle name="Normal 2 56 5 12 2" xfId="23676" xr:uid="{00000000-0005-0000-0000-00001E200000}"/>
    <cellStyle name="Normal 2 56 5 13" xfId="5906" xr:uid="{00000000-0005-0000-0000-00001F200000}"/>
    <cellStyle name="Normal 2 56 5 13 2" xfId="23677" xr:uid="{00000000-0005-0000-0000-000020200000}"/>
    <cellStyle name="Normal 2 56 5 14" xfId="5907" xr:uid="{00000000-0005-0000-0000-000021200000}"/>
    <cellStyle name="Normal 2 56 5 14 2" xfId="23678" xr:uid="{00000000-0005-0000-0000-000022200000}"/>
    <cellStyle name="Normal 2 56 5 15" xfId="23673" xr:uid="{00000000-0005-0000-0000-000023200000}"/>
    <cellStyle name="Normal 2 56 5 2" xfId="5908" xr:uid="{00000000-0005-0000-0000-000024200000}"/>
    <cellStyle name="Normal 2 56 5 2 2" xfId="23679" xr:uid="{00000000-0005-0000-0000-000025200000}"/>
    <cellStyle name="Normal 2 56 5 3" xfId="5909" xr:uid="{00000000-0005-0000-0000-000026200000}"/>
    <cellStyle name="Normal 2 56 5 3 2" xfId="23680" xr:uid="{00000000-0005-0000-0000-000027200000}"/>
    <cellStyle name="Normal 2 56 5 4" xfId="5910" xr:uid="{00000000-0005-0000-0000-000028200000}"/>
    <cellStyle name="Normal 2 56 5 4 2" xfId="23681" xr:uid="{00000000-0005-0000-0000-000029200000}"/>
    <cellStyle name="Normal 2 56 5 5" xfId="5911" xr:uid="{00000000-0005-0000-0000-00002A200000}"/>
    <cellStyle name="Normal 2 56 5 5 2" xfId="23682" xr:uid="{00000000-0005-0000-0000-00002B200000}"/>
    <cellStyle name="Normal 2 56 5 6" xfId="5912" xr:uid="{00000000-0005-0000-0000-00002C200000}"/>
    <cellStyle name="Normal 2 56 5 6 2" xfId="23683" xr:uid="{00000000-0005-0000-0000-00002D200000}"/>
    <cellStyle name="Normal 2 56 5 7" xfId="5913" xr:uid="{00000000-0005-0000-0000-00002E200000}"/>
    <cellStyle name="Normal 2 56 5 7 2" xfId="23684" xr:uid="{00000000-0005-0000-0000-00002F200000}"/>
    <cellStyle name="Normal 2 56 5 8" xfId="5914" xr:uid="{00000000-0005-0000-0000-000030200000}"/>
    <cellStyle name="Normal 2 56 5 8 2" xfId="23685" xr:uid="{00000000-0005-0000-0000-000031200000}"/>
    <cellStyle name="Normal 2 56 5 9" xfId="5915" xr:uid="{00000000-0005-0000-0000-000032200000}"/>
    <cellStyle name="Normal 2 56 5 9 2" xfId="23686" xr:uid="{00000000-0005-0000-0000-000033200000}"/>
    <cellStyle name="Normal 2 56 6" xfId="5916" xr:uid="{00000000-0005-0000-0000-000034200000}"/>
    <cellStyle name="Normal 2 56 6 10" xfId="5917" xr:uid="{00000000-0005-0000-0000-000035200000}"/>
    <cellStyle name="Normal 2 56 6 10 2" xfId="23688" xr:uid="{00000000-0005-0000-0000-000036200000}"/>
    <cellStyle name="Normal 2 56 6 11" xfId="5918" xr:uid="{00000000-0005-0000-0000-000037200000}"/>
    <cellStyle name="Normal 2 56 6 11 2" xfId="23689" xr:uid="{00000000-0005-0000-0000-000038200000}"/>
    <cellStyle name="Normal 2 56 6 12" xfId="5919" xr:uid="{00000000-0005-0000-0000-000039200000}"/>
    <cellStyle name="Normal 2 56 6 12 2" xfId="23690" xr:uid="{00000000-0005-0000-0000-00003A200000}"/>
    <cellStyle name="Normal 2 56 6 13" xfId="5920" xr:uid="{00000000-0005-0000-0000-00003B200000}"/>
    <cellStyle name="Normal 2 56 6 13 2" xfId="23691" xr:uid="{00000000-0005-0000-0000-00003C200000}"/>
    <cellStyle name="Normal 2 56 6 14" xfId="5921" xr:uid="{00000000-0005-0000-0000-00003D200000}"/>
    <cellStyle name="Normal 2 56 6 14 2" xfId="23692" xr:uid="{00000000-0005-0000-0000-00003E200000}"/>
    <cellStyle name="Normal 2 56 6 15" xfId="23687" xr:uid="{00000000-0005-0000-0000-00003F200000}"/>
    <cellStyle name="Normal 2 56 6 2" xfId="5922" xr:uid="{00000000-0005-0000-0000-000040200000}"/>
    <cellStyle name="Normal 2 56 6 2 2" xfId="23693" xr:uid="{00000000-0005-0000-0000-000041200000}"/>
    <cellStyle name="Normal 2 56 6 3" xfId="5923" xr:uid="{00000000-0005-0000-0000-000042200000}"/>
    <cellStyle name="Normal 2 56 6 3 2" xfId="23694" xr:uid="{00000000-0005-0000-0000-000043200000}"/>
    <cellStyle name="Normal 2 56 6 4" xfId="5924" xr:uid="{00000000-0005-0000-0000-000044200000}"/>
    <cellStyle name="Normal 2 56 6 4 2" xfId="23695" xr:uid="{00000000-0005-0000-0000-000045200000}"/>
    <cellStyle name="Normal 2 56 6 5" xfId="5925" xr:uid="{00000000-0005-0000-0000-000046200000}"/>
    <cellStyle name="Normal 2 56 6 5 2" xfId="23696" xr:uid="{00000000-0005-0000-0000-000047200000}"/>
    <cellStyle name="Normal 2 56 6 6" xfId="5926" xr:uid="{00000000-0005-0000-0000-000048200000}"/>
    <cellStyle name="Normal 2 56 6 6 2" xfId="23697" xr:uid="{00000000-0005-0000-0000-000049200000}"/>
    <cellStyle name="Normal 2 56 6 7" xfId="5927" xr:uid="{00000000-0005-0000-0000-00004A200000}"/>
    <cellStyle name="Normal 2 56 6 7 2" xfId="23698" xr:uid="{00000000-0005-0000-0000-00004B200000}"/>
    <cellStyle name="Normal 2 56 6 8" xfId="5928" xr:uid="{00000000-0005-0000-0000-00004C200000}"/>
    <cellStyle name="Normal 2 56 6 8 2" xfId="23699" xr:uid="{00000000-0005-0000-0000-00004D200000}"/>
    <cellStyle name="Normal 2 56 6 9" xfId="5929" xr:uid="{00000000-0005-0000-0000-00004E200000}"/>
    <cellStyle name="Normal 2 56 6 9 2" xfId="23700" xr:uid="{00000000-0005-0000-0000-00004F200000}"/>
    <cellStyle name="Normal 2 56 7" xfId="5930" xr:uid="{00000000-0005-0000-0000-000050200000}"/>
    <cellStyle name="Normal 2 56 7 10" xfId="5931" xr:uid="{00000000-0005-0000-0000-000051200000}"/>
    <cellStyle name="Normal 2 56 7 10 2" xfId="23702" xr:uid="{00000000-0005-0000-0000-000052200000}"/>
    <cellStyle name="Normal 2 56 7 11" xfId="5932" xr:uid="{00000000-0005-0000-0000-000053200000}"/>
    <cellStyle name="Normal 2 56 7 11 2" xfId="23703" xr:uid="{00000000-0005-0000-0000-000054200000}"/>
    <cellStyle name="Normal 2 56 7 12" xfId="5933" xr:uid="{00000000-0005-0000-0000-000055200000}"/>
    <cellStyle name="Normal 2 56 7 12 2" xfId="23704" xr:uid="{00000000-0005-0000-0000-000056200000}"/>
    <cellStyle name="Normal 2 56 7 13" xfId="5934" xr:uid="{00000000-0005-0000-0000-000057200000}"/>
    <cellStyle name="Normal 2 56 7 13 2" xfId="23705" xr:uid="{00000000-0005-0000-0000-000058200000}"/>
    <cellStyle name="Normal 2 56 7 14" xfId="5935" xr:uid="{00000000-0005-0000-0000-000059200000}"/>
    <cellStyle name="Normal 2 56 7 14 2" xfId="23706" xr:uid="{00000000-0005-0000-0000-00005A200000}"/>
    <cellStyle name="Normal 2 56 7 15" xfId="23701" xr:uid="{00000000-0005-0000-0000-00005B200000}"/>
    <cellStyle name="Normal 2 56 7 2" xfId="5936" xr:uid="{00000000-0005-0000-0000-00005C200000}"/>
    <cellStyle name="Normal 2 56 7 2 2" xfId="23707" xr:uid="{00000000-0005-0000-0000-00005D200000}"/>
    <cellStyle name="Normal 2 56 7 3" xfId="5937" xr:uid="{00000000-0005-0000-0000-00005E200000}"/>
    <cellStyle name="Normal 2 56 7 3 2" xfId="23708" xr:uid="{00000000-0005-0000-0000-00005F200000}"/>
    <cellStyle name="Normal 2 56 7 4" xfId="5938" xr:uid="{00000000-0005-0000-0000-000060200000}"/>
    <cellStyle name="Normal 2 56 7 4 2" xfId="23709" xr:uid="{00000000-0005-0000-0000-000061200000}"/>
    <cellStyle name="Normal 2 56 7 5" xfId="5939" xr:uid="{00000000-0005-0000-0000-000062200000}"/>
    <cellStyle name="Normal 2 56 7 5 2" xfId="23710" xr:uid="{00000000-0005-0000-0000-000063200000}"/>
    <cellStyle name="Normal 2 56 7 6" xfId="5940" xr:uid="{00000000-0005-0000-0000-000064200000}"/>
    <cellStyle name="Normal 2 56 7 6 2" xfId="23711" xr:uid="{00000000-0005-0000-0000-000065200000}"/>
    <cellStyle name="Normal 2 56 7 7" xfId="5941" xr:uid="{00000000-0005-0000-0000-000066200000}"/>
    <cellStyle name="Normal 2 56 7 7 2" xfId="23712" xr:uid="{00000000-0005-0000-0000-000067200000}"/>
    <cellStyle name="Normal 2 56 7 8" xfId="5942" xr:uid="{00000000-0005-0000-0000-000068200000}"/>
    <cellStyle name="Normal 2 56 7 8 2" xfId="23713" xr:uid="{00000000-0005-0000-0000-000069200000}"/>
    <cellStyle name="Normal 2 56 7 9" xfId="5943" xr:uid="{00000000-0005-0000-0000-00006A200000}"/>
    <cellStyle name="Normal 2 56 7 9 2" xfId="23714" xr:uid="{00000000-0005-0000-0000-00006B200000}"/>
    <cellStyle name="Normal 2 56 8" xfId="5944" xr:uid="{00000000-0005-0000-0000-00006C200000}"/>
    <cellStyle name="Normal 2 56 8 10" xfId="5945" xr:uid="{00000000-0005-0000-0000-00006D200000}"/>
    <cellStyle name="Normal 2 56 8 10 2" xfId="23716" xr:uid="{00000000-0005-0000-0000-00006E200000}"/>
    <cellStyle name="Normal 2 56 8 11" xfId="5946" xr:uid="{00000000-0005-0000-0000-00006F200000}"/>
    <cellStyle name="Normal 2 56 8 11 2" xfId="23717" xr:uid="{00000000-0005-0000-0000-000070200000}"/>
    <cellStyle name="Normal 2 56 8 12" xfId="5947" xr:uid="{00000000-0005-0000-0000-000071200000}"/>
    <cellStyle name="Normal 2 56 8 12 2" xfId="23718" xr:uid="{00000000-0005-0000-0000-000072200000}"/>
    <cellStyle name="Normal 2 56 8 13" xfId="5948" xr:uid="{00000000-0005-0000-0000-000073200000}"/>
    <cellStyle name="Normal 2 56 8 13 2" xfId="23719" xr:uid="{00000000-0005-0000-0000-000074200000}"/>
    <cellStyle name="Normal 2 56 8 14" xfId="5949" xr:uid="{00000000-0005-0000-0000-000075200000}"/>
    <cellStyle name="Normal 2 56 8 14 2" xfId="23720" xr:uid="{00000000-0005-0000-0000-000076200000}"/>
    <cellStyle name="Normal 2 56 8 15" xfId="23715" xr:uid="{00000000-0005-0000-0000-000077200000}"/>
    <cellStyle name="Normal 2 56 8 2" xfId="5950" xr:uid="{00000000-0005-0000-0000-000078200000}"/>
    <cellStyle name="Normal 2 56 8 2 2" xfId="23721" xr:uid="{00000000-0005-0000-0000-000079200000}"/>
    <cellStyle name="Normal 2 56 8 3" xfId="5951" xr:uid="{00000000-0005-0000-0000-00007A200000}"/>
    <cellStyle name="Normal 2 56 8 3 2" xfId="23722" xr:uid="{00000000-0005-0000-0000-00007B200000}"/>
    <cellStyle name="Normal 2 56 8 4" xfId="5952" xr:uid="{00000000-0005-0000-0000-00007C200000}"/>
    <cellStyle name="Normal 2 56 8 4 2" xfId="23723" xr:uid="{00000000-0005-0000-0000-00007D200000}"/>
    <cellStyle name="Normal 2 56 8 5" xfId="5953" xr:uid="{00000000-0005-0000-0000-00007E200000}"/>
    <cellStyle name="Normal 2 56 8 5 2" xfId="23724" xr:uid="{00000000-0005-0000-0000-00007F200000}"/>
    <cellStyle name="Normal 2 56 8 6" xfId="5954" xr:uid="{00000000-0005-0000-0000-000080200000}"/>
    <cellStyle name="Normal 2 56 8 6 2" xfId="23725" xr:uid="{00000000-0005-0000-0000-000081200000}"/>
    <cellStyle name="Normal 2 56 8 7" xfId="5955" xr:uid="{00000000-0005-0000-0000-000082200000}"/>
    <cellStyle name="Normal 2 56 8 7 2" xfId="23726" xr:uid="{00000000-0005-0000-0000-000083200000}"/>
    <cellStyle name="Normal 2 56 8 8" xfId="5956" xr:uid="{00000000-0005-0000-0000-000084200000}"/>
    <cellStyle name="Normal 2 56 8 8 2" xfId="23727" xr:uid="{00000000-0005-0000-0000-000085200000}"/>
    <cellStyle name="Normal 2 56 8 9" xfId="5957" xr:uid="{00000000-0005-0000-0000-000086200000}"/>
    <cellStyle name="Normal 2 56 8 9 2" xfId="23728" xr:uid="{00000000-0005-0000-0000-000087200000}"/>
    <cellStyle name="Normal 2 56 9" xfId="5958" xr:uid="{00000000-0005-0000-0000-000088200000}"/>
    <cellStyle name="Normal 2 56 9 10" xfId="5959" xr:uid="{00000000-0005-0000-0000-000089200000}"/>
    <cellStyle name="Normal 2 56 9 10 2" xfId="23730" xr:uid="{00000000-0005-0000-0000-00008A200000}"/>
    <cellStyle name="Normal 2 56 9 11" xfId="5960" xr:uid="{00000000-0005-0000-0000-00008B200000}"/>
    <cellStyle name="Normal 2 56 9 11 2" xfId="23731" xr:uid="{00000000-0005-0000-0000-00008C200000}"/>
    <cellStyle name="Normal 2 56 9 12" xfId="5961" xr:uid="{00000000-0005-0000-0000-00008D200000}"/>
    <cellStyle name="Normal 2 56 9 12 2" xfId="23732" xr:uid="{00000000-0005-0000-0000-00008E200000}"/>
    <cellStyle name="Normal 2 56 9 13" xfId="5962" xr:uid="{00000000-0005-0000-0000-00008F200000}"/>
    <cellStyle name="Normal 2 56 9 13 2" xfId="23733" xr:uid="{00000000-0005-0000-0000-000090200000}"/>
    <cellStyle name="Normal 2 56 9 14" xfId="5963" xr:uid="{00000000-0005-0000-0000-000091200000}"/>
    <cellStyle name="Normal 2 56 9 14 2" xfId="23734" xr:uid="{00000000-0005-0000-0000-000092200000}"/>
    <cellStyle name="Normal 2 56 9 15" xfId="23729" xr:uid="{00000000-0005-0000-0000-000093200000}"/>
    <cellStyle name="Normal 2 56 9 2" xfId="5964" xr:uid="{00000000-0005-0000-0000-000094200000}"/>
    <cellStyle name="Normal 2 56 9 2 2" xfId="23735" xr:uid="{00000000-0005-0000-0000-000095200000}"/>
    <cellStyle name="Normal 2 56 9 3" xfId="5965" xr:uid="{00000000-0005-0000-0000-000096200000}"/>
    <cellStyle name="Normal 2 56 9 3 2" xfId="23736" xr:uid="{00000000-0005-0000-0000-000097200000}"/>
    <cellStyle name="Normal 2 56 9 4" xfId="5966" xr:uid="{00000000-0005-0000-0000-000098200000}"/>
    <cellStyle name="Normal 2 56 9 4 2" xfId="23737" xr:uid="{00000000-0005-0000-0000-000099200000}"/>
    <cellStyle name="Normal 2 56 9 5" xfId="5967" xr:uid="{00000000-0005-0000-0000-00009A200000}"/>
    <cellStyle name="Normal 2 56 9 5 2" xfId="23738" xr:uid="{00000000-0005-0000-0000-00009B200000}"/>
    <cellStyle name="Normal 2 56 9 6" xfId="5968" xr:uid="{00000000-0005-0000-0000-00009C200000}"/>
    <cellStyle name="Normal 2 56 9 6 2" xfId="23739" xr:uid="{00000000-0005-0000-0000-00009D200000}"/>
    <cellStyle name="Normal 2 56 9 7" xfId="5969" xr:uid="{00000000-0005-0000-0000-00009E200000}"/>
    <cellStyle name="Normal 2 56 9 7 2" xfId="23740" xr:uid="{00000000-0005-0000-0000-00009F200000}"/>
    <cellStyle name="Normal 2 56 9 8" xfId="5970" xr:uid="{00000000-0005-0000-0000-0000A0200000}"/>
    <cellStyle name="Normal 2 56 9 8 2" xfId="23741" xr:uid="{00000000-0005-0000-0000-0000A1200000}"/>
    <cellStyle name="Normal 2 56 9 9" xfId="5971" xr:uid="{00000000-0005-0000-0000-0000A2200000}"/>
    <cellStyle name="Normal 2 56 9 9 2" xfId="23742" xr:uid="{00000000-0005-0000-0000-0000A3200000}"/>
    <cellStyle name="Normal 2 57" xfId="5972" xr:uid="{00000000-0005-0000-0000-0000A4200000}"/>
    <cellStyle name="Normal 2 57 10" xfId="5973" xr:uid="{00000000-0005-0000-0000-0000A5200000}"/>
    <cellStyle name="Normal 2 57 10 10" xfId="5974" xr:uid="{00000000-0005-0000-0000-0000A6200000}"/>
    <cellStyle name="Normal 2 57 10 10 2" xfId="23745" xr:uid="{00000000-0005-0000-0000-0000A7200000}"/>
    <cellStyle name="Normal 2 57 10 11" xfId="5975" xr:uid="{00000000-0005-0000-0000-0000A8200000}"/>
    <cellStyle name="Normal 2 57 10 11 2" xfId="23746" xr:uid="{00000000-0005-0000-0000-0000A9200000}"/>
    <cellStyle name="Normal 2 57 10 12" xfId="5976" xr:uid="{00000000-0005-0000-0000-0000AA200000}"/>
    <cellStyle name="Normal 2 57 10 12 2" xfId="23747" xr:uid="{00000000-0005-0000-0000-0000AB200000}"/>
    <cellStyle name="Normal 2 57 10 13" xfId="5977" xr:uid="{00000000-0005-0000-0000-0000AC200000}"/>
    <cellStyle name="Normal 2 57 10 13 2" xfId="23748" xr:uid="{00000000-0005-0000-0000-0000AD200000}"/>
    <cellStyle name="Normal 2 57 10 14" xfId="5978" xr:uid="{00000000-0005-0000-0000-0000AE200000}"/>
    <cellStyle name="Normal 2 57 10 14 2" xfId="23749" xr:uid="{00000000-0005-0000-0000-0000AF200000}"/>
    <cellStyle name="Normal 2 57 10 15" xfId="23744" xr:uid="{00000000-0005-0000-0000-0000B0200000}"/>
    <cellStyle name="Normal 2 57 10 2" xfId="5979" xr:uid="{00000000-0005-0000-0000-0000B1200000}"/>
    <cellStyle name="Normal 2 57 10 2 2" xfId="23750" xr:uid="{00000000-0005-0000-0000-0000B2200000}"/>
    <cellStyle name="Normal 2 57 10 3" xfId="5980" xr:uid="{00000000-0005-0000-0000-0000B3200000}"/>
    <cellStyle name="Normal 2 57 10 3 2" xfId="23751" xr:uid="{00000000-0005-0000-0000-0000B4200000}"/>
    <cellStyle name="Normal 2 57 10 4" xfId="5981" xr:uid="{00000000-0005-0000-0000-0000B5200000}"/>
    <cellStyle name="Normal 2 57 10 4 2" xfId="23752" xr:uid="{00000000-0005-0000-0000-0000B6200000}"/>
    <cellStyle name="Normal 2 57 10 5" xfId="5982" xr:uid="{00000000-0005-0000-0000-0000B7200000}"/>
    <cellStyle name="Normal 2 57 10 5 2" xfId="23753" xr:uid="{00000000-0005-0000-0000-0000B8200000}"/>
    <cellStyle name="Normal 2 57 10 6" xfId="5983" xr:uid="{00000000-0005-0000-0000-0000B9200000}"/>
    <cellStyle name="Normal 2 57 10 6 2" xfId="23754" xr:uid="{00000000-0005-0000-0000-0000BA200000}"/>
    <cellStyle name="Normal 2 57 10 7" xfId="5984" xr:uid="{00000000-0005-0000-0000-0000BB200000}"/>
    <cellStyle name="Normal 2 57 10 7 2" xfId="23755" xr:uid="{00000000-0005-0000-0000-0000BC200000}"/>
    <cellStyle name="Normal 2 57 10 8" xfId="5985" xr:uid="{00000000-0005-0000-0000-0000BD200000}"/>
    <cellStyle name="Normal 2 57 10 8 2" xfId="23756" xr:uid="{00000000-0005-0000-0000-0000BE200000}"/>
    <cellStyle name="Normal 2 57 10 9" xfId="5986" xr:uid="{00000000-0005-0000-0000-0000BF200000}"/>
    <cellStyle name="Normal 2 57 10 9 2" xfId="23757" xr:uid="{00000000-0005-0000-0000-0000C0200000}"/>
    <cellStyle name="Normal 2 57 11" xfId="5987" xr:uid="{00000000-0005-0000-0000-0000C1200000}"/>
    <cellStyle name="Normal 2 57 11 2" xfId="23758" xr:uid="{00000000-0005-0000-0000-0000C2200000}"/>
    <cellStyle name="Normal 2 57 12" xfId="5988" xr:uid="{00000000-0005-0000-0000-0000C3200000}"/>
    <cellStyle name="Normal 2 57 12 2" xfId="23759" xr:uid="{00000000-0005-0000-0000-0000C4200000}"/>
    <cellStyle name="Normal 2 57 13" xfId="5989" xr:uid="{00000000-0005-0000-0000-0000C5200000}"/>
    <cellStyle name="Normal 2 57 13 2" xfId="23760" xr:uid="{00000000-0005-0000-0000-0000C6200000}"/>
    <cellStyle name="Normal 2 57 14" xfId="5990" xr:uid="{00000000-0005-0000-0000-0000C7200000}"/>
    <cellStyle name="Normal 2 57 14 2" xfId="23761" xr:uid="{00000000-0005-0000-0000-0000C8200000}"/>
    <cellStyle name="Normal 2 57 15" xfId="5991" xr:uid="{00000000-0005-0000-0000-0000C9200000}"/>
    <cellStyle name="Normal 2 57 15 2" xfId="23762" xr:uid="{00000000-0005-0000-0000-0000CA200000}"/>
    <cellStyle name="Normal 2 57 16" xfId="5992" xr:uid="{00000000-0005-0000-0000-0000CB200000}"/>
    <cellStyle name="Normal 2 57 16 2" xfId="23763" xr:uid="{00000000-0005-0000-0000-0000CC200000}"/>
    <cellStyle name="Normal 2 57 17" xfId="5993" xr:uid="{00000000-0005-0000-0000-0000CD200000}"/>
    <cellStyle name="Normal 2 57 17 2" xfId="23764" xr:uid="{00000000-0005-0000-0000-0000CE200000}"/>
    <cellStyle name="Normal 2 57 18" xfId="5994" xr:uid="{00000000-0005-0000-0000-0000CF200000}"/>
    <cellStyle name="Normal 2 57 18 2" xfId="23765" xr:uid="{00000000-0005-0000-0000-0000D0200000}"/>
    <cellStyle name="Normal 2 57 19" xfId="5995" xr:uid="{00000000-0005-0000-0000-0000D1200000}"/>
    <cellStyle name="Normal 2 57 19 2" xfId="23766" xr:uid="{00000000-0005-0000-0000-0000D2200000}"/>
    <cellStyle name="Normal 2 57 2" xfId="5996" xr:uid="{00000000-0005-0000-0000-0000D3200000}"/>
    <cellStyle name="Normal 2 57 2 10" xfId="5997" xr:uid="{00000000-0005-0000-0000-0000D4200000}"/>
    <cellStyle name="Normal 2 57 2 10 2" xfId="23768" xr:uid="{00000000-0005-0000-0000-0000D5200000}"/>
    <cellStyle name="Normal 2 57 2 11" xfId="5998" xr:uid="{00000000-0005-0000-0000-0000D6200000}"/>
    <cellStyle name="Normal 2 57 2 11 2" xfId="23769" xr:uid="{00000000-0005-0000-0000-0000D7200000}"/>
    <cellStyle name="Normal 2 57 2 12" xfId="5999" xr:uid="{00000000-0005-0000-0000-0000D8200000}"/>
    <cellStyle name="Normal 2 57 2 12 2" xfId="23770" xr:uid="{00000000-0005-0000-0000-0000D9200000}"/>
    <cellStyle name="Normal 2 57 2 13" xfId="6000" xr:uid="{00000000-0005-0000-0000-0000DA200000}"/>
    <cellStyle name="Normal 2 57 2 13 2" xfId="23771" xr:uid="{00000000-0005-0000-0000-0000DB200000}"/>
    <cellStyle name="Normal 2 57 2 14" xfId="6001" xr:uid="{00000000-0005-0000-0000-0000DC200000}"/>
    <cellStyle name="Normal 2 57 2 14 2" xfId="23772" xr:uid="{00000000-0005-0000-0000-0000DD200000}"/>
    <cellStyle name="Normal 2 57 2 15" xfId="6002" xr:uid="{00000000-0005-0000-0000-0000DE200000}"/>
    <cellStyle name="Normal 2 57 2 15 2" xfId="23773" xr:uid="{00000000-0005-0000-0000-0000DF200000}"/>
    <cellStyle name="Normal 2 57 2 16" xfId="23767" xr:uid="{00000000-0005-0000-0000-0000E0200000}"/>
    <cellStyle name="Normal 2 57 2 2" xfId="6003" xr:uid="{00000000-0005-0000-0000-0000E1200000}"/>
    <cellStyle name="Normal 2 57 2 2 10" xfId="6004" xr:uid="{00000000-0005-0000-0000-0000E2200000}"/>
    <cellStyle name="Normal 2 57 2 2 10 2" xfId="23775" xr:uid="{00000000-0005-0000-0000-0000E3200000}"/>
    <cellStyle name="Normal 2 57 2 2 11" xfId="6005" xr:uid="{00000000-0005-0000-0000-0000E4200000}"/>
    <cellStyle name="Normal 2 57 2 2 11 2" xfId="23776" xr:uid="{00000000-0005-0000-0000-0000E5200000}"/>
    <cellStyle name="Normal 2 57 2 2 12" xfId="6006" xr:uid="{00000000-0005-0000-0000-0000E6200000}"/>
    <cellStyle name="Normal 2 57 2 2 12 2" xfId="23777" xr:uid="{00000000-0005-0000-0000-0000E7200000}"/>
    <cellStyle name="Normal 2 57 2 2 13" xfId="6007" xr:uid="{00000000-0005-0000-0000-0000E8200000}"/>
    <cellStyle name="Normal 2 57 2 2 13 2" xfId="23778" xr:uid="{00000000-0005-0000-0000-0000E9200000}"/>
    <cellStyle name="Normal 2 57 2 2 14" xfId="6008" xr:uid="{00000000-0005-0000-0000-0000EA200000}"/>
    <cellStyle name="Normal 2 57 2 2 14 2" xfId="23779" xr:uid="{00000000-0005-0000-0000-0000EB200000}"/>
    <cellStyle name="Normal 2 57 2 2 15" xfId="23774" xr:uid="{00000000-0005-0000-0000-0000EC200000}"/>
    <cellStyle name="Normal 2 57 2 2 2" xfId="6009" xr:uid="{00000000-0005-0000-0000-0000ED200000}"/>
    <cellStyle name="Normal 2 57 2 2 2 2" xfId="23780" xr:uid="{00000000-0005-0000-0000-0000EE200000}"/>
    <cellStyle name="Normal 2 57 2 2 3" xfId="6010" xr:uid="{00000000-0005-0000-0000-0000EF200000}"/>
    <cellStyle name="Normal 2 57 2 2 3 2" xfId="23781" xr:uid="{00000000-0005-0000-0000-0000F0200000}"/>
    <cellStyle name="Normal 2 57 2 2 4" xfId="6011" xr:uid="{00000000-0005-0000-0000-0000F1200000}"/>
    <cellStyle name="Normal 2 57 2 2 4 2" xfId="23782" xr:uid="{00000000-0005-0000-0000-0000F2200000}"/>
    <cellStyle name="Normal 2 57 2 2 5" xfId="6012" xr:uid="{00000000-0005-0000-0000-0000F3200000}"/>
    <cellStyle name="Normal 2 57 2 2 5 2" xfId="23783" xr:uid="{00000000-0005-0000-0000-0000F4200000}"/>
    <cellStyle name="Normal 2 57 2 2 6" xfId="6013" xr:uid="{00000000-0005-0000-0000-0000F5200000}"/>
    <cellStyle name="Normal 2 57 2 2 6 2" xfId="23784" xr:uid="{00000000-0005-0000-0000-0000F6200000}"/>
    <cellStyle name="Normal 2 57 2 2 7" xfId="6014" xr:uid="{00000000-0005-0000-0000-0000F7200000}"/>
    <cellStyle name="Normal 2 57 2 2 7 2" xfId="23785" xr:uid="{00000000-0005-0000-0000-0000F8200000}"/>
    <cellStyle name="Normal 2 57 2 2 8" xfId="6015" xr:uid="{00000000-0005-0000-0000-0000F9200000}"/>
    <cellStyle name="Normal 2 57 2 2 8 2" xfId="23786" xr:uid="{00000000-0005-0000-0000-0000FA200000}"/>
    <cellStyle name="Normal 2 57 2 2 9" xfId="6016" xr:uid="{00000000-0005-0000-0000-0000FB200000}"/>
    <cellStyle name="Normal 2 57 2 2 9 2" xfId="23787" xr:uid="{00000000-0005-0000-0000-0000FC200000}"/>
    <cellStyle name="Normal 2 57 2 3" xfId="6017" xr:uid="{00000000-0005-0000-0000-0000FD200000}"/>
    <cellStyle name="Normal 2 57 2 3 2" xfId="23788" xr:uid="{00000000-0005-0000-0000-0000FE200000}"/>
    <cellStyle name="Normal 2 57 2 4" xfId="6018" xr:uid="{00000000-0005-0000-0000-0000FF200000}"/>
    <cellStyle name="Normal 2 57 2 4 2" xfId="23789" xr:uid="{00000000-0005-0000-0000-000000210000}"/>
    <cellStyle name="Normal 2 57 2 5" xfId="6019" xr:uid="{00000000-0005-0000-0000-000001210000}"/>
    <cellStyle name="Normal 2 57 2 5 2" xfId="23790" xr:uid="{00000000-0005-0000-0000-000002210000}"/>
    <cellStyle name="Normal 2 57 2 6" xfId="6020" xr:uid="{00000000-0005-0000-0000-000003210000}"/>
    <cellStyle name="Normal 2 57 2 6 2" xfId="23791" xr:uid="{00000000-0005-0000-0000-000004210000}"/>
    <cellStyle name="Normal 2 57 2 7" xfId="6021" xr:uid="{00000000-0005-0000-0000-000005210000}"/>
    <cellStyle name="Normal 2 57 2 7 2" xfId="23792" xr:uid="{00000000-0005-0000-0000-000006210000}"/>
    <cellStyle name="Normal 2 57 2 8" xfId="6022" xr:uid="{00000000-0005-0000-0000-000007210000}"/>
    <cellStyle name="Normal 2 57 2 8 2" xfId="23793" xr:uid="{00000000-0005-0000-0000-000008210000}"/>
    <cellStyle name="Normal 2 57 2 9" xfId="6023" xr:uid="{00000000-0005-0000-0000-000009210000}"/>
    <cellStyle name="Normal 2 57 2 9 2" xfId="23794" xr:uid="{00000000-0005-0000-0000-00000A210000}"/>
    <cellStyle name="Normal 2 57 20" xfId="6024" xr:uid="{00000000-0005-0000-0000-00000B210000}"/>
    <cellStyle name="Normal 2 57 20 2" xfId="23795" xr:uid="{00000000-0005-0000-0000-00000C210000}"/>
    <cellStyle name="Normal 2 57 21" xfId="6025" xr:uid="{00000000-0005-0000-0000-00000D210000}"/>
    <cellStyle name="Normal 2 57 21 2" xfId="23796" xr:uid="{00000000-0005-0000-0000-00000E210000}"/>
    <cellStyle name="Normal 2 57 22" xfId="6026" xr:uid="{00000000-0005-0000-0000-00000F210000}"/>
    <cellStyle name="Normal 2 57 22 2" xfId="23797" xr:uid="{00000000-0005-0000-0000-000010210000}"/>
    <cellStyle name="Normal 2 57 23" xfId="6027" xr:uid="{00000000-0005-0000-0000-000011210000}"/>
    <cellStyle name="Normal 2 57 23 2" xfId="23798" xr:uid="{00000000-0005-0000-0000-000012210000}"/>
    <cellStyle name="Normal 2 57 24" xfId="23743" xr:uid="{00000000-0005-0000-0000-000013210000}"/>
    <cellStyle name="Normal 2 57 3" xfId="6028" xr:uid="{00000000-0005-0000-0000-000014210000}"/>
    <cellStyle name="Normal 2 57 3 10" xfId="6029" xr:uid="{00000000-0005-0000-0000-000015210000}"/>
    <cellStyle name="Normal 2 57 3 10 2" xfId="23800" xr:uid="{00000000-0005-0000-0000-000016210000}"/>
    <cellStyle name="Normal 2 57 3 11" xfId="6030" xr:uid="{00000000-0005-0000-0000-000017210000}"/>
    <cellStyle name="Normal 2 57 3 11 2" xfId="23801" xr:uid="{00000000-0005-0000-0000-000018210000}"/>
    <cellStyle name="Normal 2 57 3 12" xfId="6031" xr:uid="{00000000-0005-0000-0000-000019210000}"/>
    <cellStyle name="Normal 2 57 3 12 2" xfId="23802" xr:uid="{00000000-0005-0000-0000-00001A210000}"/>
    <cellStyle name="Normal 2 57 3 13" xfId="6032" xr:uid="{00000000-0005-0000-0000-00001B210000}"/>
    <cellStyle name="Normal 2 57 3 13 2" xfId="23803" xr:uid="{00000000-0005-0000-0000-00001C210000}"/>
    <cellStyle name="Normal 2 57 3 14" xfId="6033" xr:uid="{00000000-0005-0000-0000-00001D210000}"/>
    <cellStyle name="Normal 2 57 3 14 2" xfId="23804" xr:uid="{00000000-0005-0000-0000-00001E210000}"/>
    <cellStyle name="Normal 2 57 3 15" xfId="6034" xr:uid="{00000000-0005-0000-0000-00001F210000}"/>
    <cellStyle name="Normal 2 57 3 15 2" xfId="23805" xr:uid="{00000000-0005-0000-0000-000020210000}"/>
    <cellStyle name="Normal 2 57 3 16" xfId="23799" xr:uid="{00000000-0005-0000-0000-000021210000}"/>
    <cellStyle name="Normal 2 57 3 2" xfId="6035" xr:uid="{00000000-0005-0000-0000-000022210000}"/>
    <cellStyle name="Normal 2 57 3 2 10" xfId="6036" xr:uid="{00000000-0005-0000-0000-000023210000}"/>
    <cellStyle name="Normal 2 57 3 2 10 2" xfId="23807" xr:uid="{00000000-0005-0000-0000-000024210000}"/>
    <cellStyle name="Normal 2 57 3 2 11" xfId="6037" xr:uid="{00000000-0005-0000-0000-000025210000}"/>
    <cellStyle name="Normal 2 57 3 2 11 2" xfId="23808" xr:uid="{00000000-0005-0000-0000-000026210000}"/>
    <cellStyle name="Normal 2 57 3 2 12" xfId="6038" xr:uid="{00000000-0005-0000-0000-000027210000}"/>
    <cellStyle name="Normal 2 57 3 2 12 2" xfId="23809" xr:uid="{00000000-0005-0000-0000-000028210000}"/>
    <cellStyle name="Normal 2 57 3 2 13" xfId="6039" xr:uid="{00000000-0005-0000-0000-000029210000}"/>
    <cellStyle name="Normal 2 57 3 2 13 2" xfId="23810" xr:uid="{00000000-0005-0000-0000-00002A210000}"/>
    <cellStyle name="Normal 2 57 3 2 14" xfId="6040" xr:uid="{00000000-0005-0000-0000-00002B210000}"/>
    <cellStyle name="Normal 2 57 3 2 14 2" xfId="23811" xr:uid="{00000000-0005-0000-0000-00002C210000}"/>
    <cellStyle name="Normal 2 57 3 2 15" xfId="23806" xr:uid="{00000000-0005-0000-0000-00002D210000}"/>
    <cellStyle name="Normal 2 57 3 2 2" xfId="6041" xr:uid="{00000000-0005-0000-0000-00002E210000}"/>
    <cellStyle name="Normal 2 57 3 2 2 2" xfId="23812" xr:uid="{00000000-0005-0000-0000-00002F210000}"/>
    <cellStyle name="Normal 2 57 3 2 3" xfId="6042" xr:uid="{00000000-0005-0000-0000-000030210000}"/>
    <cellStyle name="Normal 2 57 3 2 3 2" xfId="23813" xr:uid="{00000000-0005-0000-0000-000031210000}"/>
    <cellStyle name="Normal 2 57 3 2 4" xfId="6043" xr:uid="{00000000-0005-0000-0000-000032210000}"/>
    <cellStyle name="Normal 2 57 3 2 4 2" xfId="23814" xr:uid="{00000000-0005-0000-0000-000033210000}"/>
    <cellStyle name="Normal 2 57 3 2 5" xfId="6044" xr:uid="{00000000-0005-0000-0000-000034210000}"/>
    <cellStyle name="Normal 2 57 3 2 5 2" xfId="23815" xr:uid="{00000000-0005-0000-0000-000035210000}"/>
    <cellStyle name="Normal 2 57 3 2 6" xfId="6045" xr:uid="{00000000-0005-0000-0000-000036210000}"/>
    <cellStyle name="Normal 2 57 3 2 6 2" xfId="23816" xr:uid="{00000000-0005-0000-0000-000037210000}"/>
    <cellStyle name="Normal 2 57 3 2 7" xfId="6046" xr:uid="{00000000-0005-0000-0000-000038210000}"/>
    <cellStyle name="Normal 2 57 3 2 7 2" xfId="23817" xr:uid="{00000000-0005-0000-0000-000039210000}"/>
    <cellStyle name="Normal 2 57 3 2 8" xfId="6047" xr:uid="{00000000-0005-0000-0000-00003A210000}"/>
    <cellStyle name="Normal 2 57 3 2 8 2" xfId="23818" xr:uid="{00000000-0005-0000-0000-00003B210000}"/>
    <cellStyle name="Normal 2 57 3 2 9" xfId="6048" xr:uid="{00000000-0005-0000-0000-00003C210000}"/>
    <cellStyle name="Normal 2 57 3 2 9 2" xfId="23819" xr:uid="{00000000-0005-0000-0000-00003D210000}"/>
    <cellStyle name="Normal 2 57 3 3" xfId="6049" xr:uid="{00000000-0005-0000-0000-00003E210000}"/>
    <cellStyle name="Normal 2 57 3 3 2" xfId="23820" xr:uid="{00000000-0005-0000-0000-00003F210000}"/>
    <cellStyle name="Normal 2 57 3 4" xfId="6050" xr:uid="{00000000-0005-0000-0000-000040210000}"/>
    <cellStyle name="Normal 2 57 3 4 2" xfId="23821" xr:uid="{00000000-0005-0000-0000-000041210000}"/>
    <cellStyle name="Normal 2 57 3 5" xfId="6051" xr:uid="{00000000-0005-0000-0000-000042210000}"/>
    <cellStyle name="Normal 2 57 3 5 2" xfId="23822" xr:uid="{00000000-0005-0000-0000-000043210000}"/>
    <cellStyle name="Normal 2 57 3 6" xfId="6052" xr:uid="{00000000-0005-0000-0000-000044210000}"/>
    <cellStyle name="Normal 2 57 3 6 2" xfId="23823" xr:uid="{00000000-0005-0000-0000-000045210000}"/>
    <cellStyle name="Normal 2 57 3 7" xfId="6053" xr:uid="{00000000-0005-0000-0000-000046210000}"/>
    <cellStyle name="Normal 2 57 3 7 2" xfId="23824" xr:uid="{00000000-0005-0000-0000-000047210000}"/>
    <cellStyle name="Normal 2 57 3 8" xfId="6054" xr:uid="{00000000-0005-0000-0000-000048210000}"/>
    <cellStyle name="Normal 2 57 3 8 2" xfId="23825" xr:uid="{00000000-0005-0000-0000-000049210000}"/>
    <cellStyle name="Normal 2 57 3 9" xfId="6055" xr:uid="{00000000-0005-0000-0000-00004A210000}"/>
    <cellStyle name="Normal 2 57 3 9 2" xfId="23826" xr:uid="{00000000-0005-0000-0000-00004B210000}"/>
    <cellStyle name="Normal 2 57 4" xfId="6056" xr:uid="{00000000-0005-0000-0000-00004C210000}"/>
    <cellStyle name="Normal 2 57 4 10" xfId="6057" xr:uid="{00000000-0005-0000-0000-00004D210000}"/>
    <cellStyle name="Normal 2 57 4 10 2" xfId="23828" xr:uid="{00000000-0005-0000-0000-00004E210000}"/>
    <cellStyle name="Normal 2 57 4 11" xfId="6058" xr:uid="{00000000-0005-0000-0000-00004F210000}"/>
    <cellStyle name="Normal 2 57 4 11 2" xfId="23829" xr:uid="{00000000-0005-0000-0000-000050210000}"/>
    <cellStyle name="Normal 2 57 4 12" xfId="6059" xr:uid="{00000000-0005-0000-0000-000051210000}"/>
    <cellStyle name="Normal 2 57 4 12 2" xfId="23830" xr:uid="{00000000-0005-0000-0000-000052210000}"/>
    <cellStyle name="Normal 2 57 4 13" xfId="6060" xr:uid="{00000000-0005-0000-0000-000053210000}"/>
    <cellStyle name="Normal 2 57 4 13 2" xfId="23831" xr:uid="{00000000-0005-0000-0000-000054210000}"/>
    <cellStyle name="Normal 2 57 4 14" xfId="6061" xr:uid="{00000000-0005-0000-0000-000055210000}"/>
    <cellStyle name="Normal 2 57 4 14 2" xfId="23832" xr:uid="{00000000-0005-0000-0000-000056210000}"/>
    <cellStyle name="Normal 2 57 4 15" xfId="6062" xr:uid="{00000000-0005-0000-0000-000057210000}"/>
    <cellStyle name="Normal 2 57 4 15 2" xfId="23833" xr:uid="{00000000-0005-0000-0000-000058210000}"/>
    <cellStyle name="Normal 2 57 4 16" xfId="23827" xr:uid="{00000000-0005-0000-0000-000059210000}"/>
    <cellStyle name="Normal 2 57 4 2" xfId="6063" xr:uid="{00000000-0005-0000-0000-00005A210000}"/>
    <cellStyle name="Normal 2 57 4 2 10" xfId="6064" xr:uid="{00000000-0005-0000-0000-00005B210000}"/>
    <cellStyle name="Normal 2 57 4 2 10 2" xfId="23835" xr:uid="{00000000-0005-0000-0000-00005C210000}"/>
    <cellStyle name="Normal 2 57 4 2 11" xfId="6065" xr:uid="{00000000-0005-0000-0000-00005D210000}"/>
    <cellStyle name="Normal 2 57 4 2 11 2" xfId="23836" xr:uid="{00000000-0005-0000-0000-00005E210000}"/>
    <cellStyle name="Normal 2 57 4 2 12" xfId="6066" xr:uid="{00000000-0005-0000-0000-00005F210000}"/>
    <cellStyle name="Normal 2 57 4 2 12 2" xfId="23837" xr:uid="{00000000-0005-0000-0000-000060210000}"/>
    <cellStyle name="Normal 2 57 4 2 13" xfId="6067" xr:uid="{00000000-0005-0000-0000-000061210000}"/>
    <cellStyle name="Normal 2 57 4 2 13 2" xfId="23838" xr:uid="{00000000-0005-0000-0000-000062210000}"/>
    <cellStyle name="Normal 2 57 4 2 14" xfId="6068" xr:uid="{00000000-0005-0000-0000-000063210000}"/>
    <cellStyle name="Normal 2 57 4 2 14 2" xfId="23839" xr:uid="{00000000-0005-0000-0000-000064210000}"/>
    <cellStyle name="Normal 2 57 4 2 15" xfId="23834" xr:uid="{00000000-0005-0000-0000-000065210000}"/>
    <cellStyle name="Normal 2 57 4 2 2" xfId="6069" xr:uid="{00000000-0005-0000-0000-000066210000}"/>
    <cellStyle name="Normal 2 57 4 2 2 2" xfId="23840" xr:uid="{00000000-0005-0000-0000-000067210000}"/>
    <cellStyle name="Normal 2 57 4 2 3" xfId="6070" xr:uid="{00000000-0005-0000-0000-000068210000}"/>
    <cellStyle name="Normal 2 57 4 2 3 2" xfId="23841" xr:uid="{00000000-0005-0000-0000-000069210000}"/>
    <cellStyle name="Normal 2 57 4 2 4" xfId="6071" xr:uid="{00000000-0005-0000-0000-00006A210000}"/>
    <cellStyle name="Normal 2 57 4 2 4 2" xfId="23842" xr:uid="{00000000-0005-0000-0000-00006B210000}"/>
    <cellStyle name="Normal 2 57 4 2 5" xfId="6072" xr:uid="{00000000-0005-0000-0000-00006C210000}"/>
    <cellStyle name="Normal 2 57 4 2 5 2" xfId="23843" xr:uid="{00000000-0005-0000-0000-00006D210000}"/>
    <cellStyle name="Normal 2 57 4 2 6" xfId="6073" xr:uid="{00000000-0005-0000-0000-00006E210000}"/>
    <cellStyle name="Normal 2 57 4 2 6 2" xfId="23844" xr:uid="{00000000-0005-0000-0000-00006F210000}"/>
    <cellStyle name="Normal 2 57 4 2 7" xfId="6074" xr:uid="{00000000-0005-0000-0000-000070210000}"/>
    <cellStyle name="Normal 2 57 4 2 7 2" xfId="23845" xr:uid="{00000000-0005-0000-0000-000071210000}"/>
    <cellStyle name="Normal 2 57 4 2 8" xfId="6075" xr:uid="{00000000-0005-0000-0000-000072210000}"/>
    <cellStyle name="Normal 2 57 4 2 8 2" xfId="23846" xr:uid="{00000000-0005-0000-0000-000073210000}"/>
    <cellStyle name="Normal 2 57 4 2 9" xfId="6076" xr:uid="{00000000-0005-0000-0000-000074210000}"/>
    <cellStyle name="Normal 2 57 4 2 9 2" xfId="23847" xr:uid="{00000000-0005-0000-0000-000075210000}"/>
    <cellStyle name="Normal 2 57 4 3" xfId="6077" xr:uid="{00000000-0005-0000-0000-000076210000}"/>
    <cellStyle name="Normal 2 57 4 3 2" xfId="23848" xr:uid="{00000000-0005-0000-0000-000077210000}"/>
    <cellStyle name="Normal 2 57 4 4" xfId="6078" xr:uid="{00000000-0005-0000-0000-000078210000}"/>
    <cellStyle name="Normal 2 57 4 4 2" xfId="23849" xr:uid="{00000000-0005-0000-0000-000079210000}"/>
    <cellStyle name="Normal 2 57 4 5" xfId="6079" xr:uid="{00000000-0005-0000-0000-00007A210000}"/>
    <cellStyle name="Normal 2 57 4 5 2" xfId="23850" xr:uid="{00000000-0005-0000-0000-00007B210000}"/>
    <cellStyle name="Normal 2 57 4 6" xfId="6080" xr:uid="{00000000-0005-0000-0000-00007C210000}"/>
    <cellStyle name="Normal 2 57 4 6 2" xfId="23851" xr:uid="{00000000-0005-0000-0000-00007D210000}"/>
    <cellStyle name="Normal 2 57 4 7" xfId="6081" xr:uid="{00000000-0005-0000-0000-00007E210000}"/>
    <cellStyle name="Normal 2 57 4 7 2" xfId="23852" xr:uid="{00000000-0005-0000-0000-00007F210000}"/>
    <cellStyle name="Normal 2 57 4 8" xfId="6082" xr:uid="{00000000-0005-0000-0000-000080210000}"/>
    <cellStyle name="Normal 2 57 4 8 2" xfId="23853" xr:uid="{00000000-0005-0000-0000-000081210000}"/>
    <cellStyle name="Normal 2 57 4 9" xfId="6083" xr:uid="{00000000-0005-0000-0000-000082210000}"/>
    <cellStyle name="Normal 2 57 4 9 2" xfId="23854" xr:uid="{00000000-0005-0000-0000-000083210000}"/>
    <cellStyle name="Normal 2 57 5" xfId="6084" xr:uid="{00000000-0005-0000-0000-000084210000}"/>
    <cellStyle name="Normal 2 57 5 10" xfId="6085" xr:uid="{00000000-0005-0000-0000-000085210000}"/>
    <cellStyle name="Normal 2 57 5 10 2" xfId="23856" xr:uid="{00000000-0005-0000-0000-000086210000}"/>
    <cellStyle name="Normal 2 57 5 11" xfId="6086" xr:uid="{00000000-0005-0000-0000-000087210000}"/>
    <cellStyle name="Normal 2 57 5 11 2" xfId="23857" xr:uid="{00000000-0005-0000-0000-000088210000}"/>
    <cellStyle name="Normal 2 57 5 12" xfId="6087" xr:uid="{00000000-0005-0000-0000-000089210000}"/>
    <cellStyle name="Normal 2 57 5 12 2" xfId="23858" xr:uid="{00000000-0005-0000-0000-00008A210000}"/>
    <cellStyle name="Normal 2 57 5 13" xfId="6088" xr:uid="{00000000-0005-0000-0000-00008B210000}"/>
    <cellStyle name="Normal 2 57 5 13 2" xfId="23859" xr:uid="{00000000-0005-0000-0000-00008C210000}"/>
    <cellStyle name="Normal 2 57 5 14" xfId="6089" xr:uid="{00000000-0005-0000-0000-00008D210000}"/>
    <cellStyle name="Normal 2 57 5 14 2" xfId="23860" xr:uid="{00000000-0005-0000-0000-00008E210000}"/>
    <cellStyle name="Normal 2 57 5 15" xfId="23855" xr:uid="{00000000-0005-0000-0000-00008F210000}"/>
    <cellStyle name="Normal 2 57 5 2" xfId="6090" xr:uid="{00000000-0005-0000-0000-000090210000}"/>
    <cellStyle name="Normal 2 57 5 2 2" xfId="23861" xr:uid="{00000000-0005-0000-0000-000091210000}"/>
    <cellStyle name="Normal 2 57 5 3" xfId="6091" xr:uid="{00000000-0005-0000-0000-000092210000}"/>
    <cellStyle name="Normal 2 57 5 3 2" xfId="23862" xr:uid="{00000000-0005-0000-0000-000093210000}"/>
    <cellStyle name="Normal 2 57 5 4" xfId="6092" xr:uid="{00000000-0005-0000-0000-000094210000}"/>
    <cellStyle name="Normal 2 57 5 4 2" xfId="23863" xr:uid="{00000000-0005-0000-0000-000095210000}"/>
    <cellStyle name="Normal 2 57 5 5" xfId="6093" xr:uid="{00000000-0005-0000-0000-000096210000}"/>
    <cellStyle name="Normal 2 57 5 5 2" xfId="23864" xr:uid="{00000000-0005-0000-0000-000097210000}"/>
    <cellStyle name="Normal 2 57 5 6" xfId="6094" xr:uid="{00000000-0005-0000-0000-000098210000}"/>
    <cellStyle name="Normal 2 57 5 6 2" xfId="23865" xr:uid="{00000000-0005-0000-0000-000099210000}"/>
    <cellStyle name="Normal 2 57 5 7" xfId="6095" xr:uid="{00000000-0005-0000-0000-00009A210000}"/>
    <cellStyle name="Normal 2 57 5 7 2" xfId="23866" xr:uid="{00000000-0005-0000-0000-00009B210000}"/>
    <cellStyle name="Normal 2 57 5 8" xfId="6096" xr:uid="{00000000-0005-0000-0000-00009C210000}"/>
    <cellStyle name="Normal 2 57 5 8 2" xfId="23867" xr:uid="{00000000-0005-0000-0000-00009D210000}"/>
    <cellStyle name="Normal 2 57 5 9" xfId="6097" xr:uid="{00000000-0005-0000-0000-00009E210000}"/>
    <cellStyle name="Normal 2 57 5 9 2" xfId="23868" xr:uid="{00000000-0005-0000-0000-00009F210000}"/>
    <cellStyle name="Normal 2 57 6" xfId="6098" xr:uid="{00000000-0005-0000-0000-0000A0210000}"/>
    <cellStyle name="Normal 2 57 6 10" xfId="6099" xr:uid="{00000000-0005-0000-0000-0000A1210000}"/>
    <cellStyle name="Normal 2 57 6 10 2" xfId="23870" xr:uid="{00000000-0005-0000-0000-0000A2210000}"/>
    <cellStyle name="Normal 2 57 6 11" xfId="6100" xr:uid="{00000000-0005-0000-0000-0000A3210000}"/>
    <cellStyle name="Normal 2 57 6 11 2" xfId="23871" xr:uid="{00000000-0005-0000-0000-0000A4210000}"/>
    <cellStyle name="Normal 2 57 6 12" xfId="6101" xr:uid="{00000000-0005-0000-0000-0000A5210000}"/>
    <cellStyle name="Normal 2 57 6 12 2" xfId="23872" xr:uid="{00000000-0005-0000-0000-0000A6210000}"/>
    <cellStyle name="Normal 2 57 6 13" xfId="6102" xr:uid="{00000000-0005-0000-0000-0000A7210000}"/>
    <cellStyle name="Normal 2 57 6 13 2" xfId="23873" xr:uid="{00000000-0005-0000-0000-0000A8210000}"/>
    <cellStyle name="Normal 2 57 6 14" xfId="6103" xr:uid="{00000000-0005-0000-0000-0000A9210000}"/>
    <cellStyle name="Normal 2 57 6 14 2" xfId="23874" xr:uid="{00000000-0005-0000-0000-0000AA210000}"/>
    <cellStyle name="Normal 2 57 6 15" xfId="23869" xr:uid="{00000000-0005-0000-0000-0000AB210000}"/>
    <cellStyle name="Normal 2 57 6 2" xfId="6104" xr:uid="{00000000-0005-0000-0000-0000AC210000}"/>
    <cellStyle name="Normal 2 57 6 2 2" xfId="23875" xr:uid="{00000000-0005-0000-0000-0000AD210000}"/>
    <cellStyle name="Normal 2 57 6 3" xfId="6105" xr:uid="{00000000-0005-0000-0000-0000AE210000}"/>
    <cellStyle name="Normal 2 57 6 3 2" xfId="23876" xr:uid="{00000000-0005-0000-0000-0000AF210000}"/>
    <cellStyle name="Normal 2 57 6 4" xfId="6106" xr:uid="{00000000-0005-0000-0000-0000B0210000}"/>
    <cellStyle name="Normal 2 57 6 4 2" xfId="23877" xr:uid="{00000000-0005-0000-0000-0000B1210000}"/>
    <cellStyle name="Normal 2 57 6 5" xfId="6107" xr:uid="{00000000-0005-0000-0000-0000B2210000}"/>
    <cellStyle name="Normal 2 57 6 5 2" xfId="23878" xr:uid="{00000000-0005-0000-0000-0000B3210000}"/>
    <cellStyle name="Normal 2 57 6 6" xfId="6108" xr:uid="{00000000-0005-0000-0000-0000B4210000}"/>
    <cellStyle name="Normal 2 57 6 6 2" xfId="23879" xr:uid="{00000000-0005-0000-0000-0000B5210000}"/>
    <cellStyle name="Normal 2 57 6 7" xfId="6109" xr:uid="{00000000-0005-0000-0000-0000B6210000}"/>
    <cellStyle name="Normal 2 57 6 7 2" xfId="23880" xr:uid="{00000000-0005-0000-0000-0000B7210000}"/>
    <cellStyle name="Normal 2 57 6 8" xfId="6110" xr:uid="{00000000-0005-0000-0000-0000B8210000}"/>
    <cellStyle name="Normal 2 57 6 8 2" xfId="23881" xr:uid="{00000000-0005-0000-0000-0000B9210000}"/>
    <cellStyle name="Normal 2 57 6 9" xfId="6111" xr:uid="{00000000-0005-0000-0000-0000BA210000}"/>
    <cellStyle name="Normal 2 57 6 9 2" xfId="23882" xr:uid="{00000000-0005-0000-0000-0000BB210000}"/>
    <cellStyle name="Normal 2 57 7" xfId="6112" xr:uid="{00000000-0005-0000-0000-0000BC210000}"/>
    <cellStyle name="Normal 2 57 7 10" xfId="6113" xr:uid="{00000000-0005-0000-0000-0000BD210000}"/>
    <cellStyle name="Normal 2 57 7 10 2" xfId="23884" xr:uid="{00000000-0005-0000-0000-0000BE210000}"/>
    <cellStyle name="Normal 2 57 7 11" xfId="6114" xr:uid="{00000000-0005-0000-0000-0000BF210000}"/>
    <cellStyle name="Normal 2 57 7 11 2" xfId="23885" xr:uid="{00000000-0005-0000-0000-0000C0210000}"/>
    <cellStyle name="Normal 2 57 7 12" xfId="6115" xr:uid="{00000000-0005-0000-0000-0000C1210000}"/>
    <cellStyle name="Normal 2 57 7 12 2" xfId="23886" xr:uid="{00000000-0005-0000-0000-0000C2210000}"/>
    <cellStyle name="Normal 2 57 7 13" xfId="6116" xr:uid="{00000000-0005-0000-0000-0000C3210000}"/>
    <cellStyle name="Normal 2 57 7 13 2" xfId="23887" xr:uid="{00000000-0005-0000-0000-0000C4210000}"/>
    <cellStyle name="Normal 2 57 7 14" xfId="6117" xr:uid="{00000000-0005-0000-0000-0000C5210000}"/>
    <cellStyle name="Normal 2 57 7 14 2" xfId="23888" xr:uid="{00000000-0005-0000-0000-0000C6210000}"/>
    <cellStyle name="Normal 2 57 7 15" xfId="23883" xr:uid="{00000000-0005-0000-0000-0000C7210000}"/>
    <cellStyle name="Normal 2 57 7 2" xfId="6118" xr:uid="{00000000-0005-0000-0000-0000C8210000}"/>
    <cellStyle name="Normal 2 57 7 2 2" xfId="23889" xr:uid="{00000000-0005-0000-0000-0000C9210000}"/>
    <cellStyle name="Normal 2 57 7 3" xfId="6119" xr:uid="{00000000-0005-0000-0000-0000CA210000}"/>
    <cellStyle name="Normal 2 57 7 3 2" xfId="23890" xr:uid="{00000000-0005-0000-0000-0000CB210000}"/>
    <cellStyle name="Normal 2 57 7 4" xfId="6120" xr:uid="{00000000-0005-0000-0000-0000CC210000}"/>
    <cellStyle name="Normal 2 57 7 4 2" xfId="23891" xr:uid="{00000000-0005-0000-0000-0000CD210000}"/>
    <cellStyle name="Normal 2 57 7 5" xfId="6121" xr:uid="{00000000-0005-0000-0000-0000CE210000}"/>
    <cellStyle name="Normal 2 57 7 5 2" xfId="23892" xr:uid="{00000000-0005-0000-0000-0000CF210000}"/>
    <cellStyle name="Normal 2 57 7 6" xfId="6122" xr:uid="{00000000-0005-0000-0000-0000D0210000}"/>
    <cellStyle name="Normal 2 57 7 6 2" xfId="23893" xr:uid="{00000000-0005-0000-0000-0000D1210000}"/>
    <cellStyle name="Normal 2 57 7 7" xfId="6123" xr:uid="{00000000-0005-0000-0000-0000D2210000}"/>
    <cellStyle name="Normal 2 57 7 7 2" xfId="23894" xr:uid="{00000000-0005-0000-0000-0000D3210000}"/>
    <cellStyle name="Normal 2 57 7 8" xfId="6124" xr:uid="{00000000-0005-0000-0000-0000D4210000}"/>
    <cellStyle name="Normal 2 57 7 8 2" xfId="23895" xr:uid="{00000000-0005-0000-0000-0000D5210000}"/>
    <cellStyle name="Normal 2 57 7 9" xfId="6125" xr:uid="{00000000-0005-0000-0000-0000D6210000}"/>
    <cellStyle name="Normal 2 57 7 9 2" xfId="23896" xr:uid="{00000000-0005-0000-0000-0000D7210000}"/>
    <cellStyle name="Normal 2 57 8" xfId="6126" xr:uid="{00000000-0005-0000-0000-0000D8210000}"/>
    <cellStyle name="Normal 2 57 8 10" xfId="6127" xr:uid="{00000000-0005-0000-0000-0000D9210000}"/>
    <cellStyle name="Normal 2 57 8 10 2" xfId="23898" xr:uid="{00000000-0005-0000-0000-0000DA210000}"/>
    <cellStyle name="Normal 2 57 8 11" xfId="6128" xr:uid="{00000000-0005-0000-0000-0000DB210000}"/>
    <cellStyle name="Normal 2 57 8 11 2" xfId="23899" xr:uid="{00000000-0005-0000-0000-0000DC210000}"/>
    <cellStyle name="Normal 2 57 8 12" xfId="6129" xr:uid="{00000000-0005-0000-0000-0000DD210000}"/>
    <cellStyle name="Normal 2 57 8 12 2" xfId="23900" xr:uid="{00000000-0005-0000-0000-0000DE210000}"/>
    <cellStyle name="Normal 2 57 8 13" xfId="6130" xr:uid="{00000000-0005-0000-0000-0000DF210000}"/>
    <cellStyle name="Normal 2 57 8 13 2" xfId="23901" xr:uid="{00000000-0005-0000-0000-0000E0210000}"/>
    <cellStyle name="Normal 2 57 8 14" xfId="6131" xr:uid="{00000000-0005-0000-0000-0000E1210000}"/>
    <cellStyle name="Normal 2 57 8 14 2" xfId="23902" xr:uid="{00000000-0005-0000-0000-0000E2210000}"/>
    <cellStyle name="Normal 2 57 8 15" xfId="23897" xr:uid="{00000000-0005-0000-0000-0000E3210000}"/>
    <cellStyle name="Normal 2 57 8 2" xfId="6132" xr:uid="{00000000-0005-0000-0000-0000E4210000}"/>
    <cellStyle name="Normal 2 57 8 2 2" xfId="23903" xr:uid="{00000000-0005-0000-0000-0000E5210000}"/>
    <cellStyle name="Normal 2 57 8 3" xfId="6133" xr:uid="{00000000-0005-0000-0000-0000E6210000}"/>
    <cellStyle name="Normal 2 57 8 3 2" xfId="23904" xr:uid="{00000000-0005-0000-0000-0000E7210000}"/>
    <cellStyle name="Normal 2 57 8 4" xfId="6134" xr:uid="{00000000-0005-0000-0000-0000E8210000}"/>
    <cellStyle name="Normal 2 57 8 4 2" xfId="23905" xr:uid="{00000000-0005-0000-0000-0000E9210000}"/>
    <cellStyle name="Normal 2 57 8 5" xfId="6135" xr:uid="{00000000-0005-0000-0000-0000EA210000}"/>
    <cellStyle name="Normal 2 57 8 5 2" xfId="23906" xr:uid="{00000000-0005-0000-0000-0000EB210000}"/>
    <cellStyle name="Normal 2 57 8 6" xfId="6136" xr:uid="{00000000-0005-0000-0000-0000EC210000}"/>
    <cellStyle name="Normal 2 57 8 6 2" xfId="23907" xr:uid="{00000000-0005-0000-0000-0000ED210000}"/>
    <cellStyle name="Normal 2 57 8 7" xfId="6137" xr:uid="{00000000-0005-0000-0000-0000EE210000}"/>
    <cellStyle name="Normal 2 57 8 7 2" xfId="23908" xr:uid="{00000000-0005-0000-0000-0000EF210000}"/>
    <cellStyle name="Normal 2 57 8 8" xfId="6138" xr:uid="{00000000-0005-0000-0000-0000F0210000}"/>
    <cellStyle name="Normal 2 57 8 8 2" xfId="23909" xr:uid="{00000000-0005-0000-0000-0000F1210000}"/>
    <cellStyle name="Normal 2 57 8 9" xfId="6139" xr:uid="{00000000-0005-0000-0000-0000F2210000}"/>
    <cellStyle name="Normal 2 57 8 9 2" xfId="23910" xr:uid="{00000000-0005-0000-0000-0000F3210000}"/>
    <cellStyle name="Normal 2 57 9" xfId="6140" xr:uid="{00000000-0005-0000-0000-0000F4210000}"/>
    <cellStyle name="Normal 2 57 9 10" xfId="6141" xr:uid="{00000000-0005-0000-0000-0000F5210000}"/>
    <cellStyle name="Normal 2 57 9 10 2" xfId="23912" xr:uid="{00000000-0005-0000-0000-0000F6210000}"/>
    <cellStyle name="Normal 2 57 9 11" xfId="6142" xr:uid="{00000000-0005-0000-0000-0000F7210000}"/>
    <cellStyle name="Normal 2 57 9 11 2" xfId="23913" xr:uid="{00000000-0005-0000-0000-0000F8210000}"/>
    <cellStyle name="Normal 2 57 9 12" xfId="6143" xr:uid="{00000000-0005-0000-0000-0000F9210000}"/>
    <cellStyle name="Normal 2 57 9 12 2" xfId="23914" xr:uid="{00000000-0005-0000-0000-0000FA210000}"/>
    <cellStyle name="Normal 2 57 9 13" xfId="6144" xr:uid="{00000000-0005-0000-0000-0000FB210000}"/>
    <cellStyle name="Normal 2 57 9 13 2" xfId="23915" xr:uid="{00000000-0005-0000-0000-0000FC210000}"/>
    <cellStyle name="Normal 2 57 9 14" xfId="6145" xr:uid="{00000000-0005-0000-0000-0000FD210000}"/>
    <cellStyle name="Normal 2 57 9 14 2" xfId="23916" xr:uid="{00000000-0005-0000-0000-0000FE210000}"/>
    <cellStyle name="Normal 2 57 9 15" xfId="23911" xr:uid="{00000000-0005-0000-0000-0000FF210000}"/>
    <cellStyle name="Normal 2 57 9 2" xfId="6146" xr:uid="{00000000-0005-0000-0000-000000220000}"/>
    <cellStyle name="Normal 2 57 9 2 2" xfId="23917" xr:uid="{00000000-0005-0000-0000-000001220000}"/>
    <cellStyle name="Normal 2 57 9 3" xfId="6147" xr:uid="{00000000-0005-0000-0000-000002220000}"/>
    <cellStyle name="Normal 2 57 9 3 2" xfId="23918" xr:uid="{00000000-0005-0000-0000-000003220000}"/>
    <cellStyle name="Normal 2 57 9 4" xfId="6148" xr:uid="{00000000-0005-0000-0000-000004220000}"/>
    <cellStyle name="Normal 2 57 9 4 2" xfId="23919" xr:uid="{00000000-0005-0000-0000-000005220000}"/>
    <cellStyle name="Normal 2 57 9 5" xfId="6149" xr:uid="{00000000-0005-0000-0000-000006220000}"/>
    <cellStyle name="Normal 2 57 9 5 2" xfId="23920" xr:uid="{00000000-0005-0000-0000-000007220000}"/>
    <cellStyle name="Normal 2 57 9 6" xfId="6150" xr:uid="{00000000-0005-0000-0000-000008220000}"/>
    <cellStyle name="Normal 2 57 9 6 2" xfId="23921" xr:uid="{00000000-0005-0000-0000-000009220000}"/>
    <cellStyle name="Normal 2 57 9 7" xfId="6151" xr:uid="{00000000-0005-0000-0000-00000A220000}"/>
    <cellStyle name="Normal 2 57 9 7 2" xfId="23922" xr:uid="{00000000-0005-0000-0000-00000B220000}"/>
    <cellStyle name="Normal 2 57 9 8" xfId="6152" xr:uid="{00000000-0005-0000-0000-00000C220000}"/>
    <cellStyle name="Normal 2 57 9 8 2" xfId="23923" xr:uid="{00000000-0005-0000-0000-00000D220000}"/>
    <cellStyle name="Normal 2 57 9 9" xfId="6153" xr:uid="{00000000-0005-0000-0000-00000E220000}"/>
    <cellStyle name="Normal 2 57 9 9 2" xfId="23924" xr:uid="{00000000-0005-0000-0000-00000F220000}"/>
    <cellStyle name="Normal 2 58" xfId="6154" xr:uid="{00000000-0005-0000-0000-000010220000}"/>
    <cellStyle name="Normal 2 58 10" xfId="6155" xr:uid="{00000000-0005-0000-0000-000011220000}"/>
    <cellStyle name="Normal 2 58 10 10" xfId="6156" xr:uid="{00000000-0005-0000-0000-000012220000}"/>
    <cellStyle name="Normal 2 58 10 10 2" xfId="23927" xr:uid="{00000000-0005-0000-0000-000013220000}"/>
    <cellStyle name="Normal 2 58 10 11" xfId="6157" xr:uid="{00000000-0005-0000-0000-000014220000}"/>
    <cellStyle name="Normal 2 58 10 11 2" xfId="23928" xr:uid="{00000000-0005-0000-0000-000015220000}"/>
    <cellStyle name="Normal 2 58 10 12" xfId="6158" xr:uid="{00000000-0005-0000-0000-000016220000}"/>
    <cellStyle name="Normal 2 58 10 12 2" xfId="23929" xr:uid="{00000000-0005-0000-0000-000017220000}"/>
    <cellStyle name="Normal 2 58 10 13" xfId="6159" xr:uid="{00000000-0005-0000-0000-000018220000}"/>
    <cellStyle name="Normal 2 58 10 13 2" xfId="23930" xr:uid="{00000000-0005-0000-0000-000019220000}"/>
    <cellStyle name="Normal 2 58 10 14" xfId="6160" xr:uid="{00000000-0005-0000-0000-00001A220000}"/>
    <cellStyle name="Normal 2 58 10 14 2" xfId="23931" xr:uid="{00000000-0005-0000-0000-00001B220000}"/>
    <cellStyle name="Normal 2 58 10 15" xfId="23926" xr:uid="{00000000-0005-0000-0000-00001C220000}"/>
    <cellStyle name="Normal 2 58 10 2" xfId="6161" xr:uid="{00000000-0005-0000-0000-00001D220000}"/>
    <cellStyle name="Normal 2 58 10 2 2" xfId="23932" xr:uid="{00000000-0005-0000-0000-00001E220000}"/>
    <cellStyle name="Normal 2 58 10 3" xfId="6162" xr:uid="{00000000-0005-0000-0000-00001F220000}"/>
    <cellStyle name="Normal 2 58 10 3 2" xfId="23933" xr:uid="{00000000-0005-0000-0000-000020220000}"/>
    <cellStyle name="Normal 2 58 10 4" xfId="6163" xr:uid="{00000000-0005-0000-0000-000021220000}"/>
    <cellStyle name="Normal 2 58 10 4 2" xfId="23934" xr:uid="{00000000-0005-0000-0000-000022220000}"/>
    <cellStyle name="Normal 2 58 10 5" xfId="6164" xr:uid="{00000000-0005-0000-0000-000023220000}"/>
    <cellStyle name="Normal 2 58 10 5 2" xfId="23935" xr:uid="{00000000-0005-0000-0000-000024220000}"/>
    <cellStyle name="Normal 2 58 10 6" xfId="6165" xr:uid="{00000000-0005-0000-0000-000025220000}"/>
    <cellStyle name="Normal 2 58 10 6 2" xfId="23936" xr:uid="{00000000-0005-0000-0000-000026220000}"/>
    <cellStyle name="Normal 2 58 10 7" xfId="6166" xr:uid="{00000000-0005-0000-0000-000027220000}"/>
    <cellStyle name="Normal 2 58 10 7 2" xfId="23937" xr:uid="{00000000-0005-0000-0000-000028220000}"/>
    <cellStyle name="Normal 2 58 10 8" xfId="6167" xr:uid="{00000000-0005-0000-0000-000029220000}"/>
    <cellStyle name="Normal 2 58 10 8 2" xfId="23938" xr:uid="{00000000-0005-0000-0000-00002A220000}"/>
    <cellStyle name="Normal 2 58 10 9" xfId="6168" xr:uid="{00000000-0005-0000-0000-00002B220000}"/>
    <cellStyle name="Normal 2 58 10 9 2" xfId="23939" xr:uid="{00000000-0005-0000-0000-00002C220000}"/>
    <cellStyle name="Normal 2 58 11" xfId="6169" xr:uid="{00000000-0005-0000-0000-00002D220000}"/>
    <cellStyle name="Normal 2 58 11 2" xfId="23940" xr:uid="{00000000-0005-0000-0000-00002E220000}"/>
    <cellStyle name="Normal 2 58 12" xfId="6170" xr:uid="{00000000-0005-0000-0000-00002F220000}"/>
    <cellStyle name="Normal 2 58 12 2" xfId="23941" xr:uid="{00000000-0005-0000-0000-000030220000}"/>
    <cellStyle name="Normal 2 58 13" xfId="6171" xr:uid="{00000000-0005-0000-0000-000031220000}"/>
    <cellStyle name="Normal 2 58 13 2" xfId="23942" xr:uid="{00000000-0005-0000-0000-000032220000}"/>
    <cellStyle name="Normal 2 58 14" xfId="6172" xr:uid="{00000000-0005-0000-0000-000033220000}"/>
    <cellStyle name="Normal 2 58 14 2" xfId="23943" xr:uid="{00000000-0005-0000-0000-000034220000}"/>
    <cellStyle name="Normal 2 58 15" xfId="6173" xr:uid="{00000000-0005-0000-0000-000035220000}"/>
    <cellStyle name="Normal 2 58 15 2" xfId="23944" xr:uid="{00000000-0005-0000-0000-000036220000}"/>
    <cellStyle name="Normal 2 58 16" xfId="6174" xr:uid="{00000000-0005-0000-0000-000037220000}"/>
    <cellStyle name="Normal 2 58 16 2" xfId="23945" xr:uid="{00000000-0005-0000-0000-000038220000}"/>
    <cellStyle name="Normal 2 58 17" xfId="6175" xr:uid="{00000000-0005-0000-0000-000039220000}"/>
    <cellStyle name="Normal 2 58 17 2" xfId="23946" xr:uid="{00000000-0005-0000-0000-00003A220000}"/>
    <cellStyle name="Normal 2 58 18" xfId="6176" xr:uid="{00000000-0005-0000-0000-00003B220000}"/>
    <cellStyle name="Normal 2 58 18 2" xfId="23947" xr:uid="{00000000-0005-0000-0000-00003C220000}"/>
    <cellStyle name="Normal 2 58 19" xfId="6177" xr:uid="{00000000-0005-0000-0000-00003D220000}"/>
    <cellStyle name="Normal 2 58 19 2" xfId="23948" xr:uid="{00000000-0005-0000-0000-00003E220000}"/>
    <cellStyle name="Normal 2 58 2" xfId="6178" xr:uid="{00000000-0005-0000-0000-00003F220000}"/>
    <cellStyle name="Normal 2 58 2 10" xfId="6179" xr:uid="{00000000-0005-0000-0000-000040220000}"/>
    <cellStyle name="Normal 2 58 2 10 2" xfId="23950" xr:uid="{00000000-0005-0000-0000-000041220000}"/>
    <cellStyle name="Normal 2 58 2 11" xfId="6180" xr:uid="{00000000-0005-0000-0000-000042220000}"/>
    <cellStyle name="Normal 2 58 2 11 2" xfId="23951" xr:uid="{00000000-0005-0000-0000-000043220000}"/>
    <cellStyle name="Normal 2 58 2 12" xfId="6181" xr:uid="{00000000-0005-0000-0000-000044220000}"/>
    <cellStyle name="Normal 2 58 2 12 2" xfId="23952" xr:uid="{00000000-0005-0000-0000-000045220000}"/>
    <cellStyle name="Normal 2 58 2 13" xfId="6182" xr:uid="{00000000-0005-0000-0000-000046220000}"/>
    <cellStyle name="Normal 2 58 2 13 2" xfId="23953" xr:uid="{00000000-0005-0000-0000-000047220000}"/>
    <cellStyle name="Normal 2 58 2 14" xfId="6183" xr:uid="{00000000-0005-0000-0000-000048220000}"/>
    <cellStyle name="Normal 2 58 2 14 2" xfId="23954" xr:uid="{00000000-0005-0000-0000-000049220000}"/>
    <cellStyle name="Normal 2 58 2 15" xfId="6184" xr:uid="{00000000-0005-0000-0000-00004A220000}"/>
    <cellStyle name="Normal 2 58 2 15 2" xfId="23955" xr:uid="{00000000-0005-0000-0000-00004B220000}"/>
    <cellStyle name="Normal 2 58 2 16" xfId="23949" xr:uid="{00000000-0005-0000-0000-00004C220000}"/>
    <cellStyle name="Normal 2 58 2 2" xfId="6185" xr:uid="{00000000-0005-0000-0000-00004D220000}"/>
    <cellStyle name="Normal 2 58 2 2 10" xfId="6186" xr:uid="{00000000-0005-0000-0000-00004E220000}"/>
    <cellStyle name="Normal 2 58 2 2 10 2" xfId="23957" xr:uid="{00000000-0005-0000-0000-00004F220000}"/>
    <cellStyle name="Normal 2 58 2 2 11" xfId="6187" xr:uid="{00000000-0005-0000-0000-000050220000}"/>
    <cellStyle name="Normal 2 58 2 2 11 2" xfId="23958" xr:uid="{00000000-0005-0000-0000-000051220000}"/>
    <cellStyle name="Normal 2 58 2 2 12" xfId="6188" xr:uid="{00000000-0005-0000-0000-000052220000}"/>
    <cellStyle name="Normal 2 58 2 2 12 2" xfId="23959" xr:uid="{00000000-0005-0000-0000-000053220000}"/>
    <cellStyle name="Normal 2 58 2 2 13" xfId="6189" xr:uid="{00000000-0005-0000-0000-000054220000}"/>
    <cellStyle name="Normal 2 58 2 2 13 2" xfId="23960" xr:uid="{00000000-0005-0000-0000-000055220000}"/>
    <cellStyle name="Normal 2 58 2 2 14" xfId="6190" xr:uid="{00000000-0005-0000-0000-000056220000}"/>
    <cellStyle name="Normal 2 58 2 2 14 2" xfId="23961" xr:uid="{00000000-0005-0000-0000-000057220000}"/>
    <cellStyle name="Normal 2 58 2 2 15" xfId="23956" xr:uid="{00000000-0005-0000-0000-000058220000}"/>
    <cellStyle name="Normal 2 58 2 2 2" xfId="6191" xr:uid="{00000000-0005-0000-0000-000059220000}"/>
    <cellStyle name="Normal 2 58 2 2 2 2" xfId="23962" xr:uid="{00000000-0005-0000-0000-00005A220000}"/>
    <cellStyle name="Normal 2 58 2 2 3" xfId="6192" xr:uid="{00000000-0005-0000-0000-00005B220000}"/>
    <cellStyle name="Normal 2 58 2 2 3 2" xfId="23963" xr:uid="{00000000-0005-0000-0000-00005C220000}"/>
    <cellStyle name="Normal 2 58 2 2 4" xfId="6193" xr:uid="{00000000-0005-0000-0000-00005D220000}"/>
    <cellStyle name="Normal 2 58 2 2 4 2" xfId="23964" xr:uid="{00000000-0005-0000-0000-00005E220000}"/>
    <cellStyle name="Normal 2 58 2 2 5" xfId="6194" xr:uid="{00000000-0005-0000-0000-00005F220000}"/>
    <cellStyle name="Normal 2 58 2 2 5 2" xfId="23965" xr:uid="{00000000-0005-0000-0000-000060220000}"/>
    <cellStyle name="Normal 2 58 2 2 6" xfId="6195" xr:uid="{00000000-0005-0000-0000-000061220000}"/>
    <cellStyle name="Normal 2 58 2 2 6 2" xfId="23966" xr:uid="{00000000-0005-0000-0000-000062220000}"/>
    <cellStyle name="Normal 2 58 2 2 7" xfId="6196" xr:uid="{00000000-0005-0000-0000-000063220000}"/>
    <cellStyle name="Normal 2 58 2 2 7 2" xfId="23967" xr:uid="{00000000-0005-0000-0000-000064220000}"/>
    <cellStyle name="Normal 2 58 2 2 8" xfId="6197" xr:uid="{00000000-0005-0000-0000-000065220000}"/>
    <cellStyle name="Normal 2 58 2 2 8 2" xfId="23968" xr:uid="{00000000-0005-0000-0000-000066220000}"/>
    <cellStyle name="Normal 2 58 2 2 9" xfId="6198" xr:uid="{00000000-0005-0000-0000-000067220000}"/>
    <cellStyle name="Normal 2 58 2 2 9 2" xfId="23969" xr:uid="{00000000-0005-0000-0000-000068220000}"/>
    <cellStyle name="Normal 2 58 2 3" xfId="6199" xr:uid="{00000000-0005-0000-0000-000069220000}"/>
    <cellStyle name="Normal 2 58 2 3 2" xfId="23970" xr:uid="{00000000-0005-0000-0000-00006A220000}"/>
    <cellStyle name="Normal 2 58 2 4" xfId="6200" xr:uid="{00000000-0005-0000-0000-00006B220000}"/>
    <cellStyle name="Normal 2 58 2 4 2" xfId="23971" xr:uid="{00000000-0005-0000-0000-00006C220000}"/>
    <cellStyle name="Normal 2 58 2 5" xfId="6201" xr:uid="{00000000-0005-0000-0000-00006D220000}"/>
    <cellStyle name="Normal 2 58 2 5 2" xfId="23972" xr:uid="{00000000-0005-0000-0000-00006E220000}"/>
    <cellStyle name="Normal 2 58 2 6" xfId="6202" xr:uid="{00000000-0005-0000-0000-00006F220000}"/>
    <cellStyle name="Normal 2 58 2 6 2" xfId="23973" xr:uid="{00000000-0005-0000-0000-000070220000}"/>
    <cellStyle name="Normal 2 58 2 7" xfId="6203" xr:uid="{00000000-0005-0000-0000-000071220000}"/>
    <cellStyle name="Normal 2 58 2 7 2" xfId="23974" xr:uid="{00000000-0005-0000-0000-000072220000}"/>
    <cellStyle name="Normal 2 58 2 8" xfId="6204" xr:uid="{00000000-0005-0000-0000-000073220000}"/>
    <cellStyle name="Normal 2 58 2 8 2" xfId="23975" xr:uid="{00000000-0005-0000-0000-000074220000}"/>
    <cellStyle name="Normal 2 58 2 9" xfId="6205" xr:uid="{00000000-0005-0000-0000-000075220000}"/>
    <cellStyle name="Normal 2 58 2 9 2" xfId="23976" xr:uid="{00000000-0005-0000-0000-000076220000}"/>
    <cellStyle name="Normal 2 58 20" xfId="6206" xr:uid="{00000000-0005-0000-0000-000077220000}"/>
    <cellStyle name="Normal 2 58 20 2" xfId="23977" xr:uid="{00000000-0005-0000-0000-000078220000}"/>
    <cellStyle name="Normal 2 58 21" xfId="6207" xr:uid="{00000000-0005-0000-0000-000079220000}"/>
    <cellStyle name="Normal 2 58 21 2" xfId="23978" xr:uid="{00000000-0005-0000-0000-00007A220000}"/>
    <cellStyle name="Normal 2 58 22" xfId="6208" xr:uid="{00000000-0005-0000-0000-00007B220000}"/>
    <cellStyle name="Normal 2 58 22 2" xfId="23979" xr:uid="{00000000-0005-0000-0000-00007C220000}"/>
    <cellStyle name="Normal 2 58 23" xfId="6209" xr:uid="{00000000-0005-0000-0000-00007D220000}"/>
    <cellStyle name="Normal 2 58 23 2" xfId="23980" xr:uid="{00000000-0005-0000-0000-00007E220000}"/>
    <cellStyle name="Normal 2 58 24" xfId="23925" xr:uid="{00000000-0005-0000-0000-00007F220000}"/>
    <cellStyle name="Normal 2 58 3" xfId="6210" xr:uid="{00000000-0005-0000-0000-000080220000}"/>
    <cellStyle name="Normal 2 58 3 10" xfId="6211" xr:uid="{00000000-0005-0000-0000-000081220000}"/>
    <cellStyle name="Normal 2 58 3 10 2" xfId="23982" xr:uid="{00000000-0005-0000-0000-000082220000}"/>
    <cellStyle name="Normal 2 58 3 11" xfId="6212" xr:uid="{00000000-0005-0000-0000-000083220000}"/>
    <cellStyle name="Normal 2 58 3 11 2" xfId="23983" xr:uid="{00000000-0005-0000-0000-000084220000}"/>
    <cellStyle name="Normal 2 58 3 12" xfId="6213" xr:uid="{00000000-0005-0000-0000-000085220000}"/>
    <cellStyle name="Normal 2 58 3 12 2" xfId="23984" xr:uid="{00000000-0005-0000-0000-000086220000}"/>
    <cellStyle name="Normal 2 58 3 13" xfId="6214" xr:uid="{00000000-0005-0000-0000-000087220000}"/>
    <cellStyle name="Normal 2 58 3 13 2" xfId="23985" xr:uid="{00000000-0005-0000-0000-000088220000}"/>
    <cellStyle name="Normal 2 58 3 14" xfId="6215" xr:uid="{00000000-0005-0000-0000-000089220000}"/>
    <cellStyle name="Normal 2 58 3 14 2" xfId="23986" xr:uid="{00000000-0005-0000-0000-00008A220000}"/>
    <cellStyle name="Normal 2 58 3 15" xfId="6216" xr:uid="{00000000-0005-0000-0000-00008B220000}"/>
    <cellStyle name="Normal 2 58 3 15 2" xfId="23987" xr:uid="{00000000-0005-0000-0000-00008C220000}"/>
    <cellStyle name="Normal 2 58 3 16" xfId="23981" xr:uid="{00000000-0005-0000-0000-00008D220000}"/>
    <cellStyle name="Normal 2 58 3 2" xfId="6217" xr:uid="{00000000-0005-0000-0000-00008E220000}"/>
    <cellStyle name="Normal 2 58 3 2 10" xfId="6218" xr:uid="{00000000-0005-0000-0000-00008F220000}"/>
    <cellStyle name="Normal 2 58 3 2 10 2" xfId="23989" xr:uid="{00000000-0005-0000-0000-000090220000}"/>
    <cellStyle name="Normal 2 58 3 2 11" xfId="6219" xr:uid="{00000000-0005-0000-0000-000091220000}"/>
    <cellStyle name="Normal 2 58 3 2 11 2" xfId="23990" xr:uid="{00000000-0005-0000-0000-000092220000}"/>
    <cellStyle name="Normal 2 58 3 2 12" xfId="6220" xr:uid="{00000000-0005-0000-0000-000093220000}"/>
    <cellStyle name="Normal 2 58 3 2 12 2" xfId="23991" xr:uid="{00000000-0005-0000-0000-000094220000}"/>
    <cellStyle name="Normal 2 58 3 2 13" xfId="6221" xr:uid="{00000000-0005-0000-0000-000095220000}"/>
    <cellStyle name="Normal 2 58 3 2 13 2" xfId="23992" xr:uid="{00000000-0005-0000-0000-000096220000}"/>
    <cellStyle name="Normal 2 58 3 2 14" xfId="6222" xr:uid="{00000000-0005-0000-0000-000097220000}"/>
    <cellStyle name="Normal 2 58 3 2 14 2" xfId="23993" xr:uid="{00000000-0005-0000-0000-000098220000}"/>
    <cellStyle name="Normal 2 58 3 2 15" xfId="23988" xr:uid="{00000000-0005-0000-0000-000099220000}"/>
    <cellStyle name="Normal 2 58 3 2 2" xfId="6223" xr:uid="{00000000-0005-0000-0000-00009A220000}"/>
    <cellStyle name="Normal 2 58 3 2 2 2" xfId="23994" xr:uid="{00000000-0005-0000-0000-00009B220000}"/>
    <cellStyle name="Normal 2 58 3 2 3" xfId="6224" xr:uid="{00000000-0005-0000-0000-00009C220000}"/>
    <cellStyle name="Normal 2 58 3 2 3 2" xfId="23995" xr:uid="{00000000-0005-0000-0000-00009D220000}"/>
    <cellStyle name="Normal 2 58 3 2 4" xfId="6225" xr:uid="{00000000-0005-0000-0000-00009E220000}"/>
    <cellStyle name="Normal 2 58 3 2 4 2" xfId="23996" xr:uid="{00000000-0005-0000-0000-00009F220000}"/>
    <cellStyle name="Normal 2 58 3 2 5" xfId="6226" xr:uid="{00000000-0005-0000-0000-0000A0220000}"/>
    <cellStyle name="Normal 2 58 3 2 5 2" xfId="23997" xr:uid="{00000000-0005-0000-0000-0000A1220000}"/>
    <cellStyle name="Normal 2 58 3 2 6" xfId="6227" xr:uid="{00000000-0005-0000-0000-0000A2220000}"/>
    <cellStyle name="Normal 2 58 3 2 6 2" xfId="23998" xr:uid="{00000000-0005-0000-0000-0000A3220000}"/>
    <cellStyle name="Normal 2 58 3 2 7" xfId="6228" xr:uid="{00000000-0005-0000-0000-0000A4220000}"/>
    <cellStyle name="Normal 2 58 3 2 7 2" xfId="23999" xr:uid="{00000000-0005-0000-0000-0000A5220000}"/>
    <cellStyle name="Normal 2 58 3 2 8" xfId="6229" xr:uid="{00000000-0005-0000-0000-0000A6220000}"/>
    <cellStyle name="Normal 2 58 3 2 8 2" xfId="24000" xr:uid="{00000000-0005-0000-0000-0000A7220000}"/>
    <cellStyle name="Normal 2 58 3 2 9" xfId="6230" xr:uid="{00000000-0005-0000-0000-0000A8220000}"/>
    <cellStyle name="Normal 2 58 3 2 9 2" xfId="24001" xr:uid="{00000000-0005-0000-0000-0000A9220000}"/>
    <cellStyle name="Normal 2 58 3 3" xfId="6231" xr:uid="{00000000-0005-0000-0000-0000AA220000}"/>
    <cellStyle name="Normal 2 58 3 3 2" xfId="24002" xr:uid="{00000000-0005-0000-0000-0000AB220000}"/>
    <cellStyle name="Normal 2 58 3 4" xfId="6232" xr:uid="{00000000-0005-0000-0000-0000AC220000}"/>
    <cellStyle name="Normal 2 58 3 4 2" xfId="24003" xr:uid="{00000000-0005-0000-0000-0000AD220000}"/>
    <cellStyle name="Normal 2 58 3 5" xfId="6233" xr:uid="{00000000-0005-0000-0000-0000AE220000}"/>
    <cellStyle name="Normal 2 58 3 5 2" xfId="24004" xr:uid="{00000000-0005-0000-0000-0000AF220000}"/>
    <cellStyle name="Normal 2 58 3 6" xfId="6234" xr:uid="{00000000-0005-0000-0000-0000B0220000}"/>
    <cellStyle name="Normal 2 58 3 6 2" xfId="24005" xr:uid="{00000000-0005-0000-0000-0000B1220000}"/>
    <cellStyle name="Normal 2 58 3 7" xfId="6235" xr:uid="{00000000-0005-0000-0000-0000B2220000}"/>
    <cellStyle name="Normal 2 58 3 7 2" xfId="24006" xr:uid="{00000000-0005-0000-0000-0000B3220000}"/>
    <cellStyle name="Normal 2 58 3 8" xfId="6236" xr:uid="{00000000-0005-0000-0000-0000B4220000}"/>
    <cellStyle name="Normal 2 58 3 8 2" xfId="24007" xr:uid="{00000000-0005-0000-0000-0000B5220000}"/>
    <cellStyle name="Normal 2 58 3 9" xfId="6237" xr:uid="{00000000-0005-0000-0000-0000B6220000}"/>
    <cellStyle name="Normal 2 58 3 9 2" xfId="24008" xr:uid="{00000000-0005-0000-0000-0000B7220000}"/>
    <cellStyle name="Normal 2 58 4" xfId="6238" xr:uid="{00000000-0005-0000-0000-0000B8220000}"/>
    <cellStyle name="Normal 2 58 4 10" xfId="6239" xr:uid="{00000000-0005-0000-0000-0000B9220000}"/>
    <cellStyle name="Normal 2 58 4 10 2" xfId="24010" xr:uid="{00000000-0005-0000-0000-0000BA220000}"/>
    <cellStyle name="Normal 2 58 4 11" xfId="6240" xr:uid="{00000000-0005-0000-0000-0000BB220000}"/>
    <cellStyle name="Normal 2 58 4 11 2" xfId="24011" xr:uid="{00000000-0005-0000-0000-0000BC220000}"/>
    <cellStyle name="Normal 2 58 4 12" xfId="6241" xr:uid="{00000000-0005-0000-0000-0000BD220000}"/>
    <cellStyle name="Normal 2 58 4 12 2" xfId="24012" xr:uid="{00000000-0005-0000-0000-0000BE220000}"/>
    <cellStyle name="Normal 2 58 4 13" xfId="6242" xr:uid="{00000000-0005-0000-0000-0000BF220000}"/>
    <cellStyle name="Normal 2 58 4 13 2" xfId="24013" xr:uid="{00000000-0005-0000-0000-0000C0220000}"/>
    <cellStyle name="Normal 2 58 4 14" xfId="6243" xr:uid="{00000000-0005-0000-0000-0000C1220000}"/>
    <cellStyle name="Normal 2 58 4 14 2" xfId="24014" xr:uid="{00000000-0005-0000-0000-0000C2220000}"/>
    <cellStyle name="Normal 2 58 4 15" xfId="6244" xr:uid="{00000000-0005-0000-0000-0000C3220000}"/>
    <cellStyle name="Normal 2 58 4 15 2" xfId="24015" xr:uid="{00000000-0005-0000-0000-0000C4220000}"/>
    <cellStyle name="Normal 2 58 4 16" xfId="24009" xr:uid="{00000000-0005-0000-0000-0000C5220000}"/>
    <cellStyle name="Normal 2 58 4 2" xfId="6245" xr:uid="{00000000-0005-0000-0000-0000C6220000}"/>
    <cellStyle name="Normal 2 58 4 2 10" xfId="6246" xr:uid="{00000000-0005-0000-0000-0000C7220000}"/>
    <cellStyle name="Normal 2 58 4 2 10 2" xfId="24017" xr:uid="{00000000-0005-0000-0000-0000C8220000}"/>
    <cellStyle name="Normal 2 58 4 2 11" xfId="6247" xr:uid="{00000000-0005-0000-0000-0000C9220000}"/>
    <cellStyle name="Normal 2 58 4 2 11 2" xfId="24018" xr:uid="{00000000-0005-0000-0000-0000CA220000}"/>
    <cellStyle name="Normal 2 58 4 2 12" xfId="6248" xr:uid="{00000000-0005-0000-0000-0000CB220000}"/>
    <cellStyle name="Normal 2 58 4 2 12 2" xfId="24019" xr:uid="{00000000-0005-0000-0000-0000CC220000}"/>
    <cellStyle name="Normal 2 58 4 2 13" xfId="6249" xr:uid="{00000000-0005-0000-0000-0000CD220000}"/>
    <cellStyle name="Normal 2 58 4 2 13 2" xfId="24020" xr:uid="{00000000-0005-0000-0000-0000CE220000}"/>
    <cellStyle name="Normal 2 58 4 2 14" xfId="6250" xr:uid="{00000000-0005-0000-0000-0000CF220000}"/>
    <cellStyle name="Normal 2 58 4 2 14 2" xfId="24021" xr:uid="{00000000-0005-0000-0000-0000D0220000}"/>
    <cellStyle name="Normal 2 58 4 2 15" xfId="24016" xr:uid="{00000000-0005-0000-0000-0000D1220000}"/>
    <cellStyle name="Normal 2 58 4 2 2" xfId="6251" xr:uid="{00000000-0005-0000-0000-0000D2220000}"/>
    <cellStyle name="Normal 2 58 4 2 2 2" xfId="24022" xr:uid="{00000000-0005-0000-0000-0000D3220000}"/>
    <cellStyle name="Normal 2 58 4 2 3" xfId="6252" xr:uid="{00000000-0005-0000-0000-0000D4220000}"/>
    <cellStyle name="Normal 2 58 4 2 3 2" xfId="24023" xr:uid="{00000000-0005-0000-0000-0000D5220000}"/>
    <cellStyle name="Normal 2 58 4 2 4" xfId="6253" xr:uid="{00000000-0005-0000-0000-0000D6220000}"/>
    <cellStyle name="Normal 2 58 4 2 4 2" xfId="24024" xr:uid="{00000000-0005-0000-0000-0000D7220000}"/>
    <cellStyle name="Normal 2 58 4 2 5" xfId="6254" xr:uid="{00000000-0005-0000-0000-0000D8220000}"/>
    <cellStyle name="Normal 2 58 4 2 5 2" xfId="24025" xr:uid="{00000000-0005-0000-0000-0000D9220000}"/>
    <cellStyle name="Normal 2 58 4 2 6" xfId="6255" xr:uid="{00000000-0005-0000-0000-0000DA220000}"/>
    <cellStyle name="Normal 2 58 4 2 6 2" xfId="24026" xr:uid="{00000000-0005-0000-0000-0000DB220000}"/>
    <cellStyle name="Normal 2 58 4 2 7" xfId="6256" xr:uid="{00000000-0005-0000-0000-0000DC220000}"/>
    <cellStyle name="Normal 2 58 4 2 7 2" xfId="24027" xr:uid="{00000000-0005-0000-0000-0000DD220000}"/>
    <cellStyle name="Normal 2 58 4 2 8" xfId="6257" xr:uid="{00000000-0005-0000-0000-0000DE220000}"/>
    <cellStyle name="Normal 2 58 4 2 8 2" xfId="24028" xr:uid="{00000000-0005-0000-0000-0000DF220000}"/>
    <cellStyle name="Normal 2 58 4 2 9" xfId="6258" xr:uid="{00000000-0005-0000-0000-0000E0220000}"/>
    <cellStyle name="Normal 2 58 4 2 9 2" xfId="24029" xr:uid="{00000000-0005-0000-0000-0000E1220000}"/>
    <cellStyle name="Normal 2 58 4 3" xfId="6259" xr:uid="{00000000-0005-0000-0000-0000E2220000}"/>
    <cellStyle name="Normal 2 58 4 3 2" xfId="24030" xr:uid="{00000000-0005-0000-0000-0000E3220000}"/>
    <cellStyle name="Normal 2 58 4 4" xfId="6260" xr:uid="{00000000-0005-0000-0000-0000E4220000}"/>
    <cellStyle name="Normal 2 58 4 4 2" xfId="24031" xr:uid="{00000000-0005-0000-0000-0000E5220000}"/>
    <cellStyle name="Normal 2 58 4 5" xfId="6261" xr:uid="{00000000-0005-0000-0000-0000E6220000}"/>
    <cellStyle name="Normal 2 58 4 5 2" xfId="24032" xr:uid="{00000000-0005-0000-0000-0000E7220000}"/>
    <cellStyle name="Normal 2 58 4 6" xfId="6262" xr:uid="{00000000-0005-0000-0000-0000E8220000}"/>
    <cellStyle name="Normal 2 58 4 6 2" xfId="24033" xr:uid="{00000000-0005-0000-0000-0000E9220000}"/>
    <cellStyle name="Normal 2 58 4 7" xfId="6263" xr:uid="{00000000-0005-0000-0000-0000EA220000}"/>
    <cellStyle name="Normal 2 58 4 7 2" xfId="24034" xr:uid="{00000000-0005-0000-0000-0000EB220000}"/>
    <cellStyle name="Normal 2 58 4 8" xfId="6264" xr:uid="{00000000-0005-0000-0000-0000EC220000}"/>
    <cellStyle name="Normal 2 58 4 8 2" xfId="24035" xr:uid="{00000000-0005-0000-0000-0000ED220000}"/>
    <cellStyle name="Normal 2 58 4 9" xfId="6265" xr:uid="{00000000-0005-0000-0000-0000EE220000}"/>
    <cellStyle name="Normal 2 58 4 9 2" xfId="24036" xr:uid="{00000000-0005-0000-0000-0000EF220000}"/>
    <cellStyle name="Normal 2 58 5" xfId="6266" xr:uid="{00000000-0005-0000-0000-0000F0220000}"/>
    <cellStyle name="Normal 2 58 5 10" xfId="6267" xr:uid="{00000000-0005-0000-0000-0000F1220000}"/>
    <cellStyle name="Normal 2 58 5 10 2" xfId="24038" xr:uid="{00000000-0005-0000-0000-0000F2220000}"/>
    <cellStyle name="Normal 2 58 5 11" xfId="6268" xr:uid="{00000000-0005-0000-0000-0000F3220000}"/>
    <cellStyle name="Normal 2 58 5 11 2" xfId="24039" xr:uid="{00000000-0005-0000-0000-0000F4220000}"/>
    <cellStyle name="Normal 2 58 5 12" xfId="6269" xr:uid="{00000000-0005-0000-0000-0000F5220000}"/>
    <cellStyle name="Normal 2 58 5 12 2" xfId="24040" xr:uid="{00000000-0005-0000-0000-0000F6220000}"/>
    <cellStyle name="Normal 2 58 5 13" xfId="6270" xr:uid="{00000000-0005-0000-0000-0000F7220000}"/>
    <cellStyle name="Normal 2 58 5 13 2" xfId="24041" xr:uid="{00000000-0005-0000-0000-0000F8220000}"/>
    <cellStyle name="Normal 2 58 5 14" xfId="6271" xr:uid="{00000000-0005-0000-0000-0000F9220000}"/>
    <cellStyle name="Normal 2 58 5 14 2" xfId="24042" xr:uid="{00000000-0005-0000-0000-0000FA220000}"/>
    <cellStyle name="Normal 2 58 5 15" xfId="24037" xr:uid="{00000000-0005-0000-0000-0000FB220000}"/>
    <cellStyle name="Normal 2 58 5 2" xfId="6272" xr:uid="{00000000-0005-0000-0000-0000FC220000}"/>
    <cellStyle name="Normal 2 58 5 2 2" xfId="24043" xr:uid="{00000000-0005-0000-0000-0000FD220000}"/>
    <cellStyle name="Normal 2 58 5 3" xfId="6273" xr:uid="{00000000-0005-0000-0000-0000FE220000}"/>
    <cellStyle name="Normal 2 58 5 3 2" xfId="24044" xr:uid="{00000000-0005-0000-0000-0000FF220000}"/>
    <cellStyle name="Normal 2 58 5 4" xfId="6274" xr:uid="{00000000-0005-0000-0000-000000230000}"/>
    <cellStyle name="Normal 2 58 5 4 2" xfId="24045" xr:uid="{00000000-0005-0000-0000-000001230000}"/>
    <cellStyle name="Normal 2 58 5 5" xfId="6275" xr:uid="{00000000-0005-0000-0000-000002230000}"/>
    <cellStyle name="Normal 2 58 5 5 2" xfId="24046" xr:uid="{00000000-0005-0000-0000-000003230000}"/>
    <cellStyle name="Normal 2 58 5 6" xfId="6276" xr:uid="{00000000-0005-0000-0000-000004230000}"/>
    <cellStyle name="Normal 2 58 5 6 2" xfId="24047" xr:uid="{00000000-0005-0000-0000-000005230000}"/>
    <cellStyle name="Normal 2 58 5 7" xfId="6277" xr:uid="{00000000-0005-0000-0000-000006230000}"/>
    <cellStyle name="Normal 2 58 5 7 2" xfId="24048" xr:uid="{00000000-0005-0000-0000-000007230000}"/>
    <cellStyle name="Normal 2 58 5 8" xfId="6278" xr:uid="{00000000-0005-0000-0000-000008230000}"/>
    <cellStyle name="Normal 2 58 5 8 2" xfId="24049" xr:uid="{00000000-0005-0000-0000-000009230000}"/>
    <cellStyle name="Normal 2 58 5 9" xfId="6279" xr:uid="{00000000-0005-0000-0000-00000A230000}"/>
    <cellStyle name="Normal 2 58 5 9 2" xfId="24050" xr:uid="{00000000-0005-0000-0000-00000B230000}"/>
    <cellStyle name="Normal 2 58 6" xfId="6280" xr:uid="{00000000-0005-0000-0000-00000C230000}"/>
    <cellStyle name="Normal 2 58 6 10" xfId="6281" xr:uid="{00000000-0005-0000-0000-00000D230000}"/>
    <cellStyle name="Normal 2 58 6 10 2" xfId="24052" xr:uid="{00000000-0005-0000-0000-00000E230000}"/>
    <cellStyle name="Normal 2 58 6 11" xfId="6282" xr:uid="{00000000-0005-0000-0000-00000F230000}"/>
    <cellStyle name="Normal 2 58 6 11 2" xfId="24053" xr:uid="{00000000-0005-0000-0000-000010230000}"/>
    <cellStyle name="Normal 2 58 6 12" xfId="6283" xr:uid="{00000000-0005-0000-0000-000011230000}"/>
    <cellStyle name="Normal 2 58 6 12 2" xfId="24054" xr:uid="{00000000-0005-0000-0000-000012230000}"/>
    <cellStyle name="Normal 2 58 6 13" xfId="6284" xr:uid="{00000000-0005-0000-0000-000013230000}"/>
    <cellStyle name="Normal 2 58 6 13 2" xfId="24055" xr:uid="{00000000-0005-0000-0000-000014230000}"/>
    <cellStyle name="Normal 2 58 6 14" xfId="6285" xr:uid="{00000000-0005-0000-0000-000015230000}"/>
    <cellStyle name="Normal 2 58 6 14 2" xfId="24056" xr:uid="{00000000-0005-0000-0000-000016230000}"/>
    <cellStyle name="Normal 2 58 6 15" xfId="24051" xr:uid="{00000000-0005-0000-0000-000017230000}"/>
    <cellStyle name="Normal 2 58 6 2" xfId="6286" xr:uid="{00000000-0005-0000-0000-000018230000}"/>
    <cellStyle name="Normal 2 58 6 2 2" xfId="24057" xr:uid="{00000000-0005-0000-0000-000019230000}"/>
    <cellStyle name="Normal 2 58 6 3" xfId="6287" xr:uid="{00000000-0005-0000-0000-00001A230000}"/>
    <cellStyle name="Normal 2 58 6 3 2" xfId="24058" xr:uid="{00000000-0005-0000-0000-00001B230000}"/>
    <cellStyle name="Normal 2 58 6 4" xfId="6288" xr:uid="{00000000-0005-0000-0000-00001C230000}"/>
    <cellStyle name="Normal 2 58 6 4 2" xfId="24059" xr:uid="{00000000-0005-0000-0000-00001D230000}"/>
    <cellStyle name="Normal 2 58 6 5" xfId="6289" xr:uid="{00000000-0005-0000-0000-00001E230000}"/>
    <cellStyle name="Normal 2 58 6 5 2" xfId="24060" xr:uid="{00000000-0005-0000-0000-00001F230000}"/>
    <cellStyle name="Normal 2 58 6 6" xfId="6290" xr:uid="{00000000-0005-0000-0000-000020230000}"/>
    <cellStyle name="Normal 2 58 6 6 2" xfId="24061" xr:uid="{00000000-0005-0000-0000-000021230000}"/>
    <cellStyle name="Normal 2 58 6 7" xfId="6291" xr:uid="{00000000-0005-0000-0000-000022230000}"/>
    <cellStyle name="Normal 2 58 6 7 2" xfId="24062" xr:uid="{00000000-0005-0000-0000-000023230000}"/>
    <cellStyle name="Normal 2 58 6 8" xfId="6292" xr:uid="{00000000-0005-0000-0000-000024230000}"/>
    <cellStyle name="Normal 2 58 6 8 2" xfId="24063" xr:uid="{00000000-0005-0000-0000-000025230000}"/>
    <cellStyle name="Normal 2 58 6 9" xfId="6293" xr:uid="{00000000-0005-0000-0000-000026230000}"/>
    <cellStyle name="Normal 2 58 6 9 2" xfId="24064" xr:uid="{00000000-0005-0000-0000-000027230000}"/>
    <cellStyle name="Normal 2 58 7" xfId="6294" xr:uid="{00000000-0005-0000-0000-000028230000}"/>
    <cellStyle name="Normal 2 58 7 10" xfId="6295" xr:uid="{00000000-0005-0000-0000-000029230000}"/>
    <cellStyle name="Normal 2 58 7 10 2" xfId="24066" xr:uid="{00000000-0005-0000-0000-00002A230000}"/>
    <cellStyle name="Normal 2 58 7 11" xfId="6296" xr:uid="{00000000-0005-0000-0000-00002B230000}"/>
    <cellStyle name="Normal 2 58 7 11 2" xfId="24067" xr:uid="{00000000-0005-0000-0000-00002C230000}"/>
    <cellStyle name="Normal 2 58 7 12" xfId="6297" xr:uid="{00000000-0005-0000-0000-00002D230000}"/>
    <cellStyle name="Normal 2 58 7 12 2" xfId="24068" xr:uid="{00000000-0005-0000-0000-00002E230000}"/>
    <cellStyle name="Normal 2 58 7 13" xfId="6298" xr:uid="{00000000-0005-0000-0000-00002F230000}"/>
    <cellStyle name="Normal 2 58 7 13 2" xfId="24069" xr:uid="{00000000-0005-0000-0000-000030230000}"/>
    <cellStyle name="Normal 2 58 7 14" xfId="6299" xr:uid="{00000000-0005-0000-0000-000031230000}"/>
    <cellStyle name="Normal 2 58 7 14 2" xfId="24070" xr:uid="{00000000-0005-0000-0000-000032230000}"/>
    <cellStyle name="Normal 2 58 7 15" xfId="24065" xr:uid="{00000000-0005-0000-0000-000033230000}"/>
    <cellStyle name="Normal 2 58 7 2" xfId="6300" xr:uid="{00000000-0005-0000-0000-000034230000}"/>
    <cellStyle name="Normal 2 58 7 2 2" xfId="24071" xr:uid="{00000000-0005-0000-0000-000035230000}"/>
    <cellStyle name="Normal 2 58 7 3" xfId="6301" xr:uid="{00000000-0005-0000-0000-000036230000}"/>
    <cellStyle name="Normal 2 58 7 3 2" xfId="24072" xr:uid="{00000000-0005-0000-0000-000037230000}"/>
    <cellStyle name="Normal 2 58 7 4" xfId="6302" xr:uid="{00000000-0005-0000-0000-000038230000}"/>
    <cellStyle name="Normal 2 58 7 4 2" xfId="24073" xr:uid="{00000000-0005-0000-0000-000039230000}"/>
    <cellStyle name="Normal 2 58 7 5" xfId="6303" xr:uid="{00000000-0005-0000-0000-00003A230000}"/>
    <cellStyle name="Normal 2 58 7 5 2" xfId="24074" xr:uid="{00000000-0005-0000-0000-00003B230000}"/>
    <cellStyle name="Normal 2 58 7 6" xfId="6304" xr:uid="{00000000-0005-0000-0000-00003C230000}"/>
    <cellStyle name="Normal 2 58 7 6 2" xfId="24075" xr:uid="{00000000-0005-0000-0000-00003D230000}"/>
    <cellStyle name="Normal 2 58 7 7" xfId="6305" xr:uid="{00000000-0005-0000-0000-00003E230000}"/>
    <cellStyle name="Normal 2 58 7 7 2" xfId="24076" xr:uid="{00000000-0005-0000-0000-00003F230000}"/>
    <cellStyle name="Normal 2 58 7 8" xfId="6306" xr:uid="{00000000-0005-0000-0000-000040230000}"/>
    <cellStyle name="Normal 2 58 7 8 2" xfId="24077" xr:uid="{00000000-0005-0000-0000-000041230000}"/>
    <cellStyle name="Normal 2 58 7 9" xfId="6307" xr:uid="{00000000-0005-0000-0000-000042230000}"/>
    <cellStyle name="Normal 2 58 7 9 2" xfId="24078" xr:uid="{00000000-0005-0000-0000-000043230000}"/>
    <cellStyle name="Normal 2 58 8" xfId="6308" xr:uid="{00000000-0005-0000-0000-000044230000}"/>
    <cellStyle name="Normal 2 58 8 10" xfId="6309" xr:uid="{00000000-0005-0000-0000-000045230000}"/>
    <cellStyle name="Normal 2 58 8 10 2" xfId="24080" xr:uid="{00000000-0005-0000-0000-000046230000}"/>
    <cellStyle name="Normal 2 58 8 11" xfId="6310" xr:uid="{00000000-0005-0000-0000-000047230000}"/>
    <cellStyle name="Normal 2 58 8 11 2" xfId="24081" xr:uid="{00000000-0005-0000-0000-000048230000}"/>
    <cellStyle name="Normal 2 58 8 12" xfId="6311" xr:uid="{00000000-0005-0000-0000-000049230000}"/>
    <cellStyle name="Normal 2 58 8 12 2" xfId="24082" xr:uid="{00000000-0005-0000-0000-00004A230000}"/>
    <cellStyle name="Normal 2 58 8 13" xfId="6312" xr:uid="{00000000-0005-0000-0000-00004B230000}"/>
    <cellStyle name="Normal 2 58 8 13 2" xfId="24083" xr:uid="{00000000-0005-0000-0000-00004C230000}"/>
    <cellStyle name="Normal 2 58 8 14" xfId="6313" xr:uid="{00000000-0005-0000-0000-00004D230000}"/>
    <cellStyle name="Normal 2 58 8 14 2" xfId="24084" xr:uid="{00000000-0005-0000-0000-00004E230000}"/>
    <cellStyle name="Normal 2 58 8 15" xfId="24079" xr:uid="{00000000-0005-0000-0000-00004F230000}"/>
    <cellStyle name="Normal 2 58 8 2" xfId="6314" xr:uid="{00000000-0005-0000-0000-000050230000}"/>
    <cellStyle name="Normal 2 58 8 2 2" xfId="24085" xr:uid="{00000000-0005-0000-0000-000051230000}"/>
    <cellStyle name="Normal 2 58 8 3" xfId="6315" xr:uid="{00000000-0005-0000-0000-000052230000}"/>
    <cellStyle name="Normal 2 58 8 3 2" xfId="24086" xr:uid="{00000000-0005-0000-0000-000053230000}"/>
    <cellStyle name="Normal 2 58 8 4" xfId="6316" xr:uid="{00000000-0005-0000-0000-000054230000}"/>
    <cellStyle name="Normal 2 58 8 4 2" xfId="24087" xr:uid="{00000000-0005-0000-0000-000055230000}"/>
    <cellStyle name="Normal 2 58 8 5" xfId="6317" xr:uid="{00000000-0005-0000-0000-000056230000}"/>
    <cellStyle name="Normal 2 58 8 5 2" xfId="24088" xr:uid="{00000000-0005-0000-0000-000057230000}"/>
    <cellStyle name="Normal 2 58 8 6" xfId="6318" xr:uid="{00000000-0005-0000-0000-000058230000}"/>
    <cellStyle name="Normal 2 58 8 6 2" xfId="24089" xr:uid="{00000000-0005-0000-0000-000059230000}"/>
    <cellStyle name="Normal 2 58 8 7" xfId="6319" xr:uid="{00000000-0005-0000-0000-00005A230000}"/>
    <cellStyle name="Normal 2 58 8 7 2" xfId="24090" xr:uid="{00000000-0005-0000-0000-00005B230000}"/>
    <cellStyle name="Normal 2 58 8 8" xfId="6320" xr:uid="{00000000-0005-0000-0000-00005C230000}"/>
    <cellStyle name="Normal 2 58 8 8 2" xfId="24091" xr:uid="{00000000-0005-0000-0000-00005D230000}"/>
    <cellStyle name="Normal 2 58 8 9" xfId="6321" xr:uid="{00000000-0005-0000-0000-00005E230000}"/>
    <cellStyle name="Normal 2 58 8 9 2" xfId="24092" xr:uid="{00000000-0005-0000-0000-00005F230000}"/>
    <cellStyle name="Normal 2 58 9" xfId="6322" xr:uid="{00000000-0005-0000-0000-000060230000}"/>
    <cellStyle name="Normal 2 58 9 10" xfId="6323" xr:uid="{00000000-0005-0000-0000-000061230000}"/>
    <cellStyle name="Normal 2 58 9 10 2" xfId="24094" xr:uid="{00000000-0005-0000-0000-000062230000}"/>
    <cellStyle name="Normal 2 58 9 11" xfId="6324" xr:uid="{00000000-0005-0000-0000-000063230000}"/>
    <cellStyle name="Normal 2 58 9 11 2" xfId="24095" xr:uid="{00000000-0005-0000-0000-000064230000}"/>
    <cellStyle name="Normal 2 58 9 12" xfId="6325" xr:uid="{00000000-0005-0000-0000-000065230000}"/>
    <cellStyle name="Normal 2 58 9 12 2" xfId="24096" xr:uid="{00000000-0005-0000-0000-000066230000}"/>
    <cellStyle name="Normal 2 58 9 13" xfId="6326" xr:uid="{00000000-0005-0000-0000-000067230000}"/>
    <cellStyle name="Normal 2 58 9 13 2" xfId="24097" xr:uid="{00000000-0005-0000-0000-000068230000}"/>
    <cellStyle name="Normal 2 58 9 14" xfId="6327" xr:uid="{00000000-0005-0000-0000-000069230000}"/>
    <cellStyle name="Normal 2 58 9 14 2" xfId="24098" xr:uid="{00000000-0005-0000-0000-00006A230000}"/>
    <cellStyle name="Normal 2 58 9 15" xfId="24093" xr:uid="{00000000-0005-0000-0000-00006B230000}"/>
    <cellStyle name="Normal 2 58 9 2" xfId="6328" xr:uid="{00000000-0005-0000-0000-00006C230000}"/>
    <cellStyle name="Normal 2 58 9 2 2" xfId="24099" xr:uid="{00000000-0005-0000-0000-00006D230000}"/>
    <cellStyle name="Normal 2 58 9 3" xfId="6329" xr:uid="{00000000-0005-0000-0000-00006E230000}"/>
    <cellStyle name="Normal 2 58 9 3 2" xfId="24100" xr:uid="{00000000-0005-0000-0000-00006F230000}"/>
    <cellStyle name="Normal 2 58 9 4" xfId="6330" xr:uid="{00000000-0005-0000-0000-000070230000}"/>
    <cellStyle name="Normal 2 58 9 4 2" xfId="24101" xr:uid="{00000000-0005-0000-0000-000071230000}"/>
    <cellStyle name="Normal 2 58 9 5" xfId="6331" xr:uid="{00000000-0005-0000-0000-000072230000}"/>
    <cellStyle name="Normal 2 58 9 5 2" xfId="24102" xr:uid="{00000000-0005-0000-0000-000073230000}"/>
    <cellStyle name="Normal 2 58 9 6" xfId="6332" xr:uid="{00000000-0005-0000-0000-000074230000}"/>
    <cellStyle name="Normal 2 58 9 6 2" xfId="24103" xr:uid="{00000000-0005-0000-0000-000075230000}"/>
    <cellStyle name="Normal 2 58 9 7" xfId="6333" xr:uid="{00000000-0005-0000-0000-000076230000}"/>
    <cellStyle name="Normal 2 58 9 7 2" xfId="24104" xr:uid="{00000000-0005-0000-0000-000077230000}"/>
    <cellStyle name="Normal 2 58 9 8" xfId="6334" xr:uid="{00000000-0005-0000-0000-000078230000}"/>
    <cellStyle name="Normal 2 58 9 8 2" xfId="24105" xr:uid="{00000000-0005-0000-0000-000079230000}"/>
    <cellStyle name="Normal 2 58 9 9" xfId="6335" xr:uid="{00000000-0005-0000-0000-00007A230000}"/>
    <cellStyle name="Normal 2 58 9 9 2" xfId="24106" xr:uid="{00000000-0005-0000-0000-00007B230000}"/>
    <cellStyle name="Normal 2 59" xfId="6336" xr:uid="{00000000-0005-0000-0000-00007C230000}"/>
    <cellStyle name="Normal 2 59 10" xfId="6337" xr:uid="{00000000-0005-0000-0000-00007D230000}"/>
    <cellStyle name="Normal 2 59 10 10" xfId="6338" xr:uid="{00000000-0005-0000-0000-00007E230000}"/>
    <cellStyle name="Normal 2 59 10 10 2" xfId="24109" xr:uid="{00000000-0005-0000-0000-00007F230000}"/>
    <cellStyle name="Normal 2 59 10 11" xfId="6339" xr:uid="{00000000-0005-0000-0000-000080230000}"/>
    <cellStyle name="Normal 2 59 10 11 2" xfId="24110" xr:uid="{00000000-0005-0000-0000-000081230000}"/>
    <cellStyle name="Normal 2 59 10 12" xfId="6340" xr:uid="{00000000-0005-0000-0000-000082230000}"/>
    <cellStyle name="Normal 2 59 10 12 2" xfId="24111" xr:uid="{00000000-0005-0000-0000-000083230000}"/>
    <cellStyle name="Normal 2 59 10 13" xfId="6341" xr:uid="{00000000-0005-0000-0000-000084230000}"/>
    <cellStyle name="Normal 2 59 10 13 2" xfId="24112" xr:uid="{00000000-0005-0000-0000-000085230000}"/>
    <cellStyle name="Normal 2 59 10 14" xfId="6342" xr:uid="{00000000-0005-0000-0000-000086230000}"/>
    <cellStyle name="Normal 2 59 10 14 2" xfId="24113" xr:uid="{00000000-0005-0000-0000-000087230000}"/>
    <cellStyle name="Normal 2 59 10 15" xfId="24108" xr:uid="{00000000-0005-0000-0000-000088230000}"/>
    <cellStyle name="Normal 2 59 10 2" xfId="6343" xr:uid="{00000000-0005-0000-0000-000089230000}"/>
    <cellStyle name="Normal 2 59 10 2 2" xfId="24114" xr:uid="{00000000-0005-0000-0000-00008A230000}"/>
    <cellStyle name="Normal 2 59 10 3" xfId="6344" xr:uid="{00000000-0005-0000-0000-00008B230000}"/>
    <cellStyle name="Normal 2 59 10 3 2" xfId="24115" xr:uid="{00000000-0005-0000-0000-00008C230000}"/>
    <cellStyle name="Normal 2 59 10 4" xfId="6345" xr:uid="{00000000-0005-0000-0000-00008D230000}"/>
    <cellStyle name="Normal 2 59 10 4 2" xfId="24116" xr:uid="{00000000-0005-0000-0000-00008E230000}"/>
    <cellStyle name="Normal 2 59 10 5" xfId="6346" xr:uid="{00000000-0005-0000-0000-00008F230000}"/>
    <cellStyle name="Normal 2 59 10 5 2" xfId="24117" xr:uid="{00000000-0005-0000-0000-000090230000}"/>
    <cellStyle name="Normal 2 59 10 6" xfId="6347" xr:uid="{00000000-0005-0000-0000-000091230000}"/>
    <cellStyle name="Normal 2 59 10 6 2" xfId="24118" xr:uid="{00000000-0005-0000-0000-000092230000}"/>
    <cellStyle name="Normal 2 59 10 7" xfId="6348" xr:uid="{00000000-0005-0000-0000-000093230000}"/>
    <cellStyle name="Normal 2 59 10 7 2" xfId="24119" xr:uid="{00000000-0005-0000-0000-000094230000}"/>
    <cellStyle name="Normal 2 59 10 8" xfId="6349" xr:uid="{00000000-0005-0000-0000-000095230000}"/>
    <cellStyle name="Normal 2 59 10 8 2" xfId="24120" xr:uid="{00000000-0005-0000-0000-000096230000}"/>
    <cellStyle name="Normal 2 59 10 9" xfId="6350" xr:uid="{00000000-0005-0000-0000-000097230000}"/>
    <cellStyle name="Normal 2 59 10 9 2" xfId="24121" xr:uid="{00000000-0005-0000-0000-000098230000}"/>
    <cellStyle name="Normal 2 59 11" xfId="6351" xr:uid="{00000000-0005-0000-0000-000099230000}"/>
    <cellStyle name="Normal 2 59 11 2" xfId="24122" xr:uid="{00000000-0005-0000-0000-00009A230000}"/>
    <cellStyle name="Normal 2 59 12" xfId="6352" xr:uid="{00000000-0005-0000-0000-00009B230000}"/>
    <cellStyle name="Normal 2 59 12 2" xfId="24123" xr:uid="{00000000-0005-0000-0000-00009C230000}"/>
    <cellStyle name="Normal 2 59 13" xfId="6353" xr:uid="{00000000-0005-0000-0000-00009D230000}"/>
    <cellStyle name="Normal 2 59 13 2" xfId="24124" xr:uid="{00000000-0005-0000-0000-00009E230000}"/>
    <cellStyle name="Normal 2 59 14" xfId="6354" xr:uid="{00000000-0005-0000-0000-00009F230000}"/>
    <cellStyle name="Normal 2 59 14 2" xfId="24125" xr:uid="{00000000-0005-0000-0000-0000A0230000}"/>
    <cellStyle name="Normal 2 59 15" xfId="6355" xr:uid="{00000000-0005-0000-0000-0000A1230000}"/>
    <cellStyle name="Normal 2 59 15 2" xfId="24126" xr:uid="{00000000-0005-0000-0000-0000A2230000}"/>
    <cellStyle name="Normal 2 59 16" xfId="6356" xr:uid="{00000000-0005-0000-0000-0000A3230000}"/>
    <cellStyle name="Normal 2 59 16 2" xfId="24127" xr:uid="{00000000-0005-0000-0000-0000A4230000}"/>
    <cellStyle name="Normal 2 59 17" xfId="6357" xr:uid="{00000000-0005-0000-0000-0000A5230000}"/>
    <cellStyle name="Normal 2 59 17 2" xfId="24128" xr:uid="{00000000-0005-0000-0000-0000A6230000}"/>
    <cellStyle name="Normal 2 59 18" xfId="6358" xr:uid="{00000000-0005-0000-0000-0000A7230000}"/>
    <cellStyle name="Normal 2 59 18 2" xfId="24129" xr:uid="{00000000-0005-0000-0000-0000A8230000}"/>
    <cellStyle name="Normal 2 59 19" xfId="6359" xr:uid="{00000000-0005-0000-0000-0000A9230000}"/>
    <cellStyle name="Normal 2 59 19 2" xfId="24130" xr:uid="{00000000-0005-0000-0000-0000AA230000}"/>
    <cellStyle name="Normal 2 59 2" xfId="6360" xr:uid="{00000000-0005-0000-0000-0000AB230000}"/>
    <cellStyle name="Normal 2 59 2 10" xfId="6361" xr:uid="{00000000-0005-0000-0000-0000AC230000}"/>
    <cellStyle name="Normal 2 59 2 10 2" xfId="24132" xr:uid="{00000000-0005-0000-0000-0000AD230000}"/>
    <cellStyle name="Normal 2 59 2 11" xfId="6362" xr:uid="{00000000-0005-0000-0000-0000AE230000}"/>
    <cellStyle name="Normal 2 59 2 11 2" xfId="24133" xr:uid="{00000000-0005-0000-0000-0000AF230000}"/>
    <cellStyle name="Normal 2 59 2 12" xfId="6363" xr:uid="{00000000-0005-0000-0000-0000B0230000}"/>
    <cellStyle name="Normal 2 59 2 12 2" xfId="24134" xr:uid="{00000000-0005-0000-0000-0000B1230000}"/>
    <cellStyle name="Normal 2 59 2 13" xfId="6364" xr:uid="{00000000-0005-0000-0000-0000B2230000}"/>
    <cellStyle name="Normal 2 59 2 13 2" xfId="24135" xr:uid="{00000000-0005-0000-0000-0000B3230000}"/>
    <cellStyle name="Normal 2 59 2 14" xfId="6365" xr:uid="{00000000-0005-0000-0000-0000B4230000}"/>
    <cellStyle name="Normal 2 59 2 14 2" xfId="24136" xr:uid="{00000000-0005-0000-0000-0000B5230000}"/>
    <cellStyle name="Normal 2 59 2 15" xfId="6366" xr:uid="{00000000-0005-0000-0000-0000B6230000}"/>
    <cellStyle name="Normal 2 59 2 15 2" xfId="24137" xr:uid="{00000000-0005-0000-0000-0000B7230000}"/>
    <cellStyle name="Normal 2 59 2 16" xfId="24131" xr:uid="{00000000-0005-0000-0000-0000B8230000}"/>
    <cellStyle name="Normal 2 59 2 2" xfId="6367" xr:uid="{00000000-0005-0000-0000-0000B9230000}"/>
    <cellStyle name="Normal 2 59 2 2 10" xfId="6368" xr:uid="{00000000-0005-0000-0000-0000BA230000}"/>
    <cellStyle name="Normal 2 59 2 2 10 2" xfId="24139" xr:uid="{00000000-0005-0000-0000-0000BB230000}"/>
    <cellStyle name="Normal 2 59 2 2 11" xfId="6369" xr:uid="{00000000-0005-0000-0000-0000BC230000}"/>
    <cellStyle name="Normal 2 59 2 2 11 2" xfId="24140" xr:uid="{00000000-0005-0000-0000-0000BD230000}"/>
    <cellStyle name="Normal 2 59 2 2 12" xfId="6370" xr:uid="{00000000-0005-0000-0000-0000BE230000}"/>
    <cellStyle name="Normal 2 59 2 2 12 2" xfId="24141" xr:uid="{00000000-0005-0000-0000-0000BF230000}"/>
    <cellStyle name="Normal 2 59 2 2 13" xfId="6371" xr:uid="{00000000-0005-0000-0000-0000C0230000}"/>
    <cellStyle name="Normal 2 59 2 2 13 2" xfId="24142" xr:uid="{00000000-0005-0000-0000-0000C1230000}"/>
    <cellStyle name="Normal 2 59 2 2 14" xfId="6372" xr:uid="{00000000-0005-0000-0000-0000C2230000}"/>
    <cellStyle name="Normal 2 59 2 2 14 2" xfId="24143" xr:uid="{00000000-0005-0000-0000-0000C3230000}"/>
    <cellStyle name="Normal 2 59 2 2 15" xfId="24138" xr:uid="{00000000-0005-0000-0000-0000C4230000}"/>
    <cellStyle name="Normal 2 59 2 2 2" xfId="6373" xr:uid="{00000000-0005-0000-0000-0000C5230000}"/>
    <cellStyle name="Normal 2 59 2 2 2 2" xfId="24144" xr:uid="{00000000-0005-0000-0000-0000C6230000}"/>
    <cellStyle name="Normal 2 59 2 2 3" xfId="6374" xr:uid="{00000000-0005-0000-0000-0000C7230000}"/>
    <cellStyle name="Normal 2 59 2 2 3 2" xfId="24145" xr:uid="{00000000-0005-0000-0000-0000C8230000}"/>
    <cellStyle name="Normal 2 59 2 2 4" xfId="6375" xr:uid="{00000000-0005-0000-0000-0000C9230000}"/>
    <cellStyle name="Normal 2 59 2 2 4 2" xfId="24146" xr:uid="{00000000-0005-0000-0000-0000CA230000}"/>
    <cellStyle name="Normal 2 59 2 2 5" xfId="6376" xr:uid="{00000000-0005-0000-0000-0000CB230000}"/>
    <cellStyle name="Normal 2 59 2 2 5 2" xfId="24147" xr:uid="{00000000-0005-0000-0000-0000CC230000}"/>
    <cellStyle name="Normal 2 59 2 2 6" xfId="6377" xr:uid="{00000000-0005-0000-0000-0000CD230000}"/>
    <cellStyle name="Normal 2 59 2 2 6 2" xfId="24148" xr:uid="{00000000-0005-0000-0000-0000CE230000}"/>
    <cellStyle name="Normal 2 59 2 2 7" xfId="6378" xr:uid="{00000000-0005-0000-0000-0000CF230000}"/>
    <cellStyle name="Normal 2 59 2 2 7 2" xfId="24149" xr:uid="{00000000-0005-0000-0000-0000D0230000}"/>
    <cellStyle name="Normal 2 59 2 2 8" xfId="6379" xr:uid="{00000000-0005-0000-0000-0000D1230000}"/>
    <cellStyle name="Normal 2 59 2 2 8 2" xfId="24150" xr:uid="{00000000-0005-0000-0000-0000D2230000}"/>
    <cellStyle name="Normal 2 59 2 2 9" xfId="6380" xr:uid="{00000000-0005-0000-0000-0000D3230000}"/>
    <cellStyle name="Normal 2 59 2 2 9 2" xfId="24151" xr:uid="{00000000-0005-0000-0000-0000D4230000}"/>
    <cellStyle name="Normal 2 59 2 3" xfId="6381" xr:uid="{00000000-0005-0000-0000-0000D5230000}"/>
    <cellStyle name="Normal 2 59 2 3 2" xfId="24152" xr:uid="{00000000-0005-0000-0000-0000D6230000}"/>
    <cellStyle name="Normal 2 59 2 4" xfId="6382" xr:uid="{00000000-0005-0000-0000-0000D7230000}"/>
    <cellStyle name="Normal 2 59 2 4 2" xfId="24153" xr:uid="{00000000-0005-0000-0000-0000D8230000}"/>
    <cellStyle name="Normal 2 59 2 5" xfId="6383" xr:uid="{00000000-0005-0000-0000-0000D9230000}"/>
    <cellStyle name="Normal 2 59 2 5 2" xfId="24154" xr:uid="{00000000-0005-0000-0000-0000DA230000}"/>
    <cellStyle name="Normal 2 59 2 6" xfId="6384" xr:uid="{00000000-0005-0000-0000-0000DB230000}"/>
    <cellStyle name="Normal 2 59 2 6 2" xfId="24155" xr:uid="{00000000-0005-0000-0000-0000DC230000}"/>
    <cellStyle name="Normal 2 59 2 7" xfId="6385" xr:uid="{00000000-0005-0000-0000-0000DD230000}"/>
    <cellStyle name="Normal 2 59 2 7 2" xfId="24156" xr:uid="{00000000-0005-0000-0000-0000DE230000}"/>
    <cellStyle name="Normal 2 59 2 8" xfId="6386" xr:uid="{00000000-0005-0000-0000-0000DF230000}"/>
    <cellStyle name="Normal 2 59 2 8 2" xfId="24157" xr:uid="{00000000-0005-0000-0000-0000E0230000}"/>
    <cellStyle name="Normal 2 59 2 9" xfId="6387" xr:uid="{00000000-0005-0000-0000-0000E1230000}"/>
    <cellStyle name="Normal 2 59 2 9 2" xfId="24158" xr:uid="{00000000-0005-0000-0000-0000E2230000}"/>
    <cellStyle name="Normal 2 59 20" xfId="6388" xr:uid="{00000000-0005-0000-0000-0000E3230000}"/>
    <cellStyle name="Normal 2 59 20 2" xfId="24159" xr:uid="{00000000-0005-0000-0000-0000E4230000}"/>
    <cellStyle name="Normal 2 59 21" xfId="6389" xr:uid="{00000000-0005-0000-0000-0000E5230000}"/>
    <cellStyle name="Normal 2 59 21 2" xfId="24160" xr:uid="{00000000-0005-0000-0000-0000E6230000}"/>
    <cellStyle name="Normal 2 59 22" xfId="6390" xr:uid="{00000000-0005-0000-0000-0000E7230000}"/>
    <cellStyle name="Normal 2 59 22 2" xfId="24161" xr:uid="{00000000-0005-0000-0000-0000E8230000}"/>
    <cellStyle name="Normal 2 59 23" xfId="6391" xr:uid="{00000000-0005-0000-0000-0000E9230000}"/>
    <cellStyle name="Normal 2 59 23 2" xfId="24162" xr:uid="{00000000-0005-0000-0000-0000EA230000}"/>
    <cellStyle name="Normal 2 59 24" xfId="24107" xr:uid="{00000000-0005-0000-0000-0000EB230000}"/>
    <cellStyle name="Normal 2 59 3" xfId="6392" xr:uid="{00000000-0005-0000-0000-0000EC230000}"/>
    <cellStyle name="Normal 2 59 3 10" xfId="6393" xr:uid="{00000000-0005-0000-0000-0000ED230000}"/>
    <cellStyle name="Normal 2 59 3 10 2" xfId="24164" xr:uid="{00000000-0005-0000-0000-0000EE230000}"/>
    <cellStyle name="Normal 2 59 3 11" xfId="6394" xr:uid="{00000000-0005-0000-0000-0000EF230000}"/>
    <cellStyle name="Normal 2 59 3 11 2" xfId="24165" xr:uid="{00000000-0005-0000-0000-0000F0230000}"/>
    <cellStyle name="Normal 2 59 3 12" xfId="6395" xr:uid="{00000000-0005-0000-0000-0000F1230000}"/>
    <cellStyle name="Normal 2 59 3 12 2" xfId="24166" xr:uid="{00000000-0005-0000-0000-0000F2230000}"/>
    <cellStyle name="Normal 2 59 3 13" xfId="6396" xr:uid="{00000000-0005-0000-0000-0000F3230000}"/>
    <cellStyle name="Normal 2 59 3 13 2" xfId="24167" xr:uid="{00000000-0005-0000-0000-0000F4230000}"/>
    <cellStyle name="Normal 2 59 3 14" xfId="6397" xr:uid="{00000000-0005-0000-0000-0000F5230000}"/>
    <cellStyle name="Normal 2 59 3 14 2" xfId="24168" xr:uid="{00000000-0005-0000-0000-0000F6230000}"/>
    <cellStyle name="Normal 2 59 3 15" xfId="6398" xr:uid="{00000000-0005-0000-0000-0000F7230000}"/>
    <cellStyle name="Normal 2 59 3 15 2" xfId="24169" xr:uid="{00000000-0005-0000-0000-0000F8230000}"/>
    <cellStyle name="Normal 2 59 3 16" xfId="24163" xr:uid="{00000000-0005-0000-0000-0000F9230000}"/>
    <cellStyle name="Normal 2 59 3 2" xfId="6399" xr:uid="{00000000-0005-0000-0000-0000FA230000}"/>
    <cellStyle name="Normal 2 59 3 2 10" xfId="6400" xr:uid="{00000000-0005-0000-0000-0000FB230000}"/>
    <cellStyle name="Normal 2 59 3 2 10 2" xfId="24171" xr:uid="{00000000-0005-0000-0000-0000FC230000}"/>
    <cellStyle name="Normal 2 59 3 2 11" xfId="6401" xr:uid="{00000000-0005-0000-0000-0000FD230000}"/>
    <cellStyle name="Normal 2 59 3 2 11 2" xfId="24172" xr:uid="{00000000-0005-0000-0000-0000FE230000}"/>
    <cellStyle name="Normal 2 59 3 2 12" xfId="6402" xr:uid="{00000000-0005-0000-0000-0000FF230000}"/>
    <cellStyle name="Normal 2 59 3 2 12 2" xfId="24173" xr:uid="{00000000-0005-0000-0000-000000240000}"/>
    <cellStyle name="Normal 2 59 3 2 13" xfId="6403" xr:uid="{00000000-0005-0000-0000-000001240000}"/>
    <cellStyle name="Normal 2 59 3 2 13 2" xfId="24174" xr:uid="{00000000-0005-0000-0000-000002240000}"/>
    <cellStyle name="Normal 2 59 3 2 14" xfId="6404" xr:uid="{00000000-0005-0000-0000-000003240000}"/>
    <cellStyle name="Normal 2 59 3 2 14 2" xfId="24175" xr:uid="{00000000-0005-0000-0000-000004240000}"/>
    <cellStyle name="Normal 2 59 3 2 15" xfId="24170" xr:uid="{00000000-0005-0000-0000-000005240000}"/>
    <cellStyle name="Normal 2 59 3 2 2" xfId="6405" xr:uid="{00000000-0005-0000-0000-000006240000}"/>
    <cellStyle name="Normal 2 59 3 2 2 2" xfId="24176" xr:uid="{00000000-0005-0000-0000-000007240000}"/>
    <cellStyle name="Normal 2 59 3 2 3" xfId="6406" xr:uid="{00000000-0005-0000-0000-000008240000}"/>
    <cellStyle name="Normal 2 59 3 2 3 2" xfId="24177" xr:uid="{00000000-0005-0000-0000-000009240000}"/>
    <cellStyle name="Normal 2 59 3 2 4" xfId="6407" xr:uid="{00000000-0005-0000-0000-00000A240000}"/>
    <cellStyle name="Normal 2 59 3 2 4 2" xfId="24178" xr:uid="{00000000-0005-0000-0000-00000B240000}"/>
    <cellStyle name="Normal 2 59 3 2 5" xfId="6408" xr:uid="{00000000-0005-0000-0000-00000C240000}"/>
    <cellStyle name="Normal 2 59 3 2 5 2" xfId="24179" xr:uid="{00000000-0005-0000-0000-00000D240000}"/>
    <cellStyle name="Normal 2 59 3 2 6" xfId="6409" xr:uid="{00000000-0005-0000-0000-00000E240000}"/>
    <cellStyle name="Normal 2 59 3 2 6 2" xfId="24180" xr:uid="{00000000-0005-0000-0000-00000F240000}"/>
    <cellStyle name="Normal 2 59 3 2 7" xfId="6410" xr:uid="{00000000-0005-0000-0000-000010240000}"/>
    <cellStyle name="Normal 2 59 3 2 7 2" xfId="24181" xr:uid="{00000000-0005-0000-0000-000011240000}"/>
    <cellStyle name="Normal 2 59 3 2 8" xfId="6411" xr:uid="{00000000-0005-0000-0000-000012240000}"/>
    <cellStyle name="Normal 2 59 3 2 8 2" xfId="24182" xr:uid="{00000000-0005-0000-0000-000013240000}"/>
    <cellStyle name="Normal 2 59 3 2 9" xfId="6412" xr:uid="{00000000-0005-0000-0000-000014240000}"/>
    <cellStyle name="Normal 2 59 3 2 9 2" xfId="24183" xr:uid="{00000000-0005-0000-0000-000015240000}"/>
    <cellStyle name="Normal 2 59 3 3" xfId="6413" xr:uid="{00000000-0005-0000-0000-000016240000}"/>
    <cellStyle name="Normal 2 59 3 3 2" xfId="24184" xr:uid="{00000000-0005-0000-0000-000017240000}"/>
    <cellStyle name="Normal 2 59 3 4" xfId="6414" xr:uid="{00000000-0005-0000-0000-000018240000}"/>
    <cellStyle name="Normal 2 59 3 4 2" xfId="24185" xr:uid="{00000000-0005-0000-0000-000019240000}"/>
    <cellStyle name="Normal 2 59 3 5" xfId="6415" xr:uid="{00000000-0005-0000-0000-00001A240000}"/>
    <cellStyle name="Normal 2 59 3 5 2" xfId="24186" xr:uid="{00000000-0005-0000-0000-00001B240000}"/>
    <cellStyle name="Normal 2 59 3 6" xfId="6416" xr:uid="{00000000-0005-0000-0000-00001C240000}"/>
    <cellStyle name="Normal 2 59 3 6 2" xfId="24187" xr:uid="{00000000-0005-0000-0000-00001D240000}"/>
    <cellStyle name="Normal 2 59 3 7" xfId="6417" xr:uid="{00000000-0005-0000-0000-00001E240000}"/>
    <cellStyle name="Normal 2 59 3 7 2" xfId="24188" xr:uid="{00000000-0005-0000-0000-00001F240000}"/>
    <cellStyle name="Normal 2 59 3 8" xfId="6418" xr:uid="{00000000-0005-0000-0000-000020240000}"/>
    <cellStyle name="Normal 2 59 3 8 2" xfId="24189" xr:uid="{00000000-0005-0000-0000-000021240000}"/>
    <cellStyle name="Normal 2 59 3 9" xfId="6419" xr:uid="{00000000-0005-0000-0000-000022240000}"/>
    <cellStyle name="Normal 2 59 3 9 2" xfId="24190" xr:uid="{00000000-0005-0000-0000-000023240000}"/>
    <cellStyle name="Normal 2 59 4" xfId="6420" xr:uid="{00000000-0005-0000-0000-000024240000}"/>
    <cellStyle name="Normal 2 59 4 10" xfId="6421" xr:uid="{00000000-0005-0000-0000-000025240000}"/>
    <cellStyle name="Normal 2 59 4 10 2" xfId="24192" xr:uid="{00000000-0005-0000-0000-000026240000}"/>
    <cellStyle name="Normal 2 59 4 11" xfId="6422" xr:uid="{00000000-0005-0000-0000-000027240000}"/>
    <cellStyle name="Normal 2 59 4 11 2" xfId="24193" xr:uid="{00000000-0005-0000-0000-000028240000}"/>
    <cellStyle name="Normal 2 59 4 12" xfId="6423" xr:uid="{00000000-0005-0000-0000-000029240000}"/>
    <cellStyle name="Normal 2 59 4 12 2" xfId="24194" xr:uid="{00000000-0005-0000-0000-00002A240000}"/>
    <cellStyle name="Normal 2 59 4 13" xfId="6424" xr:uid="{00000000-0005-0000-0000-00002B240000}"/>
    <cellStyle name="Normal 2 59 4 13 2" xfId="24195" xr:uid="{00000000-0005-0000-0000-00002C240000}"/>
    <cellStyle name="Normal 2 59 4 14" xfId="6425" xr:uid="{00000000-0005-0000-0000-00002D240000}"/>
    <cellStyle name="Normal 2 59 4 14 2" xfId="24196" xr:uid="{00000000-0005-0000-0000-00002E240000}"/>
    <cellStyle name="Normal 2 59 4 15" xfId="6426" xr:uid="{00000000-0005-0000-0000-00002F240000}"/>
    <cellStyle name="Normal 2 59 4 15 2" xfId="24197" xr:uid="{00000000-0005-0000-0000-000030240000}"/>
    <cellStyle name="Normal 2 59 4 16" xfId="24191" xr:uid="{00000000-0005-0000-0000-000031240000}"/>
    <cellStyle name="Normal 2 59 4 2" xfId="6427" xr:uid="{00000000-0005-0000-0000-000032240000}"/>
    <cellStyle name="Normal 2 59 4 2 10" xfId="6428" xr:uid="{00000000-0005-0000-0000-000033240000}"/>
    <cellStyle name="Normal 2 59 4 2 10 2" xfId="24199" xr:uid="{00000000-0005-0000-0000-000034240000}"/>
    <cellStyle name="Normal 2 59 4 2 11" xfId="6429" xr:uid="{00000000-0005-0000-0000-000035240000}"/>
    <cellStyle name="Normal 2 59 4 2 11 2" xfId="24200" xr:uid="{00000000-0005-0000-0000-000036240000}"/>
    <cellStyle name="Normal 2 59 4 2 12" xfId="6430" xr:uid="{00000000-0005-0000-0000-000037240000}"/>
    <cellStyle name="Normal 2 59 4 2 12 2" xfId="24201" xr:uid="{00000000-0005-0000-0000-000038240000}"/>
    <cellStyle name="Normal 2 59 4 2 13" xfId="6431" xr:uid="{00000000-0005-0000-0000-000039240000}"/>
    <cellStyle name="Normal 2 59 4 2 13 2" xfId="24202" xr:uid="{00000000-0005-0000-0000-00003A240000}"/>
    <cellStyle name="Normal 2 59 4 2 14" xfId="6432" xr:uid="{00000000-0005-0000-0000-00003B240000}"/>
    <cellStyle name="Normal 2 59 4 2 14 2" xfId="24203" xr:uid="{00000000-0005-0000-0000-00003C240000}"/>
    <cellStyle name="Normal 2 59 4 2 15" xfId="24198" xr:uid="{00000000-0005-0000-0000-00003D240000}"/>
    <cellStyle name="Normal 2 59 4 2 2" xfId="6433" xr:uid="{00000000-0005-0000-0000-00003E240000}"/>
    <cellStyle name="Normal 2 59 4 2 2 2" xfId="24204" xr:uid="{00000000-0005-0000-0000-00003F240000}"/>
    <cellStyle name="Normal 2 59 4 2 3" xfId="6434" xr:uid="{00000000-0005-0000-0000-000040240000}"/>
    <cellStyle name="Normal 2 59 4 2 3 2" xfId="24205" xr:uid="{00000000-0005-0000-0000-000041240000}"/>
    <cellStyle name="Normal 2 59 4 2 4" xfId="6435" xr:uid="{00000000-0005-0000-0000-000042240000}"/>
    <cellStyle name="Normal 2 59 4 2 4 2" xfId="24206" xr:uid="{00000000-0005-0000-0000-000043240000}"/>
    <cellStyle name="Normal 2 59 4 2 5" xfId="6436" xr:uid="{00000000-0005-0000-0000-000044240000}"/>
    <cellStyle name="Normal 2 59 4 2 5 2" xfId="24207" xr:uid="{00000000-0005-0000-0000-000045240000}"/>
    <cellStyle name="Normal 2 59 4 2 6" xfId="6437" xr:uid="{00000000-0005-0000-0000-000046240000}"/>
    <cellStyle name="Normal 2 59 4 2 6 2" xfId="24208" xr:uid="{00000000-0005-0000-0000-000047240000}"/>
    <cellStyle name="Normal 2 59 4 2 7" xfId="6438" xr:uid="{00000000-0005-0000-0000-000048240000}"/>
    <cellStyle name="Normal 2 59 4 2 7 2" xfId="24209" xr:uid="{00000000-0005-0000-0000-000049240000}"/>
    <cellStyle name="Normal 2 59 4 2 8" xfId="6439" xr:uid="{00000000-0005-0000-0000-00004A240000}"/>
    <cellStyle name="Normal 2 59 4 2 8 2" xfId="24210" xr:uid="{00000000-0005-0000-0000-00004B240000}"/>
    <cellStyle name="Normal 2 59 4 2 9" xfId="6440" xr:uid="{00000000-0005-0000-0000-00004C240000}"/>
    <cellStyle name="Normal 2 59 4 2 9 2" xfId="24211" xr:uid="{00000000-0005-0000-0000-00004D240000}"/>
    <cellStyle name="Normal 2 59 4 3" xfId="6441" xr:uid="{00000000-0005-0000-0000-00004E240000}"/>
    <cellStyle name="Normal 2 59 4 3 2" xfId="24212" xr:uid="{00000000-0005-0000-0000-00004F240000}"/>
    <cellStyle name="Normal 2 59 4 4" xfId="6442" xr:uid="{00000000-0005-0000-0000-000050240000}"/>
    <cellStyle name="Normal 2 59 4 4 2" xfId="24213" xr:uid="{00000000-0005-0000-0000-000051240000}"/>
    <cellStyle name="Normal 2 59 4 5" xfId="6443" xr:uid="{00000000-0005-0000-0000-000052240000}"/>
    <cellStyle name="Normal 2 59 4 5 2" xfId="24214" xr:uid="{00000000-0005-0000-0000-000053240000}"/>
    <cellStyle name="Normal 2 59 4 6" xfId="6444" xr:uid="{00000000-0005-0000-0000-000054240000}"/>
    <cellStyle name="Normal 2 59 4 6 2" xfId="24215" xr:uid="{00000000-0005-0000-0000-000055240000}"/>
    <cellStyle name="Normal 2 59 4 7" xfId="6445" xr:uid="{00000000-0005-0000-0000-000056240000}"/>
    <cellStyle name="Normal 2 59 4 7 2" xfId="24216" xr:uid="{00000000-0005-0000-0000-000057240000}"/>
    <cellStyle name="Normal 2 59 4 8" xfId="6446" xr:uid="{00000000-0005-0000-0000-000058240000}"/>
    <cellStyle name="Normal 2 59 4 8 2" xfId="24217" xr:uid="{00000000-0005-0000-0000-000059240000}"/>
    <cellStyle name="Normal 2 59 4 9" xfId="6447" xr:uid="{00000000-0005-0000-0000-00005A240000}"/>
    <cellStyle name="Normal 2 59 4 9 2" xfId="24218" xr:uid="{00000000-0005-0000-0000-00005B240000}"/>
    <cellStyle name="Normal 2 59 5" xfId="6448" xr:uid="{00000000-0005-0000-0000-00005C240000}"/>
    <cellStyle name="Normal 2 59 5 10" xfId="6449" xr:uid="{00000000-0005-0000-0000-00005D240000}"/>
    <cellStyle name="Normal 2 59 5 10 2" xfId="24220" xr:uid="{00000000-0005-0000-0000-00005E240000}"/>
    <cellStyle name="Normal 2 59 5 11" xfId="6450" xr:uid="{00000000-0005-0000-0000-00005F240000}"/>
    <cellStyle name="Normal 2 59 5 11 2" xfId="24221" xr:uid="{00000000-0005-0000-0000-000060240000}"/>
    <cellStyle name="Normal 2 59 5 12" xfId="6451" xr:uid="{00000000-0005-0000-0000-000061240000}"/>
    <cellStyle name="Normal 2 59 5 12 2" xfId="24222" xr:uid="{00000000-0005-0000-0000-000062240000}"/>
    <cellStyle name="Normal 2 59 5 13" xfId="6452" xr:uid="{00000000-0005-0000-0000-000063240000}"/>
    <cellStyle name="Normal 2 59 5 13 2" xfId="24223" xr:uid="{00000000-0005-0000-0000-000064240000}"/>
    <cellStyle name="Normal 2 59 5 14" xfId="6453" xr:uid="{00000000-0005-0000-0000-000065240000}"/>
    <cellStyle name="Normal 2 59 5 14 2" xfId="24224" xr:uid="{00000000-0005-0000-0000-000066240000}"/>
    <cellStyle name="Normal 2 59 5 15" xfId="24219" xr:uid="{00000000-0005-0000-0000-000067240000}"/>
    <cellStyle name="Normal 2 59 5 2" xfId="6454" xr:uid="{00000000-0005-0000-0000-000068240000}"/>
    <cellStyle name="Normal 2 59 5 2 2" xfId="24225" xr:uid="{00000000-0005-0000-0000-000069240000}"/>
    <cellStyle name="Normal 2 59 5 3" xfId="6455" xr:uid="{00000000-0005-0000-0000-00006A240000}"/>
    <cellStyle name="Normal 2 59 5 3 2" xfId="24226" xr:uid="{00000000-0005-0000-0000-00006B240000}"/>
    <cellStyle name="Normal 2 59 5 4" xfId="6456" xr:uid="{00000000-0005-0000-0000-00006C240000}"/>
    <cellStyle name="Normal 2 59 5 4 2" xfId="24227" xr:uid="{00000000-0005-0000-0000-00006D240000}"/>
    <cellStyle name="Normal 2 59 5 5" xfId="6457" xr:uid="{00000000-0005-0000-0000-00006E240000}"/>
    <cellStyle name="Normal 2 59 5 5 2" xfId="24228" xr:uid="{00000000-0005-0000-0000-00006F240000}"/>
    <cellStyle name="Normal 2 59 5 6" xfId="6458" xr:uid="{00000000-0005-0000-0000-000070240000}"/>
    <cellStyle name="Normal 2 59 5 6 2" xfId="24229" xr:uid="{00000000-0005-0000-0000-000071240000}"/>
    <cellStyle name="Normal 2 59 5 7" xfId="6459" xr:uid="{00000000-0005-0000-0000-000072240000}"/>
    <cellStyle name="Normal 2 59 5 7 2" xfId="24230" xr:uid="{00000000-0005-0000-0000-000073240000}"/>
    <cellStyle name="Normal 2 59 5 8" xfId="6460" xr:uid="{00000000-0005-0000-0000-000074240000}"/>
    <cellStyle name="Normal 2 59 5 8 2" xfId="24231" xr:uid="{00000000-0005-0000-0000-000075240000}"/>
    <cellStyle name="Normal 2 59 5 9" xfId="6461" xr:uid="{00000000-0005-0000-0000-000076240000}"/>
    <cellStyle name="Normal 2 59 5 9 2" xfId="24232" xr:uid="{00000000-0005-0000-0000-000077240000}"/>
    <cellStyle name="Normal 2 59 6" xfId="6462" xr:uid="{00000000-0005-0000-0000-000078240000}"/>
    <cellStyle name="Normal 2 59 6 10" xfId="6463" xr:uid="{00000000-0005-0000-0000-000079240000}"/>
    <cellStyle name="Normal 2 59 6 10 2" xfId="24234" xr:uid="{00000000-0005-0000-0000-00007A240000}"/>
    <cellStyle name="Normal 2 59 6 11" xfId="6464" xr:uid="{00000000-0005-0000-0000-00007B240000}"/>
    <cellStyle name="Normal 2 59 6 11 2" xfId="24235" xr:uid="{00000000-0005-0000-0000-00007C240000}"/>
    <cellStyle name="Normal 2 59 6 12" xfId="6465" xr:uid="{00000000-0005-0000-0000-00007D240000}"/>
    <cellStyle name="Normal 2 59 6 12 2" xfId="24236" xr:uid="{00000000-0005-0000-0000-00007E240000}"/>
    <cellStyle name="Normal 2 59 6 13" xfId="6466" xr:uid="{00000000-0005-0000-0000-00007F240000}"/>
    <cellStyle name="Normal 2 59 6 13 2" xfId="24237" xr:uid="{00000000-0005-0000-0000-000080240000}"/>
    <cellStyle name="Normal 2 59 6 14" xfId="6467" xr:uid="{00000000-0005-0000-0000-000081240000}"/>
    <cellStyle name="Normal 2 59 6 14 2" xfId="24238" xr:uid="{00000000-0005-0000-0000-000082240000}"/>
    <cellStyle name="Normal 2 59 6 15" xfId="24233" xr:uid="{00000000-0005-0000-0000-000083240000}"/>
    <cellStyle name="Normal 2 59 6 2" xfId="6468" xr:uid="{00000000-0005-0000-0000-000084240000}"/>
    <cellStyle name="Normal 2 59 6 2 2" xfId="24239" xr:uid="{00000000-0005-0000-0000-000085240000}"/>
    <cellStyle name="Normal 2 59 6 3" xfId="6469" xr:uid="{00000000-0005-0000-0000-000086240000}"/>
    <cellStyle name="Normal 2 59 6 3 2" xfId="24240" xr:uid="{00000000-0005-0000-0000-000087240000}"/>
    <cellStyle name="Normal 2 59 6 4" xfId="6470" xr:uid="{00000000-0005-0000-0000-000088240000}"/>
    <cellStyle name="Normal 2 59 6 4 2" xfId="24241" xr:uid="{00000000-0005-0000-0000-000089240000}"/>
    <cellStyle name="Normal 2 59 6 5" xfId="6471" xr:uid="{00000000-0005-0000-0000-00008A240000}"/>
    <cellStyle name="Normal 2 59 6 5 2" xfId="24242" xr:uid="{00000000-0005-0000-0000-00008B240000}"/>
    <cellStyle name="Normal 2 59 6 6" xfId="6472" xr:uid="{00000000-0005-0000-0000-00008C240000}"/>
    <cellStyle name="Normal 2 59 6 6 2" xfId="24243" xr:uid="{00000000-0005-0000-0000-00008D240000}"/>
    <cellStyle name="Normal 2 59 6 7" xfId="6473" xr:uid="{00000000-0005-0000-0000-00008E240000}"/>
    <cellStyle name="Normal 2 59 6 7 2" xfId="24244" xr:uid="{00000000-0005-0000-0000-00008F240000}"/>
    <cellStyle name="Normal 2 59 6 8" xfId="6474" xr:uid="{00000000-0005-0000-0000-000090240000}"/>
    <cellStyle name="Normal 2 59 6 8 2" xfId="24245" xr:uid="{00000000-0005-0000-0000-000091240000}"/>
    <cellStyle name="Normal 2 59 6 9" xfId="6475" xr:uid="{00000000-0005-0000-0000-000092240000}"/>
    <cellStyle name="Normal 2 59 6 9 2" xfId="24246" xr:uid="{00000000-0005-0000-0000-000093240000}"/>
    <cellStyle name="Normal 2 59 7" xfId="6476" xr:uid="{00000000-0005-0000-0000-000094240000}"/>
    <cellStyle name="Normal 2 59 7 10" xfId="6477" xr:uid="{00000000-0005-0000-0000-000095240000}"/>
    <cellStyle name="Normal 2 59 7 10 2" xfId="24248" xr:uid="{00000000-0005-0000-0000-000096240000}"/>
    <cellStyle name="Normal 2 59 7 11" xfId="6478" xr:uid="{00000000-0005-0000-0000-000097240000}"/>
    <cellStyle name="Normal 2 59 7 11 2" xfId="24249" xr:uid="{00000000-0005-0000-0000-000098240000}"/>
    <cellStyle name="Normal 2 59 7 12" xfId="6479" xr:uid="{00000000-0005-0000-0000-000099240000}"/>
    <cellStyle name="Normal 2 59 7 12 2" xfId="24250" xr:uid="{00000000-0005-0000-0000-00009A240000}"/>
    <cellStyle name="Normal 2 59 7 13" xfId="6480" xr:uid="{00000000-0005-0000-0000-00009B240000}"/>
    <cellStyle name="Normal 2 59 7 13 2" xfId="24251" xr:uid="{00000000-0005-0000-0000-00009C240000}"/>
    <cellStyle name="Normal 2 59 7 14" xfId="6481" xr:uid="{00000000-0005-0000-0000-00009D240000}"/>
    <cellStyle name="Normal 2 59 7 14 2" xfId="24252" xr:uid="{00000000-0005-0000-0000-00009E240000}"/>
    <cellStyle name="Normal 2 59 7 15" xfId="24247" xr:uid="{00000000-0005-0000-0000-00009F240000}"/>
    <cellStyle name="Normal 2 59 7 2" xfId="6482" xr:uid="{00000000-0005-0000-0000-0000A0240000}"/>
    <cellStyle name="Normal 2 59 7 2 2" xfId="24253" xr:uid="{00000000-0005-0000-0000-0000A1240000}"/>
    <cellStyle name="Normal 2 59 7 3" xfId="6483" xr:uid="{00000000-0005-0000-0000-0000A2240000}"/>
    <cellStyle name="Normal 2 59 7 3 2" xfId="24254" xr:uid="{00000000-0005-0000-0000-0000A3240000}"/>
    <cellStyle name="Normal 2 59 7 4" xfId="6484" xr:uid="{00000000-0005-0000-0000-0000A4240000}"/>
    <cellStyle name="Normal 2 59 7 4 2" xfId="24255" xr:uid="{00000000-0005-0000-0000-0000A5240000}"/>
    <cellStyle name="Normal 2 59 7 5" xfId="6485" xr:uid="{00000000-0005-0000-0000-0000A6240000}"/>
    <cellStyle name="Normal 2 59 7 5 2" xfId="24256" xr:uid="{00000000-0005-0000-0000-0000A7240000}"/>
    <cellStyle name="Normal 2 59 7 6" xfId="6486" xr:uid="{00000000-0005-0000-0000-0000A8240000}"/>
    <cellStyle name="Normal 2 59 7 6 2" xfId="24257" xr:uid="{00000000-0005-0000-0000-0000A9240000}"/>
    <cellStyle name="Normal 2 59 7 7" xfId="6487" xr:uid="{00000000-0005-0000-0000-0000AA240000}"/>
    <cellStyle name="Normal 2 59 7 7 2" xfId="24258" xr:uid="{00000000-0005-0000-0000-0000AB240000}"/>
    <cellStyle name="Normal 2 59 7 8" xfId="6488" xr:uid="{00000000-0005-0000-0000-0000AC240000}"/>
    <cellStyle name="Normal 2 59 7 8 2" xfId="24259" xr:uid="{00000000-0005-0000-0000-0000AD240000}"/>
    <cellStyle name="Normal 2 59 7 9" xfId="6489" xr:uid="{00000000-0005-0000-0000-0000AE240000}"/>
    <cellStyle name="Normal 2 59 7 9 2" xfId="24260" xr:uid="{00000000-0005-0000-0000-0000AF240000}"/>
    <cellStyle name="Normal 2 59 8" xfId="6490" xr:uid="{00000000-0005-0000-0000-0000B0240000}"/>
    <cellStyle name="Normal 2 59 8 10" xfId="6491" xr:uid="{00000000-0005-0000-0000-0000B1240000}"/>
    <cellStyle name="Normal 2 59 8 10 2" xfId="24262" xr:uid="{00000000-0005-0000-0000-0000B2240000}"/>
    <cellStyle name="Normal 2 59 8 11" xfId="6492" xr:uid="{00000000-0005-0000-0000-0000B3240000}"/>
    <cellStyle name="Normal 2 59 8 11 2" xfId="24263" xr:uid="{00000000-0005-0000-0000-0000B4240000}"/>
    <cellStyle name="Normal 2 59 8 12" xfId="6493" xr:uid="{00000000-0005-0000-0000-0000B5240000}"/>
    <cellStyle name="Normal 2 59 8 12 2" xfId="24264" xr:uid="{00000000-0005-0000-0000-0000B6240000}"/>
    <cellStyle name="Normal 2 59 8 13" xfId="6494" xr:uid="{00000000-0005-0000-0000-0000B7240000}"/>
    <cellStyle name="Normal 2 59 8 13 2" xfId="24265" xr:uid="{00000000-0005-0000-0000-0000B8240000}"/>
    <cellStyle name="Normal 2 59 8 14" xfId="6495" xr:uid="{00000000-0005-0000-0000-0000B9240000}"/>
    <cellStyle name="Normal 2 59 8 14 2" xfId="24266" xr:uid="{00000000-0005-0000-0000-0000BA240000}"/>
    <cellStyle name="Normal 2 59 8 15" xfId="24261" xr:uid="{00000000-0005-0000-0000-0000BB240000}"/>
    <cellStyle name="Normal 2 59 8 2" xfId="6496" xr:uid="{00000000-0005-0000-0000-0000BC240000}"/>
    <cellStyle name="Normal 2 59 8 2 2" xfId="24267" xr:uid="{00000000-0005-0000-0000-0000BD240000}"/>
    <cellStyle name="Normal 2 59 8 3" xfId="6497" xr:uid="{00000000-0005-0000-0000-0000BE240000}"/>
    <cellStyle name="Normal 2 59 8 3 2" xfId="24268" xr:uid="{00000000-0005-0000-0000-0000BF240000}"/>
    <cellStyle name="Normal 2 59 8 4" xfId="6498" xr:uid="{00000000-0005-0000-0000-0000C0240000}"/>
    <cellStyle name="Normal 2 59 8 4 2" xfId="24269" xr:uid="{00000000-0005-0000-0000-0000C1240000}"/>
    <cellStyle name="Normal 2 59 8 5" xfId="6499" xr:uid="{00000000-0005-0000-0000-0000C2240000}"/>
    <cellStyle name="Normal 2 59 8 5 2" xfId="24270" xr:uid="{00000000-0005-0000-0000-0000C3240000}"/>
    <cellStyle name="Normal 2 59 8 6" xfId="6500" xr:uid="{00000000-0005-0000-0000-0000C4240000}"/>
    <cellStyle name="Normal 2 59 8 6 2" xfId="24271" xr:uid="{00000000-0005-0000-0000-0000C5240000}"/>
    <cellStyle name="Normal 2 59 8 7" xfId="6501" xr:uid="{00000000-0005-0000-0000-0000C6240000}"/>
    <cellStyle name="Normal 2 59 8 7 2" xfId="24272" xr:uid="{00000000-0005-0000-0000-0000C7240000}"/>
    <cellStyle name="Normal 2 59 8 8" xfId="6502" xr:uid="{00000000-0005-0000-0000-0000C8240000}"/>
    <cellStyle name="Normal 2 59 8 8 2" xfId="24273" xr:uid="{00000000-0005-0000-0000-0000C9240000}"/>
    <cellStyle name="Normal 2 59 8 9" xfId="6503" xr:uid="{00000000-0005-0000-0000-0000CA240000}"/>
    <cellStyle name="Normal 2 59 8 9 2" xfId="24274" xr:uid="{00000000-0005-0000-0000-0000CB240000}"/>
    <cellStyle name="Normal 2 59 9" xfId="6504" xr:uid="{00000000-0005-0000-0000-0000CC240000}"/>
    <cellStyle name="Normal 2 59 9 10" xfId="6505" xr:uid="{00000000-0005-0000-0000-0000CD240000}"/>
    <cellStyle name="Normal 2 59 9 10 2" xfId="24276" xr:uid="{00000000-0005-0000-0000-0000CE240000}"/>
    <cellStyle name="Normal 2 59 9 11" xfId="6506" xr:uid="{00000000-0005-0000-0000-0000CF240000}"/>
    <cellStyle name="Normal 2 59 9 11 2" xfId="24277" xr:uid="{00000000-0005-0000-0000-0000D0240000}"/>
    <cellStyle name="Normal 2 59 9 12" xfId="6507" xr:uid="{00000000-0005-0000-0000-0000D1240000}"/>
    <cellStyle name="Normal 2 59 9 12 2" xfId="24278" xr:uid="{00000000-0005-0000-0000-0000D2240000}"/>
    <cellStyle name="Normal 2 59 9 13" xfId="6508" xr:uid="{00000000-0005-0000-0000-0000D3240000}"/>
    <cellStyle name="Normal 2 59 9 13 2" xfId="24279" xr:uid="{00000000-0005-0000-0000-0000D4240000}"/>
    <cellStyle name="Normal 2 59 9 14" xfId="6509" xr:uid="{00000000-0005-0000-0000-0000D5240000}"/>
    <cellStyle name="Normal 2 59 9 14 2" xfId="24280" xr:uid="{00000000-0005-0000-0000-0000D6240000}"/>
    <cellStyle name="Normal 2 59 9 15" xfId="24275" xr:uid="{00000000-0005-0000-0000-0000D7240000}"/>
    <cellStyle name="Normal 2 59 9 2" xfId="6510" xr:uid="{00000000-0005-0000-0000-0000D8240000}"/>
    <cellStyle name="Normal 2 59 9 2 2" xfId="24281" xr:uid="{00000000-0005-0000-0000-0000D9240000}"/>
    <cellStyle name="Normal 2 59 9 3" xfId="6511" xr:uid="{00000000-0005-0000-0000-0000DA240000}"/>
    <cellStyle name="Normal 2 59 9 3 2" xfId="24282" xr:uid="{00000000-0005-0000-0000-0000DB240000}"/>
    <cellStyle name="Normal 2 59 9 4" xfId="6512" xr:uid="{00000000-0005-0000-0000-0000DC240000}"/>
    <cellStyle name="Normal 2 59 9 4 2" xfId="24283" xr:uid="{00000000-0005-0000-0000-0000DD240000}"/>
    <cellStyle name="Normal 2 59 9 5" xfId="6513" xr:uid="{00000000-0005-0000-0000-0000DE240000}"/>
    <cellStyle name="Normal 2 59 9 5 2" xfId="24284" xr:uid="{00000000-0005-0000-0000-0000DF240000}"/>
    <cellStyle name="Normal 2 59 9 6" xfId="6514" xr:uid="{00000000-0005-0000-0000-0000E0240000}"/>
    <cellStyle name="Normal 2 59 9 6 2" xfId="24285" xr:uid="{00000000-0005-0000-0000-0000E1240000}"/>
    <cellStyle name="Normal 2 59 9 7" xfId="6515" xr:uid="{00000000-0005-0000-0000-0000E2240000}"/>
    <cellStyle name="Normal 2 59 9 7 2" xfId="24286" xr:uid="{00000000-0005-0000-0000-0000E3240000}"/>
    <cellStyle name="Normal 2 59 9 8" xfId="6516" xr:uid="{00000000-0005-0000-0000-0000E4240000}"/>
    <cellStyle name="Normal 2 59 9 8 2" xfId="24287" xr:uid="{00000000-0005-0000-0000-0000E5240000}"/>
    <cellStyle name="Normal 2 59 9 9" xfId="6517" xr:uid="{00000000-0005-0000-0000-0000E6240000}"/>
    <cellStyle name="Normal 2 59 9 9 2" xfId="24288" xr:uid="{00000000-0005-0000-0000-0000E7240000}"/>
    <cellStyle name="Normal 2 6" xfId="136" xr:uid="{00000000-0005-0000-0000-0000E8240000}"/>
    <cellStyle name="Normal 2 6 2" xfId="198" xr:uid="{00000000-0005-0000-0000-0000E9240000}"/>
    <cellStyle name="Normal 2 6 2 2" xfId="6520" xr:uid="{00000000-0005-0000-0000-0000EA240000}"/>
    <cellStyle name="Normal 2 6 2 2 2" xfId="6521" xr:uid="{00000000-0005-0000-0000-0000EB240000}"/>
    <cellStyle name="Normal 2 6 2 3" xfId="6522" xr:uid="{00000000-0005-0000-0000-0000EC240000}"/>
    <cellStyle name="Normal 2 6 2 3 2" xfId="6523" xr:uid="{00000000-0005-0000-0000-0000ED240000}"/>
    <cellStyle name="Normal 2 6 2 4" xfId="6524" xr:uid="{00000000-0005-0000-0000-0000EE240000}"/>
    <cellStyle name="Normal 2 6 2 4 2" xfId="6525" xr:uid="{00000000-0005-0000-0000-0000EF240000}"/>
    <cellStyle name="Normal 2 6 2 5" xfId="6526" xr:uid="{00000000-0005-0000-0000-0000F0240000}"/>
    <cellStyle name="Normal 2 6 2 5 2" xfId="6527" xr:uid="{00000000-0005-0000-0000-0000F1240000}"/>
    <cellStyle name="Normal 2 6 2 6" xfId="6528" xr:uid="{00000000-0005-0000-0000-0000F2240000}"/>
    <cellStyle name="Normal 2 6 2 6 2" xfId="6529" xr:uid="{00000000-0005-0000-0000-0000F3240000}"/>
    <cellStyle name="Normal 2 6 2 7" xfId="6530" xr:uid="{00000000-0005-0000-0000-0000F4240000}"/>
    <cellStyle name="Normal 2 6 2 7 2" xfId="6531" xr:uid="{00000000-0005-0000-0000-0000F5240000}"/>
    <cellStyle name="Normal 2 6 2 8" xfId="6519" xr:uid="{00000000-0005-0000-0000-0000F6240000}"/>
    <cellStyle name="Normal 2 6 3" xfId="179" xr:uid="{00000000-0005-0000-0000-0000F7240000}"/>
    <cellStyle name="Normal 2 6 3 2" xfId="556" xr:uid="{00000000-0005-0000-0000-0000F8240000}"/>
    <cellStyle name="Normal 2 6 3 3" xfId="6532" xr:uid="{00000000-0005-0000-0000-0000F9240000}"/>
    <cellStyle name="Normal 2 6 4" xfId="467" xr:uid="{00000000-0005-0000-0000-0000FA240000}"/>
    <cellStyle name="Normal 2 6 4 2" xfId="6533" xr:uid="{00000000-0005-0000-0000-0000FB240000}"/>
    <cellStyle name="Normal 2 6 5" xfId="6534" xr:uid="{00000000-0005-0000-0000-0000FC240000}"/>
    <cellStyle name="Normal 2 6 6" xfId="6535" xr:uid="{00000000-0005-0000-0000-0000FD240000}"/>
    <cellStyle name="Normal 2 6 7" xfId="6536" xr:uid="{00000000-0005-0000-0000-0000FE240000}"/>
    <cellStyle name="Normal 2 6 8" xfId="6537" xr:uid="{00000000-0005-0000-0000-0000FF240000}"/>
    <cellStyle name="Normal 2 6 9" xfId="6518" xr:uid="{00000000-0005-0000-0000-000000250000}"/>
    <cellStyle name="Normal 2 60" xfId="6538" xr:uid="{00000000-0005-0000-0000-000001250000}"/>
    <cellStyle name="Normal 2 60 10" xfId="6539" xr:uid="{00000000-0005-0000-0000-000002250000}"/>
    <cellStyle name="Normal 2 60 10 10" xfId="6540" xr:uid="{00000000-0005-0000-0000-000003250000}"/>
    <cellStyle name="Normal 2 60 10 10 2" xfId="24291" xr:uid="{00000000-0005-0000-0000-000004250000}"/>
    <cellStyle name="Normal 2 60 10 11" xfId="6541" xr:uid="{00000000-0005-0000-0000-000005250000}"/>
    <cellStyle name="Normal 2 60 10 11 2" xfId="24292" xr:uid="{00000000-0005-0000-0000-000006250000}"/>
    <cellStyle name="Normal 2 60 10 12" xfId="6542" xr:uid="{00000000-0005-0000-0000-000007250000}"/>
    <cellStyle name="Normal 2 60 10 12 2" xfId="24293" xr:uid="{00000000-0005-0000-0000-000008250000}"/>
    <cellStyle name="Normal 2 60 10 13" xfId="6543" xr:uid="{00000000-0005-0000-0000-000009250000}"/>
    <cellStyle name="Normal 2 60 10 13 2" xfId="24294" xr:uid="{00000000-0005-0000-0000-00000A250000}"/>
    <cellStyle name="Normal 2 60 10 14" xfId="6544" xr:uid="{00000000-0005-0000-0000-00000B250000}"/>
    <cellStyle name="Normal 2 60 10 14 2" xfId="24295" xr:uid="{00000000-0005-0000-0000-00000C250000}"/>
    <cellStyle name="Normal 2 60 10 15" xfId="24290" xr:uid="{00000000-0005-0000-0000-00000D250000}"/>
    <cellStyle name="Normal 2 60 10 2" xfId="6545" xr:uid="{00000000-0005-0000-0000-00000E250000}"/>
    <cellStyle name="Normal 2 60 10 2 2" xfId="24296" xr:uid="{00000000-0005-0000-0000-00000F250000}"/>
    <cellStyle name="Normal 2 60 10 3" xfId="6546" xr:uid="{00000000-0005-0000-0000-000010250000}"/>
    <cellStyle name="Normal 2 60 10 3 2" xfId="24297" xr:uid="{00000000-0005-0000-0000-000011250000}"/>
    <cellStyle name="Normal 2 60 10 4" xfId="6547" xr:uid="{00000000-0005-0000-0000-000012250000}"/>
    <cellStyle name="Normal 2 60 10 4 2" xfId="24298" xr:uid="{00000000-0005-0000-0000-000013250000}"/>
    <cellStyle name="Normal 2 60 10 5" xfId="6548" xr:uid="{00000000-0005-0000-0000-000014250000}"/>
    <cellStyle name="Normal 2 60 10 5 2" xfId="24299" xr:uid="{00000000-0005-0000-0000-000015250000}"/>
    <cellStyle name="Normal 2 60 10 6" xfId="6549" xr:uid="{00000000-0005-0000-0000-000016250000}"/>
    <cellStyle name="Normal 2 60 10 6 2" xfId="24300" xr:uid="{00000000-0005-0000-0000-000017250000}"/>
    <cellStyle name="Normal 2 60 10 7" xfId="6550" xr:uid="{00000000-0005-0000-0000-000018250000}"/>
    <cellStyle name="Normal 2 60 10 7 2" xfId="24301" xr:uid="{00000000-0005-0000-0000-000019250000}"/>
    <cellStyle name="Normal 2 60 10 8" xfId="6551" xr:uid="{00000000-0005-0000-0000-00001A250000}"/>
    <cellStyle name="Normal 2 60 10 8 2" xfId="24302" xr:uid="{00000000-0005-0000-0000-00001B250000}"/>
    <cellStyle name="Normal 2 60 10 9" xfId="6552" xr:uid="{00000000-0005-0000-0000-00001C250000}"/>
    <cellStyle name="Normal 2 60 10 9 2" xfId="24303" xr:uid="{00000000-0005-0000-0000-00001D250000}"/>
    <cellStyle name="Normal 2 60 11" xfId="6553" xr:uid="{00000000-0005-0000-0000-00001E250000}"/>
    <cellStyle name="Normal 2 60 11 2" xfId="24304" xr:uid="{00000000-0005-0000-0000-00001F250000}"/>
    <cellStyle name="Normal 2 60 12" xfId="6554" xr:uid="{00000000-0005-0000-0000-000020250000}"/>
    <cellStyle name="Normal 2 60 12 2" xfId="24305" xr:uid="{00000000-0005-0000-0000-000021250000}"/>
    <cellStyle name="Normal 2 60 13" xfId="6555" xr:uid="{00000000-0005-0000-0000-000022250000}"/>
    <cellStyle name="Normal 2 60 13 2" xfId="24306" xr:uid="{00000000-0005-0000-0000-000023250000}"/>
    <cellStyle name="Normal 2 60 14" xfId="6556" xr:uid="{00000000-0005-0000-0000-000024250000}"/>
    <cellStyle name="Normal 2 60 14 2" xfId="24307" xr:uid="{00000000-0005-0000-0000-000025250000}"/>
    <cellStyle name="Normal 2 60 15" xfId="6557" xr:uid="{00000000-0005-0000-0000-000026250000}"/>
    <cellStyle name="Normal 2 60 15 2" xfId="24308" xr:uid="{00000000-0005-0000-0000-000027250000}"/>
    <cellStyle name="Normal 2 60 16" xfId="6558" xr:uid="{00000000-0005-0000-0000-000028250000}"/>
    <cellStyle name="Normal 2 60 16 2" xfId="24309" xr:uid="{00000000-0005-0000-0000-000029250000}"/>
    <cellStyle name="Normal 2 60 17" xfId="6559" xr:uid="{00000000-0005-0000-0000-00002A250000}"/>
    <cellStyle name="Normal 2 60 17 2" xfId="24310" xr:uid="{00000000-0005-0000-0000-00002B250000}"/>
    <cellStyle name="Normal 2 60 18" xfId="6560" xr:uid="{00000000-0005-0000-0000-00002C250000}"/>
    <cellStyle name="Normal 2 60 18 2" xfId="24311" xr:uid="{00000000-0005-0000-0000-00002D250000}"/>
    <cellStyle name="Normal 2 60 19" xfId="6561" xr:uid="{00000000-0005-0000-0000-00002E250000}"/>
    <cellStyle name="Normal 2 60 19 2" xfId="24312" xr:uid="{00000000-0005-0000-0000-00002F250000}"/>
    <cellStyle name="Normal 2 60 2" xfId="6562" xr:uid="{00000000-0005-0000-0000-000030250000}"/>
    <cellStyle name="Normal 2 60 2 10" xfId="6563" xr:uid="{00000000-0005-0000-0000-000031250000}"/>
    <cellStyle name="Normal 2 60 2 10 2" xfId="24314" xr:uid="{00000000-0005-0000-0000-000032250000}"/>
    <cellStyle name="Normal 2 60 2 11" xfId="6564" xr:uid="{00000000-0005-0000-0000-000033250000}"/>
    <cellStyle name="Normal 2 60 2 11 2" xfId="24315" xr:uid="{00000000-0005-0000-0000-000034250000}"/>
    <cellStyle name="Normal 2 60 2 12" xfId="6565" xr:uid="{00000000-0005-0000-0000-000035250000}"/>
    <cellStyle name="Normal 2 60 2 12 2" xfId="24316" xr:uid="{00000000-0005-0000-0000-000036250000}"/>
    <cellStyle name="Normal 2 60 2 13" xfId="6566" xr:uid="{00000000-0005-0000-0000-000037250000}"/>
    <cellStyle name="Normal 2 60 2 13 2" xfId="24317" xr:uid="{00000000-0005-0000-0000-000038250000}"/>
    <cellStyle name="Normal 2 60 2 14" xfId="6567" xr:uid="{00000000-0005-0000-0000-000039250000}"/>
    <cellStyle name="Normal 2 60 2 14 2" xfId="24318" xr:uid="{00000000-0005-0000-0000-00003A250000}"/>
    <cellStyle name="Normal 2 60 2 15" xfId="6568" xr:uid="{00000000-0005-0000-0000-00003B250000}"/>
    <cellStyle name="Normal 2 60 2 15 2" xfId="24319" xr:uid="{00000000-0005-0000-0000-00003C250000}"/>
    <cellStyle name="Normal 2 60 2 16" xfId="24313" xr:uid="{00000000-0005-0000-0000-00003D250000}"/>
    <cellStyle name="Normal 2 60 2 2" xfId="6569" xr:uid="{00000000-0005-0000-0000-00003E250000}"/>
    <cellStyle name="Normal 2 60 2 2 10" xfId="6570" xr:uid="{00000000-0005-0000-0000-00003F250000}"/>
    <cellStyle name="Normal 2 60 2 2 10 2" xfId="24321" xr:uid="{00000000-0005-0000-0000-000040250000}"/>
    <cellStyle name="Normal 2 60 2 2 11" xfId="6571" xr:uid="{00000000-0005-0000-0000-000041250000}"/>
    <cellStyle name="Normal 2 60 2 2 11 2" xfId="24322" xr:uid="{00000000-0005-0000-0000-000042250000}"/>
    <cellStyle name="Normal 2 60 2 2 12" xfId="6572" xr:uid="{00000000-0005-0000-0000-000043250000}"/>
    <cellStyle name="Normal 2 60 2 2 12 2" xfId="24323" xr:uid="{00000000-0005-0000-0000-000044250000}"/>
    <cellStyle name="Normal 2 60 2 2 13" xfId="6573" xr:uid="{00000000-0005-0000-0000-000045250000}"/>
    <cellStyle name="Normal 2 60 2 2 13 2" xfId="24324" xr:uid="{00000000-0005-0000-0000-000046250000}"/>
    <cellStyle name="Normal 2 60 2 2 14" xfId="6574" xr:uid="{00000000-0005-0000-0000-000047250000}"/>
    <cellStyle name="Normal 2 60 2 2 14 2" xfId="24325" xr:uid="{00000000-0005-0000-0000-000048250000}"/>
    <cellStyle name="Normal 2 60 2 2 15" xfId="24320" xr:uid="{00000000-0005-0000-0000-000049250000}"/>
    <cellStyle name="Normal 2 60 2 2 2" xfId="6575" xr:uid="{00000000-0005-0000-0000-00004A250000}"/>
    <cellStyle name="Normal 2 60 2 2 2 2" xfId="24326" xr:uid="{00000000-0005-0000-0000-00004B250000}"/>
    <cellStyle name="Normal 2 60 2 2 3" xfId="6576" xr:uid="{00000000-0005-0000-0000-00004C250000}"/>
    <cellStyle name="Normal 2 60 2 2 3 2" xfId="24327" xr:uid="{00000000-0005-0000-0000-00004D250000}"/>
    <cellStyle name="Normal 2 60 2 2 4" xfId="6577" xr:uid="{00000000-0005-0000-0000-00004E250000}"/>
    <cellStyle name="Normal 2 60 2 2 4 2" xfId="24328" xr:uid="{00000000-0005-0000-0000-00004F250000}"/>
    <cellStyle name="Normal 2 60 2 2 5" xfId="6578" xr:uid="{00000000-0005-0000-0000-000050250000}"/>
    <cellStyle name="Normal 2 60 2 2 5 2" xfId="24329" xr:uid="{00000000-0005-0000-0000-000051250000}"/>
    <cellStyle name="Normal 2 60 2 2 6" xfId="6579" xr:uid="{00000000-0005-0000-0000-000052250000}"/>
    <cellStyle name="Normal 2 60 2 2 6 2" xfId="24330" xr:uid="{00000000-0005-0000-0000-000053250000}"/>
    <cellStyle name="Normal 2 60 2 2 7" xfId="6580" xr:uid="{00000000-0005-0000-0000-000054250000}"/>
    <cellStyle name="Normal 2 60 2 2 7 2" xfId="24331" xr:uid="{00000000-0005-0000-0000-000055250000}"/>
    <cellStyle name="Normal 2 60 2 2 8" xfId="6581" xr:uid="{00000000-0005-0000-0000-000056250000}"/>
    <cellStyle name="Normal 2 60 2 2 8 2" xfId="24332" xr:uid="{00000000-0005-0000-0000-000057250000}"/>
    <cellStyle name="Normal 2 60 2 2 9" xfId="6582" xr:uid="{00000000-0005-0000-0000-000058250000}"/>
    <cellStyle name="Normal 2 60 2 2 9 2" xfId="24333" xr:uid="{00000000-0005-0000-0000-000059250000}"/>
    <cellStyle name="Normal 2 60 2 3" xfId="6583" xr:uid="{00000000-0005-0000-0000-00005A250000}"/>
    <cellStyle name="Normal 2 60 2 3 2" xfId="24334" xr:uid="{00000000-0005-0000-0000-00005B250000}"/>
    <cellStyle name="Normal 2 60 2 4" xfId="6584" xr:uid="{00000000-0005-0000-0000-00005C250000}"/>
    <cellStyle name="Normal 2 60 2 4 2" xfId="24335" xr:uid="{00000000-0005-0000-0000-00005D250000}"/>
    <cellStyle name="Normal 2 60 2 5" xfId="6585" xr:uid="{00000000-0005-0000-0000-00005E250000}"/>
    <cellStyle name="Normal 2 60 2 5 2" xfId="24336" xr:uid="{00000000-0005-0000-0000-00005F250000}"/>
    <cellStyle name="Normal 2 60 2 6" xfId="6586" xr:uid="{00000000-0005-0000-0000-000060250000}"/>
    <cellStyle name="Normal 2 60 2 6 2" xfId="24337" xr:uid="{00000000-0005-0000-0000-000061250000}"/>
    <cellStyle name="Normal 2 60 2 7" xfId="6587" xr:uid="{00000000-0005-0000-0000-000062250000}"/>
    <cellStyle name="Normal 2 60 2 7 2" xfId="24338" xr:uid="{00000000-0005-0000-0000-000063250000}"/>
    <cellStyle name="Normal 2 60 2 8" xfId="6588" xr:uid="{00000000-0005-0000-0000-000064250000}"/>
    <cellStyle name="Normal 2 60 2 8 2" xfId="24339" xr:uid="{00000000-0005-0000-0000-000065250000}"/>
    <cellStyle name="Normal 2 60 2 9" xfId="6589" xr:uid="{00000000-0005-0000-0000-000066250000}"/>
    <cellStyle name="Normal 2 60 2 9 2" xfId="24340" xr:uid="{00000000-0005-0000-0000-000067250000}"/>
    <cellStyle name="Normal 2 60 20" xfId="6590" xr:uid="{00000000-0005-0000-0000-000068250000}"/>
    <cellStyle name="Normal 2 60 20 2" xfId="24341" xr:uid="{00000000-0005-0000-0000-000069250000}"/>
    <cellStyle name="Normal 2 60 21" xfId="6591" xr:uid="{00000000-0005-0000-0000-00006A250000}"/>
    <cellStyle name="Normal 2 60 21 2" xfId="24342" xr:uid="{00000000-0005-0000-0000-00006B250000}"/>
    <cellStyle name="Normal 2 60 22" xfId="6592" xr:uid="{00000000-0005-0000-0000-00006C250000}"/>
    <cellStyle name="Normal 2 60 22 2" xfId="24343" xr:uid="{00000000-0005-0000-0000-00006D250000}"/>
    <cellStyle name="Normal 2 60 23" xfId="6593" xr:uid="{00000000-0005-0000-0000-00006E250000}"/>
    <cellStyle name="Normal 2 60 23 2" xfId="24344" xr:uid="{00000000-0005-0000-0000-00006F250000}"/>
    <cellStyle name="Normal 2 60 24" xfId="24289" xr:uid="{00000000-0005-0000-0000-000070250000}"/>
    <cellStyle name="Normal 2 60 3" xfId="6594" xr:uid="{00000000-0005-0000-0000-000071250000}"/>
    <cellStyle name="Normal 2 60 3 10" xfId="6595" xr:uid="{00000000-0005-0000-0000-000072250000}"/>
    <cellStyle name="Normal 2 60 3 10 2" xfId="24346" xr:uid="{00000000-0005-0000-0000-000073250000}"/>
    <cellStyle name="Normal 2 60 3 11" xfId="6596" xr:uid="{00000000-0005-0000-0000-000074250000}"/>
    <cellStyle name="Normal 2 60 3 11 2" xfId="24347" xr:uid="{00000000-0005-0000-0000-000075250000}"/>
    <cellStyle name="Normal 2 60 3 12" xfId="6597" xr:uid="{00000000-0005-0000-0000-000076250000}"/>
    <cellStyle name="Normal 2 60 3 12 2" xfId="24348" xr:uid="{00000000-0005-0000-0000-000077250000}"/>
    <cellStyle name="Normal 2 60 3 13" xfId="6598" xr:uid="{00000000-0005-0000-0000-000078250000}"/>
    <cellStyle name="Normal 2 60 3 13 2" xfId="24349" xr:uid="{00000000-0005-0000-0000-000079250000}"/>
    <cellStyle name="Normal 2 60 3 14" xfId="6599" xr:uid="{00000000-0005-0000-0000-00007A250000}"/>
    <cellStyle name="Normal 2 60 3 14 2" xfId="24350" xr:uid="{00000000-0005-0000-0000-00007B250000}"/>
    <cellStyle name="Normal 2 60 3 15" xfId="6600" xr:uid="{00000000-0005-0000-0000-00007C250000}"/>
    <cellStyle name="Normal 2 60 3 15 2" xfId="24351" xr:uid="{00000000-0005-0000-0000-00007D250000}"/>
    <cellStyle name="Normal 2 60 3 16" xfId="24345" xr:uid="{00000000-0005-0000-0000-00007E250000}"/>
    <cellStyle name="Normal 2 60 3 2" xfId="6601" xr:uid="{00000000-0005-0000-0000-00007F250000}"/>
    <cellStyle name="Normal 2 60 3 2 10" xfId="6602" xr:uid="{00000000-0005-0000-0000-000080250000}"/>
    <cellStyle name="Normal 2 60 3 2 10 2" xfId="24353" xr:uid="{00000000-0005-0000-0000-000081250000}"/>
    <cellStyle name="Normal 2 60 3 2 11" xfId="6603" xr:uid="{00000000-0005-0000-0000-000082250000}"/>
    <cellStyle name="Normal 2 60 3 2 11 2" xfId="24354" xr:uid="{00000000-0005-0000-0000-000083250000}"/>
    <cellStyle name="Normal 2 60 3 2 12" xfId="6604" xr:uid="{00000000-0005-0000-0000-000084250000}"/>
    <cellStyle name="Normal 2 60 3 2 12 2" xfId="24355" xr:uid="{00000000-0005-0000-0000-000085250000}"/>
    <cellStyle name="Normal 2 60 3 2 13" xfId="6605" xr:uid="{00000000-0005-0000-0000-000086250000}"/>
    <cellStyle name="Normal 2 60 3 2 13 2" xfId="24356" xr:uid="{00000000-0005-0000-0000-000087250000}"/>
    <cellStyle name="Normal 2 60 3 2 14" xfId="6606" xr:uid="{00000000-0005-0000-0000-000088250000}"/>
    <cellStyle name="Normal 2 60 3 2 14 2" xfId="24357" xr:uid="{00000000-0005-0000-0000-000089250000}"/>
    <cellStyle name="Normal 2 60 3 2 15" xfId="24352" xr:uid="{00000000-0005-0000-0000-00008A250000}"/>
    <cellStyle name="Normal 2 60 3 2 2" xfId="6607" xr:uid="{00000000-0005-0000-0000-00008B250000}"/>
    <cellStyle name="Normal 2 60 3 2 2 2" xfId="24358" xr:uid="{00000000-0005-0000-0000-00008C250000}"/>
    <cellStyle name="Normal 2 60 3 2 3" xfId="6608" xr:uid="{00000000-0005-0000-0000-00008D250000}"/>
    <cellStyle name="Normal 2 60 3 2 3 2" xfId="24359" xr:uid="{00000000-0005-0000-0000-00008E250000}"/>
    <cellStyle name="Normal 2 60 3 2 4" xfId="6609" xr:uid="{00000000-0005-0000-0000-00008F250000}"/>
    <cellStyle name="Normal 2 60 3 2 4 2" xfId="24360" xr:uid="{00000000-0005-0000-0000-000090250000}"/>
    <cellStyle name="Normal 2 60 3 2 5" xfId="6610" xr:uid="{00000000-0005-0000-0000-000091250000}"/>
    <cellStyle name="Normal 2 60 3 2 5 2" xfId="24361" xr:uid="{00000000-0005-0000-0000-000092250000}"/>
    <cellStyle name="Normal 2 60 3 2 6" xfId="6611" xr:uid="{00000000-0005-0000-0000-000093250000}"/>
    <cellStyle name="Normal 2 60 3 2 6 2" xfId="24362" xr:uid="{00000000-0005-0000-0000-000094250000}"/>
    <cellStyle name="Normal 2 60 3 2 7" xfId="6612" xr:uid="{00000000-0005-0000-0000-000095250000}"/>
    <cellStyle name="Normal 2 60 3 2 7 2" xfId="24363" xr:uid="{00000000-0005-0000-0000-000096250000}"/>
    <cellStyle name="Normal 2 60 3 2 8" xfId="6613" xr:uid="{00000000-0005-0000-0000-000097250000}"/>
    <cellStyle name="Normal 2 60 3 2 8 2" xfId="24364" xr:uid="{00000000-0005-0000-0000-000098250000}"/>
    <cellStyle name="Normal 2 60 3 2 9" xfId="6614" xr:uid="{00000000-0005-0000-0000-000099250000}"/>
    <cellStyle name="Normal 2 60 3 2 9 2" xfId="24365" xr:uid="{00000000-0005-0000-0000-00009A250000}"/>
    <cellStyle name="Normal 2 60 3 3" xfId="6615" xr:uid="{00000000-0005-0000-0000-00009B250000}"/>
    <cellStyle name="Normal 2 60 3 3 2" xfId="24366" xr:uid="{00000000-0005-0000-0000-00009C250000}"/>
    <cellStyle name="Normal 2 60 3 4" xfId="6616" xr:uid="{00000000-0005-0000-0000-00009D250000}"/>
    <cellStyle name="Normal 2 60 3 4 2" xfId="24367" xr:uid="{00000000-0005-0000-0000-00009E250000}"/>
    <cellStyle name="Normal 2 60 3 5" xfId="6617" xr:uid="{00000000-0005-0000-0000-00009F250000}"/>
    <cellStyle name="Normal 2 60 3 5 2" xfId="24368" xr:uid="{00000000-0005-0000-0000-0000A0250000}"/>
    <cellStyle name="Normal 2 60 3 6" xfId="6618" xr:uid="{00000000-0005-0000-0000-0000A1250000}"/>
    <cellStyle name="Normal 2 60 3 6 2" xfId="24369" xr:uid="{00000000-0005-0000-0000-0000A2250000}"/>
    <cellStyle name="Normal 2 60 3 7" xfId="6619" xr:uid="{00000000-0005-0000-0000-0000A3250000}"/>
    <cellStyle name="Normal 2 60 3 7 2" xfId="24370" xr:uid="{00000000-0005-0000-0000-0000A4250000}"/>
    <cellStyle name="Normal 2 60 3 8" xfId="6620" xr:uid="{00000000-0005-0000-0000-0000A5250000}"/>
    <cellStyle name="Normal 2 60 3 8 2" xfId="24371" xr:uid="{00000000-0005-0000-0000-0000A6250000}"/>
    <cellStyle name="Normal 2 60 3 9" xfId="6621" xr:uid="{00000000-0005-0000-0000-0000A7250000}"/>
    <cellStyle name="Normal 2 60 3 9 2" xfId="24372" xr:uid="{00000000-0005-0000-0000-0000A8250000}"/>
    <cellStyle name="Normal 2 60 4" xfId="6622" xr:uid="{00000000-0005-0000-0000-0000A9250000}"/>
    <cellStyle name="Normal 2 60 4 10" xfId="6623" xr:uid="{00000000-0005-0000-0000-0000AA250000}"/>
    <cellStyle name="Normal 2 60 4 10 2" xfId="24374" xr:uid="{00000000-0005-0000-0000-0000AB250000}"/>
    <cellStyle name="Normal 2 60 4 11" xfId="6624" xr:uid="{00000000-0005-0000-0000-0000AC250000}"/>
    <cellStyle name="Normal 2 60 4 11 2" xfId="24375" xr:uid="{00000000-0005-0000-0000-0000AD250000}"/>
    <cellStyle name="Normal 2 60 4 12" xfId="6625" xr:uid="{00000000-0005-0000-0000-0000AE250000}"/>
    <cellStyle name="Normal 2 60 4 12 2" xfId="24376" xr:uid="{00000000-0005-0000-0000-0000AF250000}"/>
    <cellStyle name="Normal 2 60 4 13" xfId="6626" xr:uid="{00000000-0005-0000-0000-0000B0250000}"/>
    <cellStyle name="Normal 2 60 4 13 2" xfId="24377" xr:uid="{00000000-0005-0000-0000-0000B1250000}"/>
    <cellStyle name="Normal 2 60 4 14" xfId="6627" xr:uid="{00000000-0005-0000-0000-0000B2250000}"/>
    <cellStyle name="Normal 2 60 4 14 2" xfId="24378" xr:uid="{00000000-0005-0000-0000-0000B3250000}"/>
    <cellStyle name="Normal 2 60 4 15" xfId="6628" xr:uid="{00000000-0005-0000-0000-0000B4250000}"/>
    <cellStyle name="Normal 2 60 4 15 2" xfId="24379" xr:uid="{00000000-0005-0000-0000-0000B5250000}"/>
    <cellStyle name="Normal 2 60 4 16" xfId="24373" xr:uid="{00000000-0005-0000-0000-0000B6250000}"/>
    <cellStyle name="Normal 2 60 4 2" xfId="6629" xr:uid="{00000000-0005-0000-0000-0000B7250000}"/>
    <cellStyle name="Normal 2 60 4 2 10" xfId="6630" xr:uid="{00000000-0005-0000-0000-0000B8250000}"/>
    <cellStyle name="Normal 2 60 4 2 10 2" xfId="24381" xr:uid="{00000000-0005-0000-0000-0000B9250000}"/>
    <cellStyle name="Normal 2 60 4 2 11" xfId="6631" xr:uid="{00000000-0005-0000-0000-0000BA250000}"/>
    <cellStyle name="Normal 2 60 4 2 11 2" xfId="24382" xr:uid="{00000000-0005-0000-0000-0000BB250000}"/>
    <cellStyle name="Normal 2 60 4 2 12" xfId="6632" xr:uid="{00000000-0005-0000-0000-0000BC250000}"/>
    <cellStyle name="Normal 2 60 4 2 12 2" xfId="24383" xr:uid="{00000000-0005-0000-0000-0000BD250000}"/>
    <cellStyle name="Normal 2 60 4 2 13" xfId="6633" xr:uid="{00000000-0005-0000-0000-0000BE250000}"/>
    <cellStyle name="Normal 2 60 4 2 13 2" xfId="24384" xr:uid="{00000000-0005-0000-0000-0000BF250000}"/>
    <cellStyle name="Normal 2 60 4 2 14" xfId="6634" xr:uid="{00000000-0005-0000-0000-0000C0250000}"/>
    <cellStyle name="Normal 2 60 4 2 14 2" xfId="24385" xr:uid="{00000000-0005-0000-0000-0000C1250000}"/>
    <cellStyle name="Normal 2 60 4 2 15" xfId="24380" xr:uid="{00000000-0005-0000-0000-0000C2250000}"/>
    <cellStyle name="Normal 2 60 4 2 2" xfId="6635" xr:uid="{00000000-0005-0000-0000-0000C3250000}"/>
    <cellStyle name="Normal 2 60 4 2 2 2" xfId="24386" xr:uid="{00000000-0005-0000-0000-0000C4250000}"/>
    <cellStyle name="Normal 2 60 4 2 3" xfId="6636" xr:uid="{00000000-0005-0000-0000-0000C5250000}"/>
    <cellStyle name="Normal 2 60 4 2 3 2" xfId="24387" xr:uid="{00000000-0005-0000-0000-0000C6250000}"/>
    <cellStyle name="Normal 2 60 4 2 4" xfId="6637" xr:uid="{00000000-0005-0000-0000-0000C7250000}"/>
    <cellStyle name="Normal 2 60 4 2 4 2" xfId="24388" xr:uid="{00000000-0005-0000-0000-0000C8250000}"/>
    <cellStyle name="Normal 2 60 4 2 5" xfId="6638" xr:uid="{00000000-0005-0000-0000-0000C9250000}"/>
    <cellStyle name="Normal 2 60 4 2 5 2" xfId="24389" xr:uid="{00000000-0005-0000-0000-0000CA250000}"/>
    <cellStyle name="Normal 2 60 4 2 6" xfId="6639" xr:uid="{00000000-0005-0000-0000-0000CB250000}"/>
    <cellStyle name="Normal 2 60 4 2 6 2" xfId="24390" xr:uid="{00000000-0005-0000-0000-0000CC250000}"/>
    <cellStyle name="Normal 2 60 4 2 7" xfId="6640" xr:uid="{00000000-0005-0000-0000-0000CD250000}"/>
    <cellStyle name="Normal 2 60 4 2 7 2" xfId="24391" xr:uid="{00000000-0005-0000-0000-0000CE250000}"/>
    <cellStyle name="Normal 2 60 4 2 8" xfId="6641" xr:uid="{00000000-0005-0000-0000-0000CF250000}"/>
    <cellStyle name="Normal 2 60 4 2 8 2" xfId="24392" xr:uid="{00000000-0005-0000-0000-0000D0250000}"/>
    <cellStyle name="Normal 2 60 4 2 9" xfId="6642" xr:uid="{00000000-0005-0000-0000-0000D1250000}"/>
    <cellStyle name="Normal 2 60 4 2 9 2" xfId="24393" xr:uid="{00000000-0005-0000-0000-0000D2250000}"/>
    <cellStyle name="Normal 2 60 4 3" xfId="6643" xr:uid="{00000000-0005-0000-0000-0000D3250000}"/>
    <cellStyle name="Normal 2 60 4 3 2" xfId="24394" xr:uid="{00000000-0005-0000-0000-0000D4250000}"/>
    <cellStyle name="Normal 2 60 4 4" xfId="6644" xr:uid="{00000000-0005-0000-0000-0000D5250000}"/>
    <cellStyle name="Normal 2 60 4 4 2" xfId="24395" xr:uid="{00000000-0005-0000-0000-0000D6250000}"/>
    <cellStyle name="Normal 2 60 4 5" xfId="6645" xr:uid="{00000000-0005-0000-0000-0000D7250000}"/>
    <cellStyle name="Normal 2 60 4 5 2" xfId="24396" xr:uid="{00000000-0005-0000-0000-0000D8250000}"/>
    <cellStyle name="Normal 2 60 4 6" xfId="6646" xr:uid="{00000000-0005-0000-0000-0000D9250000}"/>
    <cellStyle name="Normal 2 60 4 6 2" xfId="24397" xr:uid="{00000000-0005-0000-0000-0000DA250000}"/>
    <cellStyle name="Normal 2 60 4 7" xfId="6647" xr:uid="{00000000-0005-0000-0000-0000DB250000}"/>
    <cellStyle name="Normal 2 60 4 7 2" xfId="24398" xr:uid="{00000000-0005-0000-0000-0000DC250000}"/>
    <cellStyle name="Normal 2 60 4 8" xfId="6648" xr:uid="{00000000-0005-0000-0000-0000DD250000}"/>
    <cellStyle name="Normal 2 60 4 8 2" xfId="24399" xr:uid="{00000000-0005-0000-0000-0000DE250000}"/>
    <cellStyle name="Normal 2 60 4 9" xfId="6649" xr:uid="{00000000-0005-0000-0000-0000DF250000}"/>
    <cellStyle name="Normal 2 60 4 9 2" xfId="24400" xr:uid="{00000000-0005-0000-0000-0000E0250000}"/>
    <cellStyle name="Normal 2 60 5" xfId="6650" xr:uid="{00000000-0005-0000-0000-0000E1250000}"/>
    <cellStyle name="Normal 2 60 5 10" xfId="6651" xr:uid="{00000000-0005-0000-0000-0000E2250000}"/>
    <cellStyle name="Normal 2 60 5 10 2" xfId="24402" xr:uid="{00000000-0005-0000-0000-0000E3250000}"/>
    <cellStyle name="Normal 2 60 5 11" xfId="6652" xr:uid="{00000000-0005-0000-0000-0000E4250000}"/>
    <cellStyle name="Normal 2 60 5 11 2" xfId="24403" xr:uid="{00000000-0005-0000-0000-0000E5250000}"/>
    <cellStyle name="Normal 2 60 5 12" xfId="6653" xr:uid="{00000000-0005-0000-0000-0000E6250000}"/>
    <cellStyle name="Normal 2 60 5 12 2" xfId="24404" xr:uid="{00000000-0005-0000-0000-0000E7250000}"/>
    <cellStyle name="Normal 2 60 5 13" xfId="6654" xr:uid="{00000000-0005-0000-0000-0000E8250000}"/>
    <cellStyle name="Normal 2 60 5 13 2" xfId="24405" xr:uid="{00000000-0005-0000-0000-0000E9250000}"/>
    <cellStyle name="Normal 2 60 5 14" xfId="6655" xr:uid="{00000000-0005-0000-0000-0000EA250000}"/>
    <cellStyle name="Normal 2 60 5 14 2" xfId="24406" xr:uid="{00000000-0005-0000-0000-0000EB250000}"/>
    <cellStyle name="Normal 2 60 5 15" xfId="24401" xr:uid="{00000000-0005-0000-0000-0000EC250000}"/>
    <cellStyle name="Normal 2 60 5 2" xfId="6656" xr:uid="{00000000-0005-0000-0000-0000ED250000}"/>
    <cellStyle name="Normal 2 60 5 2 2" xfId="24407" xr:uid="{00000000-0005-0000-0000-0000EE250000}"/>
    <cellStyle name="Normal 2 60 5 3" xfId="6657" xr:uid="{00000000-0005-0000-0000-0000EF250000}"/>
    <cellStyle name="Normal 2 60 5 3 2" xfId="24408" xr:uid="{00000000-0005-0000-0000-0000F0250000}"/>
    <cellStyle name="Normal 2 60 5 4" xfId="6658" xr:uid="{00000000-0005-0000-0000-0000F1250000}"/>
    <cellStyle name="Normal 2 60 5 4 2" xfId="24409" xr:uid="{00000000-0005-0000-0000-0000F2250000}"/>
    <cellStyle name="Normal 2 60 5 5" xfId="6659" xr:uid="{00000000-0005-0000-0000-0000F3250000}"/>
    <cellStyle name="Normal 2 60 5 5 2" xfId="24410" xr:uid="{00000000-0005-0000-0000-0000F4250000}"/>
    <cellStyle name="Normal 2 60 5 6" xfId="6660" xr:uid="{00000000-0005-0000-0000-0000F5250000}"/>
    <cellStyle name="Normal 2 60 5 6 2" xfId="24411" xr:uid="{00000000-0005-0000-0000-0000F6250000}"/>
    <cellStyle name="Normal 2 60 5 7" xfId="6661" xr:uid="{00000000-0005-0000-0000-0000F7250000}"/>
    <cellStyle name="Normal 2 60 5 7 2" xfId="24412" xr:uid="{00000000-0005-0000-0000-0000F8250000}"/>
    <cellStyle name="Normal 2 60 5 8" xfId="6662" xr:uid="{00000000-0005-0000-0000-0000F9250000}"/>
    <cellStyle name="Normal 2 60 5 8 2" xfId="24413" xr:uid="{00000000-0005-0000-0000-0000FA250000}"/>
    <cellStyle name="Normal 2 60 5 9" xfId="6663" xr:uid="{00000000-0005-0000-0000-0000FB250000}"/>
    <cellStyle name="Normal 2 60 5 9 2" xfId="24414" xr:uid="{00000000-0005-0000-0000-0000FC250000}"/>
    <cellStyle name="Normal 2 60 6" xfId="6664" xr:uid="{00000000-0005-0000-0000-0000FD250000}"/>
    <cellStyle name="Normal 2 60 6 10" xfId="6665" xr:uid="{00000000-0005-0000-0000-0000FE250000}"/>
    <cellStyle name="Normal 2 60 6 10 2" xfId="24416" xr:uid="{00000000-0005-0000-0000-0000FF250000}"/>
    <cellStyle name="Normal 2 60 6 11" xfId="6666" xr:uid="{00000000-0005-0000-0000-000000260000}"/>
    <cellStyle name="Normal 2 60 6 11 2" xfId="24417" xr:uid="{00000000-0005-0000-0000-000001260000}"/>
    <cellStyle name="Normal 2 60 6 12" xfId="6667" xr:uid="{00000000-0005-0000-0000-000002260000}"/>
    <cellStyle name="Normal 2 60 6 12 2" xfId="24418" xr:uid="{00000000-0005-0000-0000-000003260000}"/>
    <cellStyle name="Normal 2 60 6 13" xfId="6668" xr:uid="{00000000-0005-0000-0000-000004260000}"/>
    <cellStyle name="Normal 2 60 6 13 2" xfId="24419" xr:uid="{00000000-0005-0000-0000-000005260000}"/>
    <cellStyle name="Normal 2 60 6 14" xfId="6669" xr:uid="{00000000-0005-0000-0000-000006260000}"/>
    <cellStyle name="Normal 2 60 6 14 2" xfId="24420" xr:uid="{00000000-0005-0000-0000-000007260000}"/>
    <cellStyle name="Normal 2 60 6 15" xfId="24415" xr:uid="{00000000-0005-0000-0000-000008260000}"/>
    <cellStyle name="Normal 2 60 6 2" xfId="6670" xr:uid="{00000000-0005-0000-0000-000009260000}"/>
    <cellStyle name="Normal 2 60 6 2 2" xfId="24421" xr:uid="{00000000-0005-0000-0000-00000A260000}"/>
    <cellStyle name="Normal 2 60 6 3" xfId="6671" xr:uid="{00000000-0005-0000-0000-00000B260000}"/>
    <cellStyle name="Normal 2 60 6 3 2" xfId="24422" xr:uid="{00000000-0005-0000-0000-00000C260000}"/>
    <cellStyle name="Normal 2 60 6 4" xfId="6672" xr:uid="{00000000-0005-0000-0000-00000D260000}"/>
    <cellStyle name="Normal 2 60 6 4 2" xfId="24423" xr:uid="{00000000-0005-0000-0000-00000E260000}"/>
    <cellStyle name="Normal 2 60 6 5" xfId="6673" xr:uid="{00000000-0005-0000-0000-00000F260000}"/>
    <cellStyle name="Normal 2 60 6 5 2" xfId="24424" xr:uid="{00000000-0005-0000-0000-000010260000}"/>
    <cellStyle name="Normal 2 60 6 6" xfId="6674" xr:uid="{00000000-0005-0000-0000-000011260000}"/>
    <cellStyle name="Normal 2 60 6 6 2" xfId="24425" xr:uid="{00000000-0005-0000-0000-000012260000}"/>
    <cellStyle name="Normal 2 60 6 7" xfId="6675" xr:uid="{00000000-0005-0000-0000-000013260000}"/>
    <cellStyle name="Normal 2 60 6 7 2" xfId="24426" xr:uid="{00000000-0005-0000-0000-000014260000}"/>
    <cellStyle name="Normal 2 60 6 8" xfId="6676" xr:uid="{00000000-0005-0000-0000-000015260000}"/>
    <cellStyle name="Normal 2 60 6 8 2" xfId="24427" xr:uid="{00000000-0005-0000-0000-000016260000}"/>
    <cellStyle name="Normal 2 60 6 9" xfId="6677" xr:uid="{00000000-0005-0000-0000-000017260000}"/>
    <cellStyle name="Normal 2 60 6 9 2" xfId="24428" xr:uid="{00000000-0005-0000-0000-000018260000}"/>
    <cellStyle name="Normal 2 60 7" xfId="6678" xr:uid="{00000000-0005-0000-0000-000019260000}"/>
    <cellStyle name="Normal 2 60 7 10" xfId="6679" xr:uid="{00000000-0005-0000-0000-00001A260000}"/>
    <cellStyle name="Normal 2 60 7 10 2" xfId="24430" xr:uid="{00000000-0005-0000-0000-00001B260000}"/>
    <cellStyle name="Normal 2 60 7 11" xfId="6680" xr:uid="{00000000-0005-0000-0000-00001C260000}"/>
    <cellStyle name="Normal 2 60 7 11 2" xfId="24431" xr:uid="{00000000-0005-0000-0000-00001D260000}"/>
    <cellStyle name="Normal 2 60 7 12" xfId="6681" xr:uid="{00000000-0005-0000-0000-00001E260000}"/>
    <cellStyle name="Normal 2 60 7 12 2" xfId="24432" xr:uid="{00000000-0005-0000-0000-00001F260000}"/>
    <cellStyle name="Normal 2 60 7 13" xfId="6682" xr:uid="{00000000-0005-0000-0000-000020260000}"/>
    <cellStyle name="Normal 2 60 7 13 2" xfId="24433" xr:uid="{00000000-0005-0000-0000-000021260000}"/>
    <cellStyle name="Normal 2 60 7 14" xfId="6683" xr:uid="{00000000-0005-0000-0000-000022260000}"/>
    <cellStyle name="Normal 2 60 7 14 2" xfId="24434" xr:uid="{00000000-0005-0000-0000-000023260000}"/>
    <cellStyle name="Normal 2 60 7 15" xfId="24429" xr:uid="{00000000-0005-0000-0000-000024260000}"/>
    <cellStyle name="Normal 2 60 7 2" xfId="6684" xr:uid="{00000000-0005-0000-0000-000025260000}"/>
    <cellStyle name="Normal 2 60 7 2 2" xfId="24435" xr:uid="{00000000-0005-0000-0000-000026260000}"/>
    <cellStyle name="Normal 2 60 7 3" xfId="6685" xr:uid="{00000000-0005-0000-0000-000027260000}"/>
    <cellStyle name="Normal 2 60 7 3 2" xfId="24436" xr:uid="{00000000-0005-0000-0000-000028260000}"/>
    <cellStyle name="Normal 2 60 7 4" xfId="6686" xr:uid="{00000000-0005-0000-0000-000029260000}"/>
    <cellStyle name="Normal 2 60 7 4 2" xfId="24437" xr:uid="{00000000-0005-0000-0000-00002A260000}"/>
    <cellStyle name="Normal 2 60 7 5" xfId="6687" xr:uid="{00000000-0005-0000-0000-00002B260000}"/>
    <cellStyle name="Normal 2 60 7 5 2" xfId="24438" xr:uid="{00000000-0005-0000-0000-00002C260000}"/>
    <cellStyle name="Normal 2 60 7 6" xfId="6688" xr:uid="{00000000-0005-0000-0000-00002D260000}"/>
    <cellStyle name="Normal 2 60 7 6 2" xfId="24439" xr:uid="{00000000-0005-0000-0000-00002E260000}"/>
    <cellStyle name="Normal 2 60 7 7" xfId="6689" xr:uid="{00000000-0005-0000-0000-00002F260000}"/>
    <cellStyle name="Normal 2 60 7 7 2" xfId="24440" xr:uid="{00000000-0005-0000-0000-000030260000}"/>
    <cellStyle name="Normal 2 60 7 8" xfId="6690" xr:uid="{00000000-0005-0000-0000-000031260000}"/>
    <cellStyle name="Normal 2 60 7 8 2" xfId="24441" xr:uid="{00000000-0005-0000-0000-000032260000}"/>
    <cellStyle name="Normal 2 60 7 9" xfId="6691" xr:uid="{00000000-0005-0000-0000-000033260000}"/>
    <cellStyle name="Normal 2 60 7 9 2" xfId="24442" xr:uid="{00000000-0005-0000-0000-000034260000}"/>
    <cellStyle name="Normal 2 60 8" xfId="6692" xr:uid="{00000000-0005-0000-0000-000035260000}"/>
    <cellStyle name="Normal 2 60 8 10" xfId="6693" xr:uid="{00000000-0005-0000-0000-000036260000}"/>
    <cellStyle name="Normal 2 60 8 10 2" xfId="24444" xr:uid="{00000000-0005-0000-0000-000037260000}"/>
    <cellStyle name="Normal 2 60 8 11" xfId="6694" xr:uid="{00000000-0005-0000-0000-000038260000}"/>
    <cellStyle name="Normal 2 60 8 11 2" xfId="24445" xr:uid="{00000000-0005-0000-0000-000039260000}"/>
    <cellStyle name="Normal 2 60 8 12" xfId="6695" xr:uid="{00000000-0005-0000-0000-00003A260000}"/>
    <cellStyle name="Normal 2 60 8 12 2" xfId="24446" xr:uid="{00000000-0005-0000-0000-00003B260000}"/>
    <cellStyle name="Normal 2 60 8 13" xfId="6696" xr:uid="{00000000-0005-0000-0000-00003C260000}"/>
    <cellStyle name="Normal 2 60 8 13 2" xfId="24447" xr:uid="{00000000-0005-0000-0000-00003D260000}"/>
    <cellStyle name="Normal 2 60 8 14" xfId="6697" xr:uid="{00000000-0005-0000-0000-00003E260000}"/>
    <cellStyle name="Normal 2 60 8 14 2" xfId="24448" xr:uid="{00000000-0005-0000-0000-00003F260000}"/>
    <cellStyle name="Normal 2 60 8 15" xfId="24443" xr:uid="{00000000-0005-0000-0000-000040260000}"/>
    <cellStyle name="Normal 2 60 8 2" xfId="6698" xr:uid="{00000000-0005-0000-0000-000041260000}"/>
    <cellStyle name="Normal 2 60 8 2 2" xfId="24449" xr:uid="{00000000-0005-0000-0000-000042260000}"/>
    <cellStyle name="Normal 2 60 8 3" xfId="6699" xr:uid="{00000000-0005-0000-0000-000043260000}"/>
    <cellStyle name="Normal 2 60 8 3 2" xfId="24450" xr:uid="{00000000-0005-0000-0000-000044260000}"/>
    <cellStyle name="Normal 2 60 8 4" xfId="6700" xr:uid="{00000000-0005-0000-0000-000045260000}"/>
    <cellStyle name="Normal 2 60 8 4 2" xfId="24451" xr:uid="{00000000-0005-0000-0000-000046260000}"/>
    <cellStyle name="Normal 2 60 8 5" xfId="6701" xr:uid="{00000000-0005-0000-0000-000047260000}"/>
    <cellStyle name="Normal 2 60 8 5 2" xfId="24452" xr:uid="{00000000-0005-0000-0000-000048260000}"/>
    <cellStyle name="Normal 2 60 8 6" xfId="6702" xr:uid="{00000000-0005-0000-0000-000049260000}"/>
    <cellStyle name="Normal 2 60 8 6 2" xfId="24453" xr:uid="{00000000-0005-0000-0000-00004A260000}"/>
    <cellStyle name="Normal 2 60 8 7" xfId="6703" xr:uid="{00000000-0005-0000-0000-00004B260000}"/>
    <cellStyle name="Normal 2 60 8 7 2" xfId="24454" xr:uid="{00000000-0005-0000-0000-00004C260000}"/>
    <cellStyle name="Normal 2 60 8 8" xfId="6704" xr:uid="{00000000-0005-0000-0000-00004D260000}"/>
    <cellStyle name="Normal 2 60 8 8 2" xfId="24455" xr:uid="{00000000-0005-0000-0000-00004E260000}"/>
    <cellStyle name="Normal 2 60 8 9" xfId="6705" xr:uid="{00000000-0005-0000-0000-00004F260000}"/>
    <cellStyle name="Normal 2 60 8 9 2" xfId="24456" xr:uid="{00000000-0005-0000-0000-000050260000}"/>
    <cellStyle name="Normal 2 60 9" xfId="6706" xr:uid="{00000000-0005-0000-0000-000051260000}"/>
    <cellStyle name="Normal 2 60 9 10" xfId="6707" xr:uid="{00000000-0005-0000-0000-000052260000}"/>
    <cellStyle name="Normal 2 60 9 10 2" xfId="24458" xr:uid="{00000000-0005-0000-0000-000053260000}"/>
    <cellStyle name="Normal 2 60 9 11" xfId="6708" xr:uid="{00000000-0005-0000-0000-000054260000}"/>
    <cellStyle name="Normal 2 60 9 11 2" xfId="24459" xr:uid="{00000000-0005-0000-0000-000055260000}"/>
    <cellStyle name="Normal 2 60 9 12" xfId="6709" xr:uid="{00000000-0005-0000-0000-000056260000}"/>
    <cellStyle name="Normal 2 60 9 12 2" xfId="24460" xr:uid="{00000000-0005-0000-0000-000057260000}"/>
    <cellStyle name="Normal 2 60 9 13" xfId="6710" xr:uid="{00000000-0005-0000-0000-000058260000}"/>
    <cellStyle name="Normal 2 60 9 13 2" xfId="24461" xr:uid="{00000000-0005-0000-0000-000059260000}"/>
    <cellStyle name="Normal 2 60 9 14" xfId="6711" xr:uid="{00000000-0005-0000-0000-00005A260000}"/>
    <cellStyle name="Normal 2 60 9 14 2" xfId="24462" xr:uid="{00000000-0005-0000-0000-00005B260000}"/>
    <cellStyle name="Normal 2 60 9 15" xfId="24457" xr:uid="{00000000-0005-0000-0000-00005C260000}"/>
    <cellStyle name="Normal 2 60 9 2" xfId="6712" xr:uid="{00000000-0005-0000-0000-00005D260000}"/>
    <cellStyle name="Normal 2 60 9 2 2" xfId="24463" xr:uid="{00000000-0005-0000-0000-00005E260000}"/>
    <cellStyle name="Normal 2 60 9 3" xfId="6713" xr:uid="{00000000-0005-0000-0000-00005F260000}"/>
    <cellStyle name="Normal 2 60 9 3 2" xfId="24464" xr:uid="{00000000-0005-0000-0000-000060260000}"/>
    <cellStyle name="Normal 2 60 9 4" xfId="6714" xr:uid="{00000000-0005-0000-0000-000061260000}"/>
    <cellStyle name="Normal 2 60 9 4 2" xfId="24465" xr:uid="{00000000-0005-0000-0000-000062260000}"/>
    <cellStyle name="Normal 2 60 9 5" xfId="6715" xr:uid="{00000000-0005-0000-0000-000063260000}"/>
    <cellStyle name="Normal 2 60 9 5 2" xfId="24466" xr:uid="{00000000-0005-0000-0000-000064260000}"/>
    <cellStyle name="Normal 2 60 9 6" xfId="6716" xr:uid="{00000000-0005-0000-0000-000065260000}"/>
    <cellStyle name="Normal 2 60 9 6 2" xfId="24467" xr:uid="{00000000-0005-0000-0000-000066260000}"/>
    <cellStyle name="Normal 2 60 9 7" xfId="6717" xr:uid="{00000000-0005-0000-0000-000067260000}"/>
    <cellStyle name="Normal 2 60 9 7 2" xfId="24468" xr:uid="{00000000-0005-0000-0000-000068260000}"/>
    <cellStyle name="Normal 2 60 9 8" xfId="6718" xr:uid="{00000000-0005-0000-0000-000069260000}"/>
    <cellStyle name="Normal 2 60 9 8 2" xfId="24469" xr:uid="{00000000-0005-0000-0000-00006A260000}"/>
    <cellStyle name="Normal 2 60 9 9" xfId="6719" xr:uid="{00000000-0005-0000-0000-00006B260000}"/>
    <cellStyle name="Normal 2 60 9 9 2" xfId="24470" xr:uid="{00000000-0005-0000-0000-00006C260000}"/>
    <cellStyle name="Normal 2 61" xfId="6720" xr:uid="{00000000-0005-0000-0000-00006D260000}"/>
    <cellStyle name="Normal 2 61 10" xfId="6721" xr:uid="{00000000-0005-0000-0000-00006E260000}"/>
    <cellStyle name="Normal 2 61 10 10" xfId="6722" xr:uid="{00000000-0005-0000-0000-00006F260000}"/>
    <cellStyle name="Normal 2 61 10 10 2" xfId="24473" xr:uid="{00000000-0005-0000-0000-000070260000}"/>
    <cellStyle name="Normal 2 61 10 11" xfId="6723" xr:uid="{00000000-0005-0000-0000-000071260000}"/>
    <cellStyle name="Normal 2 61 10 11 2" xfId="24474" xr:uid="{00000000-0005-0000-0000-000072260000}"/>
    <cellStyle name="Normal 2 61 10 12" xfId="6724" xr:uid="{00000000-0005-0000-0000-000073260000}"/>
    <cellStyle name="Normal 2 61 10 12 2" xfId="24475" xr:uid="{00000000-0005-0000-0000-000074260000}"/>
    <cellStyle name="Normal 2 61 10 13" xfId="6725" xr:uid="{00000000-0005-0000-0000-000075260000}"/>
    <cellStyle name="Normal 2 61 10 13 2" xfId="24476" xr:uid="{00000000-0005-0000-0000-000076260000}"/>
    <cellStyle name="Normal 2 61 10 14" xfId="6726" xr:uid="{00000000-0005-0000-0000-000077260000}"/>
    <cellStyle name="Normal 2 61 10 14 2" xfId="24477" xr:uid="{00000000-0005-0000-0000-000078260000}"/>
    <cellStyle name="Normal 2 61 10 15" xfId="24472" xr:uid="{00000000-0005-0000-0000-000079260000}"/>
    <cellStyle name="Normal 2 61 10 2" xfId="6727" xr:uid="{00000000-0005-0000-0000-00007A260000}"/>
    <cellStyle name="Normal 2 61 10 2 2" xfId="24478" xr:uid="{00000000-0005-0000-0000-00007B260000}"/>
    <cellStyle name="Normal 2 61 10 3" xfId="6728" xr:uid="{00000000-0005-0000-0000-00007C260000}"/>
    <cellStyle name="Normal 2 61 10 3 2" xfId="24479" xr:uid="{00000000-0005-0000-0000-00007D260000}"/>
    <cellStyle name="Normal 2 61 10 4" xfId="6729" xr:uid="{00000000-0005-0000-0000-00007E260000}"/>
    <cellStyle name="Normal 2 61 10 4 2" xfId="24480" xr:uid="{00000000-0005-0000-0000-00007F260000}"/>
    <cellStyle name="Normal 2 61 10 5" xfId="6730" xr:uid="{00000000-0005-0000-0000-000080260000}"/>
    <cellStyle name="Normal 2 61 10 5 2" xfId="24481" xr:uid="{00000000-0005-0000-0000-000081260000}"/>
    <cellStyle name="Normal 2 61 10 6" xfId="6731" xr:uid="{00000000-0005-0000-0000-000082260000}"/>
    <cellStyle name="Normal 2 61 10 6 2" xfId="24482" xr:uid="{00000000-0005-0000-0000-000083260000}"/>
    <cellStyle name="Normal 2 61 10 7" xfId="6732" xr:uid="{00000000-0005-0000-0000-000084260000}"/>
    <cellStyle name="Normal 2 61 10 7 2" xfId="24483" xr:uid="{00000000-0005-0000-0000-000085260000}"/>
    <cellStyle name="Normal 2 61 10 8" xfId="6733" xr:uid="{00000000-0005-0000-0000-000086260000}"/>
    <cellStyle name="Normal 2 61 10 8 2" xfId="24484" xr:uid="{00000000-0005-0000-0000-000087260000}"/>
    <cellStyle name="Normal 2 61 10 9" xfId="6734" xr:uid="{00000000-0005-0000-0000-000088260000}"/>
    <cellStyle name="Normal 2 61 10 9 2" xfId="24485" xr:uid="{00000000-0005-0000-0000-000089260000}"/>
    <cellStyle name="Normal 2 61 11" xfId="6735" xr:uid="{00000000-0005-0000-0000-00008A260000}"/>
    <cellStyle name="Normal 2 61 11 2" xfId="24486" xr:uid="{00000000-0005-0000-0000-00008B260000}"/>
    <cellStyle name="Normal 2 61 12" xfId="6736" xr:uid="{00000000-0005-0000-0000-00008C260000}"/>
    <cellStyle name="Normal 2 61 12 2" xfId="24487" xr:uid="{00000000-0005-0000-0000-00008D260000}"/>
    <cellStyle name="Normal 2 61 13" xfId="6737" xr:uid="{00000000-0005-0000-0000-00008E260000}"/>
    <cellStyle name="Normal 2 61 13 2" xfId="24488" xr:uid="{00000000-0005-0000-0000-00008F260000}"/>
    <cellStyle name="Normal 2 61 14" xfId="6738" xr:uid="{00000000-0005-0000-0000-000090260000}"/>
    <cellStyle name="Normal 2 61 14 2" xfId="24489" xr:uid="{00000000-0005-0000-0000-000091260000}"/>
    <cellStyle name="Normal 2 61 15" xfId="6739" xr:uid="{00000000-0005-0000-0000-000092260000}"/>
    <cellStyle name="Normal 2 61 15 2" xfId="24490" xr:uid="{00000000-0005-0000-0000-000093260000}"/>
    <cellStyle name="Normal 2 61 16" xfId="6740" xr:uid="{00000000-0005-0000-0000-000094260000}"/>
    <cellStyle name="Normal 2 61 16 2" xfId="24491" xr:uid="{00000000-0005-0000-0000-000095260000}"/>
    <cellStyle name="Normal 2 61 17" xfId="6741" xr:uid="{00000000-0005-0000-0000-000096260000}"/>
    <cellStyle name="Normal 2 61 17 2" xfId="24492" xr:uid="{00000000-0005-0000-0000-000097260000}"/>
    <cellStyle name="Normal 2 61 18" xfId="6742" xr:uid="{00000000-0005-0000-0000-000098260000}"/>
    <cellStyle name="Normal 2 61 18 2" xfId="24493" xr:uid="{00000000-0005-0000-0000-000099260000}"/>
    <cellStyle name="Normal 2 61 19" xfId="6743" xr:uid="{00000000-0005-0000-0000-00009A260000}"/>
    <cellStyle name="Normal 2 61 19 2" xfId="24494" xr:uid="{00000000-0005-0000-0000-00009B260000}"/>
    <cellStyle name="Normal 2 61 2" xfId="6744" xr:uid="{00000000-0005-0000-0000-00009C260000}"/>
    <cellStyle name="Normal 2 61 2 10" xfId="6745" xr:uid="{00000000-0005-0000-0000-00009D260000}"/>
    <cellStyle name="Normal 2 61 2 10 2" xfId="24496" xr:uid="{00000000-0005-0000-0000-00009E260000}"/>
    <cellStyle name="Normal 2 61 2 11" xfId="6746" xr:uid="{00000000-0005-0000-0000-00009F260000}"/>
    <cellStyle name="Normal 2 61 2 11 2" xfId="24497" xr:uid="{00000000-0005-0000-0000-0000A0260000}"/>
    <cellStyle name="Normal 2 61 2 12" xfId="6747" xr:uid="{00000000-0005-0000-0000-0000A1260000}"/>
    <cellStyle name="Normal 2 61 2 12 2" xfId="24498" xr:uid="{00000000-0005-0000-0000-0000A2260000}"/>
    <cellStyle name="Normal 2 61 2 13" xfId="6748" xr:uid="{00000000-0005-0000-0000-0000A3260000}"/>
    <cellStyle name="Normal 2 61 2 13 2" xfId="24499" xr:uid="{00000000-0005-0000-0000-0000A4260000}"/>
    <cellStyle name="Normal 2 61 2 14" xfId="6749" xr:uid="{00000000-0005-0000-0000-0000A5260000}"/>
    <cellStyle name="Normal 2 61 2 14 2" xfId="24500" xr:uid="{00000000-0005-0000-0000-0000A6260000}"/>
    <cellStyle name="Normal 2 61 2 15" xfId="6750" xr:uid="{00000000-0005-0000-0000-0000A7260000}"/>
    <cellStyle name="Normal 2 61 2 15 2" xfId="24501" xr:uid="{00000000-0005-0000-0000-0000A8260000}"/>
    <cellStyle name="Normal 2 61 2 16" xfId="24495" xr:uid="{00000000-0005-0000-0000-0000A9260000}"/>
    <cellStyle name="Normal 2 61 2 2" xfId="6751" xr:uid="{00000000-0005-0000-0000-0000AA260000}"/>
    <cellStyle name="Normal 2 61 2 2 10" xfId="6752" xr:uid="{00000000-0005-0000-0000-0000AB260000}"/>
    <cellStyle name="Normal 2 61 2 2 10 2" xfId="24503" xr:uid="{00000000-0005-0000-0000-0000AC260000}"/>
    <cellStyle name="Normal 2 61 2 2 11" xfId="6753" xr:uid="{00000000-0005-0000-0000-0000AD260000}"/>
    <cellStyle name="Normal 2 61 2 2 11 2" xfId="24504" xr:uid="{00000000-0005-0000-0000-0000AE260000}"/>
    <cellStyle name="Normal 2 61 2 2 12" xfId="6754" xr:uid="{00000000-0005-0000-0000-0000AF260000}"/>
    <cellStyle name="Normal 2 61 2 2 12 2" xfId="24505" xr:uid="{00000000-0005-0000-0000-0000B0260000}"/>
    <cellStyle name="Normal 2 61 2 2 13" xfId="6755" xr:uid="{00000000-0005-0000-0000-0000B1260000}"/>
    <cellStyle name="Normal 2 61 2 2 13 2" xfId="24506" xr:uid="{00000000-0005-0000-0000-0000B2260000}"/>
    <cellStyle name="Normal 2 61 2 2 14" xfId="6756" xr:uid="{00000000-0005-0000-0000-0000B3260000}"/>
    <cellStyle name="Normal 2 61 2 2 14 2" xfId="24507" xr:uid="{00000000-0005-0000-0000-0000B4260000}"/>
    <cellStyle name="Normal 2 61 2 2 15" xfId="24502" xr:uid="{00000000-0005-0000-0000-0000B5260000}"/>
    <cellStyle name="Normal 2 61 2 2 2" xfId="6757" xr:uid="{00000000-0005-0000-0000-0000B6260000}"/>
    <cellStyle name="Normal 2 61 2 2 2 2" xfId="24508" xr:uid="{00000000-0005-0000-0000-0000B7260000}"/>
    <cellStyle name="Normal 2 61 2 2 3" xfId="6758" xr:uid="{00000000-0005-0000-0000-0000B8260000}"/>
    <cellStyle name="Normal 2 61 2 2 3 2" xfId="24509" xr:uid="{00000000-0005-0000-0000-0000B9260000}"/>
    <cellStyle name="Normal 2 61 2 2 4" xfId="6759" xr:uid="{00000000-0005-0000-0000-0000BA260000}"/>
    <cellStyle name="Normal 2 61 2 2 4 2" xfId="24510" xr:uid="{00000000-0005-0000-0000-0000BB260000}"/>
    <cellStyle name="Normal 2 61 2 2 5" xfId="6760" xr:uid="{00000000-0005-0000-0000-0000BC260000}"/>
    <cellStyle name="Normal 2 61 2 2 5 2" xfId="24511" xr:uid="{00000000-0005-0000-0000-0000BD260000}"/>
    <cellStyle name="Normal 2 61 2 2 6" xfId="6761" xr:uid="{00000000-0005-0000-0000-0000BE260000}"/>
    <cellStyle name="Normal 2 61 2 2 6 2" xfId="24512" xr:uid="{00000000-0005-0000-0000-0000BF260000}"/>
    <cellStyle name="Normal 2 61 2 2 7" xfId="6762" xr:uid="{00000000-0005-0000-0000-0000C0260000}"/>
    <cellStyle name="Normal 2 61 2 2 7 2" xfId="24513" xr:uid="{00000000-0005-0000-0000-0000C1260000}"/>
    <cellStyle name="Normal 2 61 2 2 8" xfId="6763" xr:uid="{00000000-0005-0000-0000-0000C2260000}"/>
    <cellStyle name="Normal 2 61 2 2 8 2" xfId="24514" xr:uid="{00000000-0005-0000-0000-0000C3260000}"/>
    <cellStyle name="Normal 2 61 2 2 9" xfId="6764" xr:uid="{00000000-0005-0000-0000-0000C4260000}"/>
    <cellStyle name="Normal 2 61 2 2 9 2" xfId="24515" xr:uid="{00000000-0005-0000-0000-0000C5260000}"/>
    <cellStyle name="Normal 2 61 2 3" xfId="6765" xr:uid="{00000000-0005-0000-0000-0000C6260000}"/>
    <cellStyle name="Normal 2 61 2 3 2" xfId="24516" xr:uid="{00000000-0005-0000-0000-0000C7260000}"/>
    <cellStyle name="Normal 2 61 2 4" xfId="6766" xr:uid="{00000000-0005-0000-0000-0000C8260000}"/>
    <cellStyle name="Normal 2 61 2 4 2" xfId="24517" xr:uid="{00000000-0005-0000-0000-0000C9260000}"/>
    <cellStyle name="Normal 2 61 2 5" xfId="6767" xr:uid="{00000000-0005-0000-0000-0000CA260000}"/>
    <cellStyle name="Normal 2 61 2 5 2" xfId="24518" xr:uid="{00000000-0005-0000-0000-0000CB260000}"/>
    <cellStyle name="Normal 2 61 2 6" xfId="6768" xr:uid="{00000000-0005-0000-0000-0000CC260000}"/>
    <cellStyle name="Normal 2 61 2 6 2" xfId="24519" xr:uid="{00000000-0005-0000-0000-0000CD260000}"/>
    <cellStyle name="Normal 2 61 2 7" xfId="6769" xr:uid="{00000000-0005-0000-0000-0000CE260000}"/>
    <cellStyle name="Normal 2 61 2 7 2" xfId="24520" xr:uid="{00000000-0005-0000-0000-0000CF260000}"/>
    <cellStyle name="Normal 2 61 2 8" xfId="6770" xr:uid="{00000000-0005-0000-0000-0000D0260000}"/>
    <cellStyle name="Normal 2 61 2 8 2" xfId="24521" xr:uid="{00000000-0005-0000-0000-0000D1260000}"/>
    <cellStyle name="Normal 2 61 2 9" xfId="6771" xr:uid="{00000000-0005-0000-0000-0000D2260000}"/>
    <cellStyle name="Normal 2 61 2 9 2" xfId="24522" xr:uid="{00000000-0005-0000-0000-0000D3260000}"/>
    <cellStyle name="Normal 2 61 20" xfId="6772" xr:uid="{00000000-0005-0000-0000-0000D4260000}"/>
    <cellStyle name="Normal 2 61 20 2" xfId="24523" xr:uid="{00000000-0005-0000-0000-0000D5260000}"/>
    <cellStyle name="Normal 2 61 21" xfId="6773" xr:uid="{00000000-0005-0000-0000-0000D6260000}"/>
    <cellStyle name="Normal 2 61 21 2" xfId="24524" xr:uid="{00000000-0005-0000-0000-0000D7260000}"/>
    <cellStyle name="Normal 2 61 22" xfId="6774" xr:uid="{00000000-0005-0000-0000-0000D8260000}"/>
    <cellStyle name="Normal 2 61 22 2" xfId="24525" xr:uid="{00000000-0005-0000-0000-0000D9260000}"/>
    <cellStyle name="Normal 2 61 23" xfId="6775" xr:uid="{00000000-0005-0000-0000-0000DA260000}"/>
    <cellStyle name="Normal 2 61 23 2" xfId="24526" xr:uid="{00000000-0005-0000-0000-0000DB260000}"/>
    <cellStyle name="Normal 2 61 24" xfId="24471" xr:uid="{00000000-0005-0000-0000-0000DC260000}"/>
    <cellStyle name="Normal 2 61 3" xfId="6776" xr:uid="{00000000-0005-0000-0000-0000DD260000}"/>
    <cellStyle name="Normal 2 61 3 10" xfId="6777" xr:uid="{00000000-0005-0000-0000-0000DE260000}"/>
    <cellStyle name="Normal 2 61 3 10 2" xfId="24528" xr:uid="{00000000-0005-0000-0000-0000DF260000}"/>
    <cellStyle name="Normal 2 61 3 11" xfId="6778" xr:uid="{00000000-0005-0000-0000-0000E0260000}"/>
    <cellStyle name="Normal 2 61 3 11 2" xfId="24529" xr:uid="{00000000-0005-0000-0000-0000E1260000}"/>
    <cellStyle name="Normal 2 61 3 12" xfId="6779" xr:uid="{00000000-0005-0000-0000-0000E2260000}"/>
    <cellStyle name="Normal 2 61 3 12 2" xfId="24530" xr:uid="{00000000-0005-0000-0000-0000E3260000}"/>
    <cellStyle name="Normal 2 61 3 13" xfId="6780" xr:uid="{00000000-0005-0000-0000-0000E4260000}"/>
    <cellStyle name="Normal 2 61 3 13 2" xfId="24531" xr:uid="{00000000-0005-0000-0000-0000E5260000}"/>
    <cellStyle name="Normal 2 61 3 14" xfId="6781" xr:uid="{00000000-0005-0000-0000-0000E6260000}"/>
    <cellStyle name="Normal 2 61 3 14 2" xfId="24532" xr:uid="{00000000-0005-0000-0000-0000E7260000}"/>
    <cellStyle name="Normal 2 61 3 15" xfId="6782" xr:uid="{00000000-0005-0000-0000-0000E8260000}"/>
    <cellStyle name="Normal 2 61 3 15 2" xfId="24533" xr:uid="{00000000-0005-0000-0000-0000E9260000}"/>
    <cellStyle name="Normal 2 61 3 16" xfId="24527" xr:uid="{00000000-0005-0000-0000-0000EA260000}"/>
    <cellStyle name="Normal 2 61 3 2" xfId="6783" xr:uid="{00000000-0005-0000-0000-0000EB260000}"/>
    <cellStyle name="Normal 2 61 3 2 10" xfId="6784" xr:uid="{00000000-0005-0000-0000-0000EC260000}"/>
    <cellStyle name="Normal 2 61 3 2 10 2" xfId="24535" xr:uid="{00000000-0005-0000-0000-0000ED260000}"/>
    <cellStyle name="Normal 2 61 3 2 11" xfId="6785" xr:uid="{00000000-0005-0000-0000-0000EE260000}"/>
    <cellStyle name="Normal 2 61 3 2 11 2" xfId="24536" xr:uid="{00000000-0005-0000-0000-0000EF260000}"/>
    <cellStyle name="Normal 2 61 3 2 12" xfId="6786" xr:uid="{00000000-0005-0000-0000-0000F0260000}"/>
    <cellStyle name="Normal 2 61 3 2 12 2" xfId="24537" xr:uid="{00000000-0005-0000-0000-0000F1260000}"/>
    <cellStyle name="Normal 2 61 3 2 13" xfId="6787" xr:uid="{00000000-0005-0000-0000-0000F2260000}"/>
    <cellStyle name="Normal 2 61 3 2 13 2" xfId="24538" xr:uid="{00000000-0005-0000-0000-0000F3260000}"/>
    <cellStyle name="Normal 2 61 3 2 14" xfId="6788" xr:uid="{00000000-0005-0000-0000-0000F4260000}"/>
    <cellStyle name="Normal 2 61 3 2 14 2" xfId="24539" xr:uid="{00000000-0005-0000-0000-0000F5260000}"/>
    <cellStyle name="Normal 2 61 3 2 15" xfId="24534" xr:uid="{00000000-0005-0000-0000-0000F6260000}"/>
    <cellStyle name="Normal 2 61 3 2 2" xfId="6789" xr:uid="{00000000-0005-0000-0000-0000F7260000}"/>
    <cellStyle name="Normal 2 61 3 2 2 2" xfId="24540" xr:uid="{00000000-0005-0000-0000-0000F8260000}"/>
    <cellStyle name="Normal 2 61 3 2 3" xfId="6790" xr:uid="{00000000-0005-0000-0000-0000F9260000}"/>
    <cellStyle name="Normal 2 61 3 2 3 2" xfId="24541" xr:uid="{00000000-0005-0000-0000-0000FA260000}"/>
    <cellStyle name="Normal 2 61 3 2 4" xfId="6791" xr:uid="{00000000-0005-0000-0000-0000FB260000}"/>
    <cellStyle name="Normal 2 61 3 2 4 2" xfId="24542" xr:uid="{00000000-0005-0000-0000-0000FC260000}"/>
    <cellStyle name="Normal 2 61 3 2 5" xfId="6792" xr:uid="{00000000-0005-0000-0000-0000FD260000}"/>
    <cellStyle name="Normal 2 61 3 2 5 2" xfId="24543" xr:uid="{00000000-0005-0000-0000-0000FE260000}"/>
    <cellStyle name="Normal 2 61 3 2 6" xfId="6793" xr:uid="{00000000-0005-0000-0000-0000FF260000}"/>
    <cellStyle name="Normal 2 61 3 2 6 2" xfId="24544" xr:uid="{00000000-0005-0000-0000-000000270000}"/>
    <cellStyle name="Normal 2 61 3 2 7" xfId="6794" xr:uid="{00000000-0005-0000-0000-000001270000}"/>
    <cellStyle name="Normal 2 61 3 2 7 2" xfId="24545" xr:uid="{00000000-0005-0000-0000-000002270000}"/>
    <cellStyle name="Normal 2 61 3 2 8" xfId="6795" xr:uid="{00000000-0005-0000-0000-000003270000}"/>
    <cellStyle name="Normal 2 61 3 2 8 2" xfId="24546" xr:uid="{00000000-0005-0000-0000-000004270000}"/>
    <cellStyle name="Normal 2 61 3 2 9" xfId="6796" xr:uid="{00000000-0005-0000-0000-000005270000}"/>
    <cellStyle name="Normal 2 61 3 2 9 2" xfId="24547" xr:uid="{00000000-0005-0000-0000-000006270000}"/>
    <cellStyle name="Normal 2 61 3 3" xfId="6797" xr:uid="{00000000-0005-0000-0000-000007270000}"/>
    <cellStyle name="Normal 2 61 3 3 2" xfId="24548" xr:uid="{00000000-0005-0000-0000-000008270000}"/>
    <cellStyle name="Normal 2 61 3 4" xfId="6798" xr:uid="{00000000-0005-0000-0000-000009270000}"/>
    <cellStyle name="Normal 2 61 3 4 2" xfId="24549" xr:uid="{00000000-0005-0000-0000-00000A270000}"/>
    <cellStyle name="Normal 2 61 3 5" xfId="6799" xr:uid="{00000000-0005-0000-0000-00000B270000}"/>
    <cellStyle name="Normal 2 61 3 5 2" xfId="24550" xr:uid="{00000000-0005-0000-0000-00000C270000}"/>
    <cellStyle name="Normal 2 61 3 6" xfId="6800" xr:uid="{00000000-0005-0000-0000-00000D270000}"/>
    <cellStyle name="Normal 2 61 3 6 2" xfId="24551" xr:uid="{00000000-0005-0000-0000-00000E270000}"/>
    <cellStyle name="Normal 2 61 3 7" xfId="6801" xr:uid="{00000000-0005-0000-0000-00000F270000}"/>
    <cellStyle name="Normal 2 61 3 7 2" xfId="24552" xr:uid="{00000000-0005-0000-0000-000010270000}"/>
    <cellStyle name="Normal 2 61 3 8" xfId="6802" xr:uid="{00000000-0005-0000-0000-000011270000}"/>
    <cellStyle name="Normal 2 61 3 8 2" xfId="24553" xr:uid="{00000000-0005-0000-0000-000012270000}"/>
    <cellStyle name="Normal 2 61 3 9" xfId="6803" xr:uid="{00000000-0005-0000-0000-000013270000}"/>
    <cellStyle name="Normal 2 61 3 9 2" xfId="24554" xr:uid="{00000000-0005-0000-0000-000014270000}"/>
    <cellStyle name="Normal 2 61 4" xfId="6804" xr:uid="{00000000-0005-0000-0000-000015270000}"/>
    <cellStyle name="Normal 2 61 4 10" xfId="6805" xr:uid="{00000000-0005-0000-0000-000016270000}"/>
    <cellStyle name="Normal 2 61 4 10 2" xfId="24556" xr:uid="{00000000-0005-0000-0000-000017270000}"/>
    <cellStyle name="Normal 2 61 4 11" xfId="6806" xr:uid="{00000000-0005-0000-0000-000018270000}"/>
    <cellStyle name="Normal 2 61 4 11 2" xfId="24557" xr:uid="{00000000-0005-0000-0000-000019270000}"/>
    <cellStyle name="Normal 2 61 4 12" xfId="6807" xr:uid="{00000000-0005-0000-0000-00001A270000}"/>
    <cellStyle name="Normal 2 61 4 12 2" xfId="24558" xr:uid="{00000000-0005-0000-0000-00001B270000}"/>
    <cellStyle name="Normal 2 61 4 13" xfId="6808" xr:uid="{00000000-0005-0000-0000-00001C270000}"/>
    <cellStyle name="Normal 2 61 4 13 2" xfId="24559" xr:uid="{00000000-0005-0000-0000-00001D270000}"/>
    <cellStyle name="Normal 2 61 4 14" xfId="6809" xr:uid="{00000000-0005-0000-0000-00001E270000}"/>
    <cellStyle name="Normal 2 61 4 14 2" xfId="24560" xr:uid="{00000000-0005-0000-0000-00001F270000}"/>
    <cellStyle name="Normal 2 61 4 15" xfId="6810" xr:uid="{00000000-0005-0000-0000-000020270000}"/>
    <cellStyle name="Normal 2 61 4 15 2" xfId="24561" xr:uid="{00000000-0005-0000-0000-000021270000}"/>
    <cellStyle name="Normal 2 61 4 16" xfId="24555" xr:uid="{00000000-0005-0000-0000-000022270000}"/>
    <cellStyle name="Normal 2 61 4 2" xfId="6811" xr:uid="{00000000-0005-0000-0000-000023270000}"/>
    <cellStyle name="Normal 2 61 4 2 10" xfId="6812" xr:uid="{00000000-0005-0000-0000-000024270000}"/>
    <cellStyle name="Normal 2 61 4 2 10 2" xfId="24563" xr:uid="{00000000-0005-0000-0000-000025270000}"/>
    <cellStyle name="Normal 2 61 4 2 11" xfId="6813" xr:uid="{00000000-0005-0000-0000-000026270000}"/>
    <cellStyle name="Normal 2 61 4 2 11 2" xfId="24564" xr:uid="{00000000-0005-0000-0000-000027270000}"/>
    <cellStyle name="Normal 2 61 4 2 12" xfId="6814" xr:uid="{00000000-0005-0000-0000-000028270000}"/>
    <cellStyle name="Normal 2 61 4 2 12 2" xfId="24565" xr:uid="{00000000-0005-0000-0000-000029270000}"/>
    <cellStyle name="Normal 2 61 4 2 13" xfId="6815" xr:uid="{00000000-0005-0000-0000-00002A270000}"/>
    <cellStyle name="Normal 2 61 4 2 13 2" xfId="24566" xr:uid="{00000000-0005-0000-0000-00002B270000}"/>
    <cellStyle name="Normal 2 61 4 2 14" xfId="6816" xr:uid="{00000000-0005-0000-0000-00002C270000}"/>
    <cellStyle name="Normal 2 61 4 2 14 2" xfId="24567" xr:uid="{00000000-0005-0000-0000-00002D270000}"/>
    <cellStyle name="Normal 2 61 4 2 15" xfId="24562" xr:uid="{00000000-0005-0000-0000-00002E270000}"/>
    <cellStyle name="Normal 2 61 4 2 2" xfId="6817" xr:uid="{00000000-0005-0000-0000-00002F270000}"/>
    <cellStyle name="Normal 2 61 4 2 2 2" xfId="24568" xr:uid="{00000000-0005-0000-0000-000030270000}"/>
    <cellStyle name="Normal 2 61 4 2 3" xfId="6818" xr:uid="{00000000-0005-0000-0000-000031270000}"/>
    <cellStyle name="Normal 2 61 4 2 3 2" xfId="24569" xr:uid="{00000000-0005-0000-0000-000032270000}"/>
    <cellStyle name="Normal 2 61 4 2 4" xfId="6819" xr:uid="{00000000-0005-0000-0000-000033270000}"/>
    <cellStyle name="Normal 2 61 4 2 4 2" xfId="24570" xr:uid="{00000000-0005-0000-0000-000034270000}"/>
    <cellStyle name="Normal 2 61 4 2 5" xfId="6820" xr:uid="{00000000-0005-0000-0000-000035270000}"/>
    <cellStyle name="Normal 2 61 4 2 5 2" xfId="24571" xr:uid="{00000000-0005-0000-0000-000036270000}"/>
    <cellStyle name="Normal 2 61 4 2 6" xfId="6821" xr:uid="{00000000-0005-0000-0000-000037270000}"/>
    <cellStyle name="Normal 2 61 4 2 6 2" xfId="24572" xr:uid="{00000000-0005-0000-0000-000038270000}"/>
    <cellStyle name="Normal 2 61 4 2 7" xfId="6822" xr:uid="{00000000-0005-0000-0000-000039270000}"/>
    <cellStyle name="Normal 2 61 4 2 7 2" xfId="24573" xr:uid="{00000000-0005-0000-0000-00003A270000}"/>
    <cellStyle name="Normal 2 61 4 2 8" xfId="6823" xr:uid="{00000000-0005-0000-0000-00003B270000}"/>
    <cellStyle name="Normal 2 61 4 2 8 2" xfId="24574" xr:uid="{00000000-0005-0000-0000-00003C270000}"/>
    <cellStyle name="Normal 2 61 4 2 9" xfId="6824" xr:uid="{00000000-0005-0000-0000-00003D270000}"/>
    <cellStyle name="Normal 2 61 4 2 9 2" xfId="24575" xr:uid="{00000000-0005-0000-0000-00003E270000}"/>
    <cellStyle name="Normal 2 61 4 3" xfId="6825" xr:uid="{00000000-0005-0000-0000-00003F270000}"/>
    <cellStyle name="Normal 2 61 4 3 2" xfId="24576" xr:uid="{00000000-0005-0000-0000-000040270000}"/>
    <cellStyle name="Normal 2 61 4 4" xfId="6826" xr:uid="{00000000-0005-0000-0000-000041270000}"/>
    <cellStyle name="Normal 2 61 4 4 2" xfId="24577" xr:uid="{00000000-0005-0000-0000-000042270000}"/>
    <cellStyle name="Normal 2 61 4 5" xfId="6827" xr:uid="{00000000-0005-0000-0000-000043270000}"/>
    <cellStyle name="Normal 2 61 4 5 2" xfId="24578" xr:uid="{00000000-0005-0000-0000-000044270000}"/>
    <cellStyle name="Normal 2 61 4 6" xfId="6828" xr:uid="{00000000-0005-0000-0000-000045270000}"/>
    <cellStyle name="Normal 2 61 4 6 2" xfId="24579" xr:uid="{00000000-0005-0000-0000-000046270000}"/>
    <cellStyle name="Normal 2 61 4 7" xfId="6829" xr:uid="{00000000-0005-0000-0000-000047270000}"/>
    <cellStyle name="Normal 2 61 4 7 2" xfId="24580" xr:uid="{00000000-0005-0000-0000-000048270000}"/>
    <cellStyle name="Normal 2 61 4 8" xfId="6830" xr:uid="{00000000-0005-0000-0000-000049270000}"/>
    <cellStyle name="Normal 2 61 4 8 2" xfId="24581" xr:uid="{00000000-0005-0000-0000-00004A270000}"/>
    <cellStyle name="Normal 2 61 4 9" xfId="6831" xr:uid="{00000000-0005-0000-0000-00004B270000}"/>
    <cellStyle name="Normal 2 61 4 9 2" xfId="24582" xr:uid="{00000000-0005-0000-0000-00004C270000}"/>
    <cellStyle name="Normal 2 61 5" xfId="6832" xr:uid="{00000000-0005-0000-0000-00004D270000}"/>
    <cellStyle name="Normal 2 61 5 10" xfId="6833" xr:uid="{00000000-0005-0000-0000-00004E270000}"/>
    <cellStyle name="Normal 2 61 5 10 2" xfId="24584" xr:uid="{00000000-0005-0000-0000-00004F270000}"/>
    <cellStyle name="Normal 2 61 5 11" xfId="6834" xr:uid="{00000000-0005-0000-0000-000050270000}"/>
    <cellStyle name="Normal 2 61 5 11 2" xfId="24585" xr:uid="{00000000-0005-0000-0000-000051270000}"/>
    <cellStyle name="Normal 2 61 5 12" xfId="6835" xr:uid="{00000000-0005-0000-0000-000052270000}"/>
    <cellStyle name="Normal 2 61 5 12 2" xfId="24586" xr:uid="{00000000-0005-0000-0000-000053270000}"/>
    <cellStyle name="Normal 2 61 5 13" xfId="6836" xr:uid="{00000000-0005-0000-0000-000054270000}"/>
    <cellStyle name="Normal 2 61 5 13 2" xfId="24587" xr:uid="{00000000-0005-0000-0000-000055270000}"/>
    <cellStyle name="Normal 2 61 5 14" xfId="6837" xr:uid="{00000000-0005-0000-0000-000056270000}"/>
    <cellStyle name="Normal 2 61 5 14 2" xfId="24588" xr:uid="{00000000-0005-0000-0000-000057270000}"/>
    <cellStyle name="Normal 2 61 5 15" xfId="24583" xr:uid="{00000000-0005-0000-0000-000058270000}"/>
    <cellStyle name="Normal 2 61 5 2" xfId="6838" xr:uid="{00000000-0005-0000-0000-000059270000}"/>
    <cellStyle name="Normal 2 61 5 2 2" xfId="24589" xr:uid="{00000000-0005-0000-0000-00005A270000}"/>
    <cellStyle name="Normal 2 61 5 3" xfId="6839" xr:uid="{00000000-0005-0000-0000-00005B270000}"/>
    <cellStyle name="Normal 2 61 5 3 2" xfId="24590" xr:uid="{00000000-0005-0000-0000-00005C270000}"/>
    <cellStyle name="Normal 2 61 5 4" xfId="6840" xr:uid="{00000000-0005-0000-0000-00005D270000}"/>
    <cellStyle name="Normal 2 61 5 4 2" xfId="24591" xr:uid="{00000000-0005-0000-0000-00005E270000}"/>
    <cellStyle name="Normal 2 61 5 5" xfId="6841" xr:uid="{00000000-0005-0000-0000-00005F270000}"/>
    <cellStyle name="Normal 2 61 5 5 2" xfId="24592" xr:uid="{00000000-0005-0000-0000-000060270000}"/>
    <cellStyle name="Normal 2 61 5 6" xfId="6842" xr:uid="{00000000-0005-0000-0000-000061270000}"/>
    <cellStyle name="Normal 2 61 5 6 2" xfId="24593" xr:uid="{00000000-0005-0000-0000-000062270000}"/>
    <cellStyle name="Normal 2 61 5 7" xfId="6843" xr:uid="{00000000-0005-0000-0000-000063270000}"/>
    <cellStyle name="Normal 2 61 5 7 2" xfId="24594" xr:uid="{00000000-0005-0000-0000-000064270000}"/>
    <cellStyle name="Normal 2 61 5 8" xfId="6844" xr:uid="{00000000-0005-0000-0000-000065270000}"/>
    <cellStyle name="Normal 2 61 5 8 2" xfId="24595" xr:uid="{00000000-0005-0000-0000-000066270000}"/>
    <cellStyle name="Normal 2 61 5 9" xfId="6845" xr:uid="{00000000-0005-0000-0000-000067270000}"/>
    <cellStyle name="Normal 2 61 5 9 2" xfId="24596" xr:uid="{00000000-0005-0000-0000-000068270000}"/>
    <cellStyle name="Normal 2 61 6" xfId="6846" xr:uid="{00000000-0005-0000-0000-000069270000}"/>
    <cellStyle name="Normal 2 61 6 10" xfId="6847" xr:uid="{00000000-0005-0000-0000-00006A270000}"/>
    <cellStyle name="Normal 2 61 6 10 2" xfId="24598" xr:uid="{00000000-0005-0000-0000-00006B270000}"/>
    <cellStyle name="Normal 2 61 6 11" xfId="6848" xr:uid="{00000000-0005-0000-0000-00006C270000}"/>
    <cellStyle name="Normal 2 61 6 11 2" xfId="24599" xr:uid="{00000000-0005-0000-0000-00006D270000}"/>
    <cellStyle name="Normal 2 61 6 12" xfId="6849" xr:uid="{00000000-0005-0000-0000-00006E270000}"/>
    <cellStyle name="Normal 2 61 6 12 2" xfId="24600" xr:uid="{00000000-0005-0000-0000-00006F270000}"/>
    <cellStyle name="Normal 2 61 6 13" xfId="6850" xr:uid="{00000000-0005-0000-0000-000070270000}"/>
    <cellStyle name="Normal 2 61 6 13 2" xfId="24601" xr:uid="{00000000-0005-0000-0000-000071270000}"/>
    <cellStyle name="Normal 2 61 6 14" xfId="6851" xr:uid="{00000000-0005-0000-0000-000072270000}"/>
    <cellStyle name="Normal 2 61 6 14 2" xfId="24602" xr:uid="{00000000-0005-0000-0000-000073270000}"/>
    <cellStyle name="Normal 2 61 6 15" xfId="24597" xr:uid="{00000000-0005-0000-0000-000074270000}"/>
    <cellStyle name="Normal 2 61 6 2" xfId="6852" xr:uid="{00000000-0005-0000-0000-000075270000}"/>
    <cellStyle name="Normal 2 61 6 2 2" xfId="24603" xr:uid="{00000000-0005-0000-0000-000076270000}"/>
    <cellStyle name="Normal 2 61 6 3" xfId="6853" xr:uid="{00000000-0005-0000-0000-000077270000}"/>
    <cellStyle name="Normal 2 61 6 3 2" xfId="24604" xr:uid="{00000000-0005-0000-0000-000078270000}"/>
    <cellStyle name="Normal 2 61 6 4" xfId="6854" xr:uid="{00000000-0005-0000-0000-000079270000}"/>
    <cellStyle name="Normal 2 61 6 4 2" xfId="24605" xr:uid="{00000000-0005-0000-0000-00007A270000}"/>
    <cellStyle name="Normal 2 61 6 5" xfId="6855" xr:uid="{00000000-0005-0000-0000-00007B270000}"/>
    <cellStyle name="Normal 2 61 6 5 2" xfId="24606" xr:uid="{00000000-0005-0000-0000-00007C270000}"/>
    <cellStyle name="Normal 2 61 6 6" xfId="6856" xr:uid="{00000000-0005-0000-0000-00007D270000}"/>
    <cellStyle name="Normal 2 61 6 6 2" xfId="24607" xr:uid="{00000000-0005-0000-0000-00007E270000}"/>
    <cellStyle name="Normal 2 61 6 7" xfId="6857" xr:uid="{00000000-0005-0000-0000-00007F270000}"/>
    <cellStyle name="Normal 2 61 6 7 2" xfId="24608" xr:uid="{00000000-0005-0000-0000-000080270000}"/>
    <cellStyle name="Normal 2 61 6 8" xfId="6858" xr:uid="{00000000-0005-0000-0000-000081270000}"/>
    <cellStyle name="Normal 2 61 6 8 2" xfId="24609" xr:uid="{00000000-0005-0000-0000-000082270000}"/>
    <cellStyle name="Normal 2 61 6 9" xfId="6859" xr:uid="{00000000-0005-0000-0000-000083270000}"/>
    <cellStyle name="Normal 2 61 6 9 2" xfId="24610" xr:uid="{00000000-0005-0000-0000-000084270000}"/>
    <cellStyle name="Normal 2 61 7" xfId="6860" xr:uid="{00000000-0005-0000-0000-000085270000}"/>
    <cellStyle name="Normal 2 61 7 10" xfId="6861" xr:uid="{00000000-0005-0000-0000-000086270000}"/>
    <cellStyle name="Normal 2 61 7 10 2" xfId="24612" xr:uid="{00000000-0005-0000-0000-000087270000}"/>
    <cellStyle name="Normal 2 61 7 11" xfId="6862" xr:uid="{00000000-0005-0000-0000-000088270000}"/>
    <cellStyle name="Normal 2 61 7 11 2" xfId="24613" xr:uid="{00000000-0005-0000-0000-000089270000}"/>
    <cellStyle name="Normal 2 61 7 12" xfId="6863" xr:uid="{00000000-0005-0000-0000-00008A270000}"/>
    <cellStyle name="Normal 2 61 7 12 2" xfId="24614" xr:uid="{00000000-0005-0000-0000-00008B270000}"/>
    <cellStyle name="Normal 2 61 7 13" xfId="6864" xr:uid="{00000000-0005-0000-0000-00008C270000}"/>
    <cellStyle name="Normal 2 61 7 13 2" xfId="24615" xr:uid="{00000000-0005-0000-0000-00008D270000}"/>
    <cellStyle name="Normal 2 61 7 14" xfId="6865" xr:uid="{00000000-0005-0000-0000-00008E270000}"/>
    <cellStyle name="Normal 2 61 7 14 2" xfId="24616" xr:uid="{00000000-0005-0000-0000-00008F270000}"/>
    <cellStyle name="Normal 2 61 7 15" xfId="24611" xr:uid="{00000000-0005-0000-0000-000090270000}"/>
    <cellStyle name="Normal 2 61 7 2" xfId="6866" xr:uid="{00000000-0005-0000-0000-000091270000}"/>
    <cellStyle name="Normal 2 61 7 2 2" xfId="24617" xr:uid="{00000000-0005-0000-0000-000092270000}"/>
    <cellStyle name="Normal 2 61 7 3" xfId="6867" xr:uid="{00000000-0005-0000-0000-000093270000}"/>
    <cellStyle name="Normal 2 61 7 3 2" xfId="24618" xr:uid="{00000000-0005-0000-0000-000094270000}"/>
    <cellStyle name="Normal 2 61 7 4" xfId="6868" xr:uid="{00000000-0005-0000-0000-000095270000}"/>
    <cellStyle name="Normal 2 61 7 4 2" xfId="24619" xr:uid="{00000000-0005-0000-0000-000096270000}"/>
    <cellStyle name="Normal 2 61 7 5" xfId="6869" xr:uid="{00000000-0005-0000-0000-000097270000}"/>
    <cellStyle name="Normal 2 61 7 5 2" xfId="24620" xr:uid="{00000000-0005-0000-0000-000098270000}"/>
    <cellStyle name="Normal 2 61 7 6" xfId="6870" xr:uid="{00000000-0005-0000-0000-000099270000}"/>
    <cellStyle name="Normal 2 61 7 6 2" xfId="24621" xr:uid="{00000000-0005-0000-0000-00009A270000}"/>
    <cellStyle name="Normal 2 61 7 7" xfId="6871" xr:uid="{00000000-0005-0000-0000-00009B270000}"/>
    <cellStyle name="Normal 2 61 7 7 2" xfId="24622" xr:uid="{00000000-0005-0000-0000-00009C270000}"/>
    <cellStyle name="Normal 2 61 7 8" xfId="6872" xr:uid="{00000000-0005-0000-0000-00009D270000}"/>
    <cellStyle name="Normal 2 61 7 8 2" xfId="24623" xr:uid="{00000000-0005-0000-0000-00009E270000}"/>
    <cellStyle name="Normal 2 61 7 9" xfId="6873" xr:uid="{00000000-0005-0000-0000-00009F270000}"/>
    <cellStyle name="Normal 2 61 7 9 2" xfId="24624" xr:uid="{00000000-0005-0000-0000-0000A0270000}"/>
    <cellStyle name="Normal 2 61 8" xfId="6874" xr:uid="{00000000-0005-0000-0000-0000A1270000}"/>
    <cellStyle name="Normal 2 61 8 10" xfId="6875" xr:uid="{00000000-0005-0000-0000-0000A2270000}"/>
    <cellStyle name="Normal 2 61 8 10 2" xfId="24626" xr:uid="{00000000-0005-0000-0000-0000A3270000}"/>
    <cellStyle name="Normal 2 61 8 11" xfId="6876" xr:uid="{00000000-0005-0000-0000-0000A4270000}"/>
    <cellStyle name="Normal 2 61 8 11 2" xfId="24627" xr:uid="{00000000-0005-0000-0000-0000A5270000}"/>
    <cellStyle name="Normal 2 61 8 12" xfId="6877" xr:uid="{00000000-0005-0000-0000-0000A6270000}"/>
    <cellStyle name="Normal 2 61 8 12 2" xfId="24628" xr:uid="{00000000-0005-0000-0000-0000A7270000}"/>
    <cellStyle name="Normal 2 61 8 13" xfId="6878" xr:uid="{00000000-0005-0000-0000-0000A8270000}"/>
    <cellStyle name="Normal 2 61 8 13 2" xfId="24629" xr:uid="{00000000-0005-0000-0000-0000A9270000}"/>
    <cellStyle name="Normal 2 61 8 14" xfId="6879" xr:uid="{00000000-0005-0000-0000-0000AA270000}"/>
    <cellStyle name="Normal 2 61 8 14 2" xfId="24630" xr:uid="{00000000-0005-0000-0000-0000AB270000}"/>
    <cellStyle name="Normal 2 61 8 15" xfId="24625" xr:uid="{00000000-0005-0000-0000-0000AC270000}"/>
    <cellStyle name="Normal 2 61 8 2" xfId="6880" xr:uid="{00000000-0005-0000-0000-0000AD270000}"/>
    <cellStyle name="Normal 2 61 8 2 2" xfId="24631" xr:uid="{00000000-0005-0000-0000-0000AE270000}"/>
    <cellStyle name="Normal 2 61 8 3" xfId="6881" xr:uid="{00000000-0005-0000-0000-0000AF270000}"/>
    <cellStyle name="Normal 2 61 8 3 2" xfId="24632" xr:uid="{00000000-0005-0000-0000-0000B0270000}"/>
    <cellStyle name="Normal 2 61 8 4" xfId="6882" xr:uid="{00000000-0005-0000-0000-0000B1270000}"/>
    <cellStyle name="Normal 2 61 8 4 2" xfId="24633" xr:uid="{00000000-0005-0000-0000-0000B2270000}"/>
    <cellStyle name="Normal 2 61 8 5" xfId="6883" xr:uid="{00000000-0005-0000-0000-0000B3270000}"/>
    <cellStyle name="Normal 2 61 8 5 2" xfId="24634" xr:uid="{00000000-0005-0000-0000-0000B4270000}"/>
    <cellStyle name="Normal 2 61 8 6" xfId="6884" xr:uid="{00000000-0005-0000-0000-0000B5270000}"/>
    <cellStyle name="Normal 2 61 8 6 2" xfId="24635" xr:uid="{00000000-0005-0000-0000-0000B6270000}"/>
    <cellStyle name="Normal 2 61 8 7" xfId="6885" xr:uid="{00000000-0005-0000-0000-0000B7270000}"/>
    <cellStyle name="Normal 2 61 8 7 2" xfId="24636" xr:uid="{00000000-0005-0000-0000-0000B8270000}"/>
    <cellStyle name="Normal 2 61 8 8" xfId="6886" xr:uid="{00000000-0005-0000-0000-0000B9270000}"/>
    <cellStyle name="Normal 2 61 8 8 2" xfId="24637" xr:uid="{00000000-0005-0000-0000-0000BA270000}"/>
    <cellStyle name="Normal 2 61 8 9" xfId="6887" xr:uid="{00000000-0005-0000-0000-0000BB270000}"/>
    <cellStyle name="Normal 2 61 8 9 2" xfId="24638" xr:uid="{00000000-0005-0000-0000-0000BC270000}"/>
    <cellStyle name="Normal 2 61 9" xfId="6888" xr:uid="{00000000-0005-0000-0000-0000BD270000}"/>
    <cellStyle name="Normal 2 61 9 10" xfId="6889" xr:uid="{00000000-0005-0000-0000-0000BE270000}"/>
    <cellStyle name="Normal 2 61 9 10 2" xfId="24640" xr:uid="{00000000-0005-0000-0000-0000BF270000}"/>
    <cellStyle name="Normal 2 61 9 11" xfId="6890" xr:uid="{00000000-0005-0000-0000-0000C0270000}"/>
    <cellStyle name="Normal 2 61 9 11 2" xfId="24641" xr:uid="{00000000-0005-0000-0000-0000C1270000}"/>
    <cellStyle name="Normal 2 61 9 12" xfId="6891" xr:uid="{00000000-0005-0000-0000-0000C2270000}"/>
    <cellStyle name="Normal 2 61 9 12 2" xfId="24642" xr:uid="{00000000-0005-0000-0000-0000C3270000}"/>
    <cellStyle name="Normal 2 61 9 13" xfId="6892" xr:uid="{00000000-0005-0000-0000-0000C4270000}"/>
    <cellStyle name="Normal 2 61 9 13 2" xfId="24643" xr:uid="{00000000-0005-0000-0000-0000C5270000}"/>
    <cellStyle name="Normal 2 61 9 14" xfId="6893" xr:uid="{00000000-0005-0000-0000-0000C6270000}"/>
    <cellStyle name="Normal 2 61 9 14 2" xfId="24644" xr:uid="{00000000-0005-0000-0000-0000C7270000}"/>
    <cellStyle name="Normal 2 61 9 15" xfId="24639" xr:uid="{00000000-0005-0000-0000-0000C8270000}"/>
    <cellStyle name="Normal 2 61 9 2" xfId="6894" xr:uid="{00000000-0005-0000-0000-0000C9270000}"/>
    <cellStyle name="Normal 2 61 9 2 2" xfId="24645" xr:uid="{00000000-0005-0000-0000-0000CA270000}"/>
    <cellStyle name="Normal 2 61 9 3" xfId="6895" xr:uid="{00000000-0005-0000-0000-0000CB270000}"/>
    <cellStyle name="Normal 2 61 9 3 2" xfId="24646" xr:uid="{00000000-0005-0000-0000-0000CC270000}"/>
    <cellStyle name="Normal 2 61 9 4" xfId="6896" xr:uid="{00000000-0005-0000-0000-0000CD270000}"/>
    <cellStyle name="Normal 2 61 9 4 2" xfId="24647" xr:uid="{00000000-0005-0000-0000-0000CE270000}"/>
    <cellStyle name="Normal 2 61 9 5" xfId="6897" xr:uid="{00000000-0005-0000-0000-0000CF270000}"/>
    <cellStyle name="Normal 2 61 9 5 2" xfId="24648" xr:uid="{00000000-0005-0000-0000-0000D0270000}"/>
    <cellStyle name="Normal 2 61 9 6" xfId="6898" xr:uid="{00000000-0005-0000-0000-0000D1270000}"/>
    <cellStyle name="Normal 2 61 9 6 2" xfId="24649" xr:uid="{00000000-0005-0000-0000-0000D2270000}"/>
    <cellStyle name="Normal 2 61 9 7" xfId="6899" xr:uid="{00000000-0005-0000-0000-0000D3270000}"/>
    <cellStyle name="Normal 2 61 9 7 2" xfId="24650" xr:uid="{00000000-0005-0000-0000-0000D4270000}"/>
    <cellStyle name="Normal 2 61 9 8" xfId="6900" xr:uid="{00000000-0005-0000-0000-0000D5270000}"/>
    <cellStyle name="Normal 2 61 9 8 2" xfId="24651" xr:uid="{00000000-0005-0000-0000-0000D6270000}"/>
    <cellStyle name="Normal 2 61 9 9" xfId="6901" xr:uid="{00000000-0005-0000-0000-0000D7270000}"/>
    <cellStyle name="Normal 2 61 9 9 2" xfId="24652" xr:uid="{00000000-0005-0000-0000-0000D8270000}"/>
    <cellStyle name="Normal 2 62" xfId="6902" xr:uid="{00000000-0005-0000-0000-0000D9270000}"/>
    <cellStyle name="Normal 2 62 10" xfId="6903" xr:uid="{00000000-0005-0000-0000-0000DA270000}"/>
    <cellStyle name="Normal 2 62 10 10" xfId="6904" xr:uid="{00000000-0005-0000-0000-0000DB270000}"/>
    <cellStyle name="Normal 2 62 10 10 2" xfId="24655" xr:uid="{00000000-0005-0000-0000-0000DC270000}"/>
    <cellStyle name="Normal 2 62 10 11" xfId="6905" xr:uid="{00000000-0005-0000-0000-0000DD270000}"/>
    <cellStyle name="Normal 2 62 10 11 2" xfId="24656" xr:uid="{00000000-0005-0000-0000-0000DE270000}"/>
    <cellStyle name="Normal 2 62 10 12" xfId="6906" xr:uid="{00000000-0005-0000-0000-0000DF270000}"/>
    <cellStyle name="Normal 2 62 10 12 2" xfId="24657" xr:uid="{00000000-0005-0000-0000-0000E0270000}"/>
    <cellStyle name="Normal 2 62 10 13" xfId="6907" xr:uid="{00000000-0005-0000-0000-0000E1270000}"/>
    <cellStyle name="Normal 2 62 10 13 2" xfId="24658" xr:uid="{00000000-0005-0000-0000-0000E2270000}"/>
    <cellStyle name="Normal 2 62 10 14" xfId="6908" xr:uid="{00000000-0005-0000-0000-0000E3270000}"/>
    <cellStyle name="Normal 2 62 10 14 2" xfId="24659" xr:uid="{00000000-0005-0000-0000-0000E4270000}"/>
    <cellStyle name="Normal 2 62 10 15" xfId="24654" xr:uid="{00000000-0005-0000-0000-0000E5270000}"/>
    <cellStyle name="Normal 2 62 10 2" xfId="6909" xr:uid="{00000000-0005-0000-0000-0000E6270000}"/>
    <cellStyle name="Normal 2 62 10 2 2" xfId="24660" xr:uid="{00000000-0005-0000-0000-0000E7270000}"/>
    <cellStyle name="Normal 2 62 10 3" xfId="6910" xr:uid="{00000000-0005-0000-0000-0000E8270000}"/>
    <cellStyle name="Normal 2 62 10 3 2" xfId="24661" xr:uid="{00000000-0005-0000-0000-0000E9270000}"/>
    <cellStyle name="Normal 2 62 10 4" xfId="6911" xr:uid="{00000000-0005-0000-0000-0000EA270000}"/>
    <cellStyle name="Normal 2 62 10 4 2" xfId="24662" xr:uid="{00000000-0005-0000-0000-0000EB270000}"/>
    <cellStyle name="Normal 2 62 10 5" xfId="6912" xr:uid="{00000000-0005-0000-0000-0000EC270000}"/>
    <cellStyle name="Normal 2 62 10 5 2" xfId="24663" xr:uid="{00000000-0005-0000-0000-0000ED270000}"/>
    <cellStyle name="Normal 2 62 10 6" xfId="6913" xr:uid="{00000000-0005-0000-0000-0000EE270000}"/>
    <cellStyle name="Normal 2 62 10 6 2" xfId="24664" xr:uid="{00000000-0005-0000-0000-0000EF270000}"/>
    <cellStyle name="Normal 2 62 10 7" xfId="6914" xr:uid="{00000000-0005-0000-0000-0000F0270000}"/>
    <cellStyle name="Normal 2 62 10 7 2" xfId="24665" xr:uid="{00000000-0005-0000-0000-0000F1270000}"/>
    <cellStyle name="Normal 2 62 10 8" xfId="6915" xr:uid="{00000000-0005-0000-0000-0000F2270000}"/>
    <cellStyle name="Normal 2 62 10 8 2" xfId="24666" xr:uid="{00000000-0005-0000-0000-0000F3270000}"/>
    <cellStyle name="Normal 2 62 10 9" xfId="6916" xr:uid="{00000000-0005-0000-0000-0000F4270000}"/>
    <cellStyle name="Normal 2 62 10 9 2" xfId="24667" xr:uid="{00000000-0005-0000-0000-0000F5270000}"/>
    <cellStyle name="Normal 2 62 11" xfId="6917" xr:uid="{00000000-0005-0000-0000-0000F6270000}"/>
    <cellStyle name="Normal 2 62 11 2" xfId="24668" xr:uid="{00000000-0005-0000-0000-0000F7270000}"/>
    <cellStyle name="Normal 2 62 12" xfId="6918" xr:uid="{00000000-0005-0000-0000-0000F8270000}"/>
    <cellStyle name="Normal 2 62 12 2" xfId="24669" xr:uid="{00000000-0005-0000-0000-0000F9270000}"/>
    <cellStyle name="Normal 2 62 13" xfId="6919" xr:uid="{00000000-0005-0000-0000-0000FA270000}"/>
    <cellStyle name="Normal 2 62 13 2" xfId="24670" xr:uid="{00000000-0005-0000-0000-0000FB270000}"/>
    <cellStyle name="Normal 2 62 14" xfId="6920" xr:uid="{00000000-0005-0000-0000-0000FC270000}"/>
    <cellStyle name="Normal 2 62 14 2" xfId="24671" xr:uid="{00000000-0005-0000-0000-0000FD270000}"/>
    <cellStyle name="Normal 2 62 15" xfId="6921" xr:uid="{00000000-0005-0000-0000-0000FE270000}"/>
    <cellStyle name="Normal 2 62 15 2" xfId="24672" xr:uid="{00000000-0005-0000-0000-0000FF270000}"/>
    <cellStyle name="Normal 2 62 16" xfId="6922" xr:uid="{00000000-0005-0000-0000-000000280000}"/>
    <cellStyle name="Normal 2 62 16 2" xfId="24673" xr:uid="{00000000-0005-0000-0000-000001280000}"/>
    <cellStyle name="Normal 2 62 17" xfId="6923" xr:uid="{00000000-0005-0000-0000-000002280000}"/>
    <cellStyle name="Normal 2 62 17 2" xfId="24674" xr:uid="{00000000-0005-0000-0000-000003280000}"/>
    <cellStyle name="Normal 2 62 18" xfId="6924" xr:uid="{00000000-0005-0000-0000-000004280000}"/>
    <cellStyle name="Normal 2 62 18 2" xfId="24675" xr:uid="{00000000-0005-0000-0000-000005280000}"/>
    <cellStyle name="Normal 2 62 19" xfId="6925" xr:uid="{00000000-0005-0000-0000-000006280000}"/>
    <cellStyle name="Normal 2 62 19 2" xfId="24676" xr:uid="{00000000-0005-0000-0000-000007280000}"/>
    <cellStyle name="Normal 2 62 2" xfId="6926" xr:uid="{00000000-0005-0000-0000-000008280000}"/>
    <cellStyle name="Normal 2 62 2 10" xfId="6927" xr:uid="{00000000-0005-0000-0000-000009280000}"/>
    <cellStyle name="Normal 2 62 2 10 2" xfId="24678" xr:uid="{00000000-0005-0000-0000-00000A280000}"/>
    <cellStyle name="Normal 2 62 2 11" xfId="6928" xr:uid="{00000000-0005-0000-0000-00000B280000}"/>
    <cellStyle name="Normal 2 62 2 11 2" xfId="24679" xr:uid="{00000000-0005-0000-0000-00000C280000}"/>
    <cellStyle name="Normal 2 62 2 12" xfId="6929" xr:uid="{00000000-0005-0000-0000-00000D280000}"/>
    <cellStyle name="Normal 2 62 2 12 2" xfId="24680" xr:uid="{00000000-0005-0000-0000-00000E280000}"/>
    <cellStyle name="Normal 2 62 2 13" xfId="6930" xr:uid="{00000000-0005-0000-0000-00000F280000}"/>
    <cellStyle name="Normal 2 62 2 13 2" xfId="24681" xr:uid="{00000000-0005-0000-0000-000010280000}"/>
    <cellStyle name="Normal 2 62 2 14" xfId="6931" xr:uid="{00000000-0005-0000-0000-000011280000}"/>
    <cellStyle name="Normal 2 62 2 14 2" xfId="24682" xr:uid="{00000000-0005-0000-0000-000012280000}"/>
    <cellStyle name="Normal 2 62 2 15" xfId="6932" xr:uid="{00000000-0005-0000-0000-000013280000}"/>
    <cellStyle name="Normal 2 62 2 15 2" xfId="24683" xr:uid="{00000000-0005-0000-0000-000014280000}"/>
    <cellStyle name="Normal 2 62 2 16" xfId="24677" xr:uid="{00000000-0005-0000-0000-000015280000}"/>
    <cellStyle name="Normal 2 62 2 2" xfId="6933" xr:uid="{00000000-0005-0000-0000-000016280000}"/>
    <cellStyle name="Normal 2 62 2 2 10" xfId="6934" xr:uid="{00000000-0005-0000-0000-000017280000}"/>
    <cellStyle name="Normal 2 62 2 2 10 2" xfId="24685" xr:uid="{00000000-0005-0000-0000-000018280000}"/>
    <cellStyle name="Normal 2 62 2 2 11" xfId="6935" xr:uid="{00000000-0005-0000-0000-000019280000}"/>
    <cellStyle name="Normal 2 62 2 2 11 2" xfId="24686" xr:uid="{00000000-0005-0000-0000-00001A280000}"/>
    <cellStyle name="Normal 2 62 2 2 12" xfId="6936" xr:uid="{00000000-0005-0000-0000-00001B280000}"/>
    <cellStyle name="Normal 2 62 2 2 12 2" xfId="24687" xr:uid="{00000000-0005-0000-0000-00001C280000}"/>
    <cellStyle name="Normal 2 62 2 2 13" xfId="6937" xr:uid="{00000000-0005-0000-0000-00001D280000}"/>
    <cellStyle name="Normal 2 62 2 2 13 2" xfId="24688" xr:uid="{00000000-0005-0000-0000-00001E280000}"/>
    <cellStyle name="Normal 2 62 2 2 14" xfId="6938" xr:uid="{00000000-0005-0000-0000-00001F280000}"/>
    <cellStyle name="Normal 2 62 2 2 14 2" xfId="24689" xr:uid="{00000000-0005-0000-0000-000020280000}"/>
    <cellStyle name="Normal 2 62 2 2 15" xfId="24684" xr:uid="{00000000-0005-0000-0000-000021280000}"/>
    <cellStyle name="Normal 2 62 2 2 2" xfId="6939" xr:uid="{00000000-0005-0000-0000-000022280000}"/>
    <cellStyle name="Normal 2 62 2 2 2 2" xfId="24690" xr:uid="{00000000-0005-0000-0000-000023280000}"/>
    <cellStyle name="Normal 2 62 2 2 3" xfId="6940" xr:uid="{00000000-0005-0000-0000-000024280000}"/>
    <cellStyle name="Normal 2 62 2 2 3 2" xfId="24691" xr:uid="{00000000-0005-0000-0000-000025280000}"/>
    <cellStyle name="Normal 2 62 2 2 4" xfId="6941" xr:uid="{00000000-0005-0000-0000-000026280000}"/>
    <cellStyle name="Normal 2 62 2 2 4 2" xfId="24692" xr:uid="{00000000-0005-0000-0000-000027280000}"/>
    <cellStyle name="Normal 2 62 2 2 5" xfId="6942" xr:uid="{00000000-0005-0000-0000-000028280000}"/>
    <cellStyle name="Normal 2 62 2 2 5 2" xfId="24693" xr:uid="{00000000-0005-0000-0000-000029280000}"/>
    <cellStyle name="Normal 2 62 2 2 6" xfId="6943" xr:uid="{00000000-0005-0000-0000-00002A280000}"/>
    <cellStyle name="Normal 2 62 2 2 6 2" xfId="24694" xr:uid="{00000000-0005-0000-0000-00002B280000}"/>
    <cellStyle name="Normal 2 62 2 2 7" xfId="6944" xr:uid="{00000000-0005-0000-0000-00002C280000}"/>
    <cellStyle name="Normal 2 62 2 2 7 2" xfId="24695" xr:uid="{00000000-0005-0000-0000-00002D280000}"/>
    <cellStyle name="Normal 2 62 2 2 8" xfId="6945" xr:uid="{00000000-0005-0000-0000-00002E280000}"/>
    <cellStyle name="Normal 2 62 2 2 8 2" xfId="24696" xr:uid="{00000000-0005-0000-0000-00002F280000}"/>
    <cellStyle name="Normal 2 62 2 2 9" xfId="6946" xr:uid="{00000000-0005-0000-0000-000030280000}"/>
    <cellStyle name="Normal 2 62 2 2 9 2" xfId="24697" xr:uid="{00000000-0005-0000-0000-000031280000}"/>
    <cellStyle name="Normal 2 62 2 3" xfId="6947" xr:uid="{00000000-0005-0000-0000-000032280000}"/>
    <cellStyle name="Normal 2 62 2 3 2" xfId="24698" xr:uid="{00000000-0005-0000-0000-000033280000}"/>
    <cellStyle name="Normal 2 62 2 4" xfId="6948" xr:uid="{00000000-0005-0000-0000-000034280000}"/>
    <cellStyle name="Normal 2 62 2 4 2" xfId="24699" xr:uid="{00000000-0005-0000-0000-000035280000}"/>
    <cellStyle name="Normal 2 62 2 5" xfId="6949" xr:uid="{00000000-0005-0000-0000-000036280000}"/>
    <cellStyle name="Normal 2 62 2 5 2" xfId="24700" xr:uid="{00000000-0005-0000-0000-000037280000}"/>
    <cellStyle name="Normal 2 62 2 6" xfId="6950" xr:uid="{00000000-0005-0000-0000-000038280000}"/>
    <cellStyle name="Normal 2 62 2 6 2" xfId="24701" xr:uid="{00000000-0005-0000-0000-000039280000}"/>
    <cellStyle name="Normal 2 62 2 7" xfId="6951" xr:uid="{00000000-0005-0000-0000-00003A280000}"/>
    <cellStyle name="Normal 2 62 2 7 2" xfId="24702" xr:uid="{00000000-0005-0000-0000-00003B280000}"/>
    <cellStyle name="Normal 2 62 2 8" xfId="6952" xr:uid="{00000000-0005-0000-0000-00003C280000}"/>
    <cellStyle name="Normal 2 62 2 8 2" xfId="24703" xr:uid="{00000000-0005-0000-0000-00003D280000}"/>
    <cellStyle name="Normal 2 62 2 9" xfId="6953" xr:uid="{00000000-0005-0000-0000-00003E280000}"/>
    <cellStyle name="Normal 2 62 2 9 2" xfId="24704" xr:uid="{00000000-0005-0000-0000-00003F280000}"/>
    <cellStyle name="Normal 2 62 20" xfId="6954" xr:uid="{00000000-0005-0000-0000-000040280000}"/>
    <cellStyle name="Normal 2 62 20 2" xfId="24705" xr:uid="{00000000-0005-0000-0000-000041280000}"/>
    <cellStyle name="Normal 2 62 21" xfId="6955" xr:uid="{00000000-0005-0000-0000-000042280000}"/>
    <cellStyle name="Normal 2 62 21 2" xfId="24706" xr:uid="{00000000-0005-0000-0000-000043280000}"/>
    <cellStyle name="Normal 2 62 22" xfId="6956" xr:uid="{00000000-0005-0000-0000-000044280000}"/>
    <cellStyle name="Normal 2 62 22 2" xfId="24707" xr:uid="{00000000-0005-0000-0000-000045280000}"/>
    <cellStyle name="Normal 2 62 23" xfId="6957" xr:uid="{00000000-0005-0000-0000-000046280000}"/>
    <cellStyle name="Normal 2 62 23 2" xfId="24708" xr:uid="{00000000-0005-0000-0000-000047280000}"/>
    <cellStyle name="Normal 2 62 24" xfId="24653" xr:uid="{00000000-0005-0000-0000-000048280000}"/>
    <cellStyle name="Normal 2 62 3" xfId="6958" xr:uid="{00000000-0005-0000-0000-000049280000}"/>
    <cellStyle name="Normal 2 62 3 10" xfId="6959" xr:uid="{00000000-0005-0000-0000-00004A280000}"/>
    <cellStyle name="Normal 2 62 3 10 2" xfId="24710" xr:uid="{00000000-0005-0000-0000-00004B280000}"/>
    <cellStyle name="Normal 2 62 3 11" xfId="6960" xr:uid="{00000000-0005-0000-0000-00004C280000}"/>
    <cellStyle name="Normal 2 62 3 11 2" xfId="24711" xr:uid="{00000000-0005-0000-0000-00004D280000}"/>
    <cellStyle name="Normal 2 62 3 12" xfId="6961" xr:uid="{00000000-0005-0000-0000-00004E280000}"/>
    <cellStyle name="Normal 2 62 3 12 2" xfId="24712" xr:uid="{00000000-0005-0000-0000-00004F280000}"/>
    <cellStyle name="Normal 2 62 3 13" xfId="6962" xr:uid="{00000000-0005-0000-0000-000050280000}"/>
    <cellStyle name="Normal 2 62 3 13 2" xfId="24713" xr:uid="{00000000-0005-0000-0000-000051280000}"/>
    <cellStyle name="Normal 2 62 3 14" xfId="6963" xr:uid="{00000000-0005-0000-0000-000052280000}"/>
    <cellStyle name="Normal 2 62 3 14 2" xfId="24714" xr:uid="{00000000-0005-0000-0000-000053280000}"/>
    <cellStyle name="Normal 2 62 3 15" xfId="6964" xr:uid="{00000000-0005-0000-0000-000054280000}"/>
    <cellStyle name="Normal 2 62 3 15 2" xfId="24715" xr:uid="{00000000-0005-0000-0000-000055280000}"/>
    <cellStyle name="Normal 2 62 3 16" xfId="24709" xr:uid="{00000000-0005-0000-0000-000056280000}"/>
    <cellStyle name="Normal 2 62 3 2" xfId="6965" xr:uid="{00000000-0005-0000-0000-000057280000}"/>
    <cellStyle name="Normal 2 62 3 2 10" xfId="6966" xr:uid="{00000000-0005-0000-0000-000058280000}"/>
    <cellStyle name="Normal 2 62 3 2 10 2" xfId="24717" xr:uid="{00000000-0005-0000-0000-000059280000}"/>
    <cellStyle name="Normal 2 62 3 2 11" xfId="6967" xr:uid="{00000000-0005-0000-0000-00005A280000}"/>
    <cellStyle name="Normal 2 62 3 2 11 2" xfId="24718" xr:uid="{00000000-0005-0000-0000-00005B280000}"/>
    <cellStyle name="Normal 2 62 3 2 12" xfId="6968" xr:uid="{00000000-0005-0000-0000-00005C280000}"/>
    <cellStyle name="Normal 2 62 3 2 12 2" xfId="24719" xr:uid="{00000000-0005-0000-0000-00005D280000}"/>
    <cellStyle name="Normal 2 62 3 2 13" xfId="6969" xr:uid="{00000000-0005-0000-0000-00005E280000}"/>
    <cellStyle name="Normal 2 62 3 2 13 2" xfId="24720" xr:uid="{00000000-0005-0000-0000-00005F280000}"/>
    <cellStyle name="Normal 2 62 3 2 14" xfId="6970" xr:uid="{00000000-0005-0000-0000-000060280000}"/>
    <cellStyle name="Normal 2 62 3 2 14 2" xfId="24721" xr:uid="{00000000-0005-0000-0000-000061280000}"/>
    <cellStyle name="Normal 2 62 3 2 15" xfId="24716" xr:uid="{00000000-0005-0000-0000-000062280000}"/>
    <cellStyle name="Normal 2 62 3 2 2" xfId="6971" xr:uid="{00000000-0005-0000-0000-000063280000}"/>
    <cellStyle name="Normal 2 62 3 2 2 2" xfId="24722" xr:uid="{00000000-0005-0000-0000-000064280000}"/>
    <cellStyle name="Normal 2 62 3 2 3" xfId="6972" xr:uid="{00000000-0005-0000-0000-000065280000}"/>
    <cellStyle name="Normal 2 62 3 2 3 2" xfId="24723" xr:uid="{00000000-0005-0000-0000-000066280000}"/>
    <cellStyle name="Normal 2 62 3 2 4" xfId="6973" xr:uid="{00000000-0005-0000-0000-000067280000}"/>
    <cellStyle name="Normal 2 62 3 2 4 2" xfId="24724" xr:uid="{00000000-0005-0000-0000-000068280000}"/>
    <cellStyle name="Normal 2 62 3 2 5" xfId="6974" xr:uid="{00000000-0005-0000-0000-000069280000}"/>
    <cellStyle name="Normal 2 62 3 2 5 2" xfId="24725" xr:uid="{00000000-0005-0000-0000-00006A280000}"/>
    <cellStyle name="Normal 2 62 3 2 6" xfId="6975" xr:uid="{00000000-0005-0000-0000-00006B280000}"/>
    <cellStyle name="Normal 2 62 3 2 6 2" xfId="24726" xr:uid="{00000000-0005-0000-0000-00006C280000}"/>
    <cellStyle name="Normal 2 62 3 2 7" xfId="6976" xr:uid="{00000000-0005-0000-0000-00006D280000}"/>
    <cellStyle name="Normal 2 62 3 2 7 2" xfId="24727" xr:uid="{00000000-0005-0000-0000-00006E280000}"/>
    <cellStyle name="Normal 2 62 3 2 8" xfId="6977" xr:uid="{00000000-0005-0000-0000-00006F280000}"/>
    <cellStyle name="Normal 2 62 3 2 8 2" xfId="24728" xr:uid="{00000000-0005-0000-0000-000070280000}"/>
    <cellStyle name="Normal 2 62 3 2 9" xfId="6978" xr:uid="{00000000-0005-0000-0000-000071280000}"/>
    <cellStyle name="Normal 2 62 3 2 9 2" xfId="24729" xr:uid="{00000000-0005-0000-0000-000072280000}"/>
    <cellStyle name="Normal 2 62 3 3" xfId="6979" xr:uid="{00000000-0005-0000-0000-000073280000}"/>
    <cellStyle name="Normal 2 62 3 3 2" xfId="24730" xr:uid="{00000000-0005-0000-0000-000074280000}"/>
    <cellStyle name="Normal 2 62 3 4" xfId="6980" xr:uid="{00000000-0005-0000-0000-000075280000}"/>
    <cellStyle name="Normal 2 62 3 4 2" xfId="24731" xr:uid="{00000000-0005-0000-0000-000076280000}"/>
    <cellStyle name="Normal 2 62 3 5" xfId="6981" xr:uid="{00000000-0005-0000-0000-000077280000}"/>
    <cellStyle name="Normal 2 62 3 5 2" xfId="24732" xr:uid="{00000000-0005-0000-0000-000078280000}"/>
    <cellStyle name="Normal 2 62 3 6" xfId="6982" xr:uid="{00000000-0005-0000-0000-000079280000}"/>
    <cellStyle name="Normal 2 62 3 6 2" xfId="24733" xr:uid="{00000000-0005-0000-0000-00007A280000}"/>
    <cellStyle name="Normal 2 62 3 7" xfId="6983" xr:uid="{00000000-0005-0000-0000-00007B280000}"/>
    <cellStyle name="Normal 2 62 3 7 2" xfId="24734" xr:uid="{00000000-0005-0000-0000-00007C280000}"/>
    <cellStyle name="Normal 2 62 3 8" xfId="6984" xr:uid="{00000000-0005-0000-0000-00007D280000}"/>
    <cellStyle name="Normal 2 62 3 8 2" xfId="24735" xr:uid="{00000000-0005-0000-0000-00007E280000}"/>
    <cellStyle name="Normal 2 62 3 9" xfId="6985" xr:uid="{00000000-0005-0000-0000-00007F280000}"/>
    <cellStyle name="Normal 2 62 3 9 2" xfId="24736" xr:uid="{00000000-0005-0000-0000-000080280000}"/>
    <cellStyle name="Normal 2 62 4" xfId="6986" xr:uid="{00000000-0005-0000-0000-000081280000}"/>
    <cellStyle name="Normal 2 62 4 10" xfId="6987" xr:uid="{00000000-0005-0000-0000-000082280000}"/>
    <cellStyle name="Normal 2 62 4 10 2" xfId="24738" xr:uid="{00000000-0005-0000-0000-000083280000}"/>
    <cellStyle name="Normal 2 62 4 11" xfId="6988" xr:uid="{00000000-0005-0000-0000-000084280000}"/>
    <cellStyle name="Normal 2 62 4 11 2" xfId="24739" xr:uid="{00000000-0005-0000-0000-000085280000}"/>
    <cellStyle name="Normal 2 62 4 12" xfId="6989" xr:uid="{00000000-0005-0000-0000-000086280000}"/>
    <cellStyle name="Normal 2 62 4 12 2" xfId="24740" xr:uid="{00000000-0005-0000-0000-000087280000}"/>
    <cellStyle name="Normal 2 62 4 13" xfId="6990" xr:uid="{00000000-0005-0000-0000-000088280000}"/>
    <cellStyle name="Normal 2 62 4 13 2" xfId="24741" xr:uid="{00000000-0005-0000-0000-000089280000}"/>
    <cellStyle name="Normal 2 62 4 14" xfId="6991" xr:uid="{00000000-0005-0000-0000-00008A280000}"/>
    <cellStyle name="Normal 2 62 4 14 2" xfId="24742" xr:uid="{00000000-0005-0000-0000-00008B280000}"/>
    <cellStyle name="Normal 2 62 4 15" xfId="6992" xr:uid="{00000000-0005-0000-0000-00008C280000}"/>
    <cellStyle name="Normal 2 62 4 15 2" xfId="24743" xr:uid="{00000000-0005-0000-0000-00008D280000}"/>
    <cellStyle name="Normal 2 62 4 16" xfId="24737" xr:uid="{00000000-0005-0000-0000-00008E280000}"/>
    <cellStyle name="Normal 2 62 4 2" xfId="6993" xr:uid="{00000000-0005-0000-0000-00008F280000}"/>
    <cellStyle name="Normal 2 62 4 2 10" xfId="6994" xr:uid="{00000000-0005-0000-0000-000090280000}"/>
    <cellStyle name="Normal 2 62 4 2 10 2" xfId="24745" xr:uid="{00000000-0005-0000-0000-000091280000}"/>
    <cellStyle name="Normal 2 62 4 2 11" xfId="6995" xr:uid="{00000000-0005-0000-0000-000092280000}"/>
    <cellStyle name="Normal 2 62 4 2 11 2" xfId="24746" xr:uid="{00000000-0005-0000-0000-000093280000}"/>
    <cellStyle name="Normal 2 62 4 2 12" xfId="6996" xr:uid="{00000000-0005-0000-0000-000094280000}"/>
    <cellStyle name="Normal 2 62 4 2 12 2" xfId="24747" xr:uid="{00000000-0005-0000-0000-000095280000}"/>
    <cellStyle name="Normal 2 62 4 2 13" xfId="6997" xr:uid="{00000000-0005-0000-0000-000096280000}"/>
    <cellStyle name="Normal 2 62 4 2 13 2" xfId="24748" xr:uid="{00000000-0005-0000-0000-000097280000}"/>
    <cellStyle name="Normal 2 62 4 2 14" xfId="6998" xr:uid="{00000000-0005-0000-0000-000098280000}"/>
    <cellStyle name="Normal 2 62 4 2 14 2" xfId="24749" xr:uid="{00000000-0005-0000-0000-000099280000}"/>
    <cellStyle name="Normal 2 62 4 2 15" xfId="24744" xr:uid="{00000000-0005-0000-0000-00009A280000}"/>
    <cellStyle name="Normal 2 62 4 2 2" xfId="6999" xr:uid="{00000000-0005-0000-0000-00009B280000}"/>
    <cellStyle name="Normal 2 62 4 2 2 2" xfId="24750" xr:uid="{00000000-0005-0000-0000-00009C280000}"/>
    <cellStyle name="Normal 2 62 4 2 3" xfId="7000" xr:uid="{00000000-0005-0000-0000-00009D280000}"/>
    <cellStyle name="Normal 2 62 4 2 3 2" xfId="24751" xr:uid="{00000000-0005-0000-0000-00009E280000}"/>
    <cellStyle name="Normal 2 62 4 2 4" xfId="7001" xr:uid="{00000000-0005-0000-0000-00009F280000}"/>
    <cellStyle name="Normal 2 62 4 2 4 2" xfId="24752" xr:uid="{00000000-0005-0000-0000-0000A0280000}"/>
    <cellStyle name="Normal 2 62 4 2 5" xfId="7002" xr:uid="{00000000-0005-0000-0000-0000A1280000}"/>
    <cellStyle name="Normal 2 62 4 2 5 2" xfId="24753" xr:uid="{00000000-0005-0000-0000-0000A2280000}"/>
    <cellStyle name="Normal 2 62 4 2 6" xfId="7003" xr:uid="{00000000-0005-0000-0000-0000A3280000}"/>
    <cellStyle name="Normal 2 62 4 2 6 2" xfId="24754" xr:uid="{00000000-0005-0000-0000-0000A4280000}"/>
    <cellStyle name="Normal 2 62 4 2 7" xfId="7004" xr:uid="{00000000-0005-0000-0000-0000A5280000}"/>
    <cellStyle name="Normal 2 62 4 2 7 2" xfId="24755" xr:uid="{00000000-0005-0000-0000-0000A6280000}"/>
    <cellStyle name="Normal 2 62 4 2 8" xfId="7005" xr:uid="{00000000-0005-0000-0000-0000A7280000}"/>
    <cellStyle name="Normal 2 62 4 2 8 2" xfId="24756" xr:uid="{00000000-0005-0000-0000-0000A8280000}"/>
    <cellStyle name="Normal 2 62 4 2 9" xfId="7006" xr:uid="{00000000-0005-0000-0000-0000A9280000}"/>
    <cellStyle name="Normal 2 62 4 2 9 2" xfId="24757" xr:uid="{00000000-0005-0000-0000-0000AA280000}"/>
    <cellStyle name="Normal 2 62 4 3" xfId="7007" xr:uid="{00000000-0005-0000-0000-0000AB280000}"/>
    <cellStyle name="Normal 2 62 4 3 2" xfId="24758" xr:uid="{00000000-0005-0000-0000-0000AC280000}"/>
    <cellStyle name="Normal 2 62 4 4" xfId="7008" xr:uid="{00000000-0005-0000-0000-0000AD280000}"/>
    <cellStyle name="Normal 2 62 4 4 2" xfId="24759" xr:uid="{00000000-0005-0000-0000-0000AE280000}"/>
    <cellStyle name="Normal 2 62 4 5" xfId="7009" xr:uid="{00000000-0005-0000-0000-0000AF280000}"/>
    <cellStyle name="Normal 2 62 4 5 2" xfId="24760" xr:uid="{00000000-0005-0000-0000-0000B0280000}"/>
    <cellStyle name="Normal 2 62 4 6" xfId="7010" xr:uid="{00000000-0005-0000-0000-0000B1280000}"/>
    <cellStyle name="Normal 2 62 4 6 2" xfId="24761" xr:uid="{00000000-0005-0000-0000-0000B2280000}"/>
    <cellStyle name="Normal 2 62 4 7" xfId="7011" xr:uid="{00000000-0005-0000-0000-0000B3280000}"/>
    <cellStyle name="Normal 2 62 4 7 2" xfId="24762" xr:uid="{00000000-0005-0000-0000-0000B4280000}"/>
    <cellStyle name="Normal 2 62 4 8" xfId="7012" xr:uid="{00000000-0005-0000-0000-0000B5280000}"/>
    <cellStyle name="Normal 2 62 4 8 2" xfId="24763" xr:uid="{00000000-0005-0000-0000-0000B6280000}"/>
    <cellStyle name="Normal 2 62 4 9" xfId="7013" xr:uid="{00000000-0005-0000-0000-0000B7280000}"/>
    <cellStyle name="Normal 2 62 4 9 2" xfId="24764" xr:uid="{00000000-0005-0000-0000-0000B8280000}"/>
    <cellStyle name="Normal 2 62 5" xfId="7014" xr:uid="{00000000-0005-0000-0000-0000B9280000}"/>
    <cellStyle name="Normal 2 62 5 10" xfId="7015" xr:uid="{00000000-0005-0000-0000-0000BA280000}"/>
    <cellStyle name="Normal 2 62 5 10 2" xfId="24766" xr:uid="{00000000-0005-0000-0000-0000BB280000}"/>
    <cellStyle name="Normal 2 62 5 11" xfId="7016" xr:uid="{00000000-0005-0000-0000-0000BC280000}"/>
    <cellStyle name="Normal 2 62 5 11 2" xfId="24767" xr:uid="{00000000-0005-0000-0000-0000BD280000}"/>
    <cellStyle name="Normal 2 62 5 12" xfId="7017" xr:uid="{00000000-0005-0000-0000-0000BE280000}"/>
    <cellStyle name="Normal 2 62 5 12 2" xfId="24768" xr:uid="{00000000-0005-0000-0000-0000BF280000}"/>
    <cellStyle name="Normal 2 62 5 13" xfId="7018" xr:uid="{00000000-0005-0000-0000-0000C0280000}"/>
    <cellStyle name="Normal 2 62 5 13 2" xfId="24769" xr:uid="{00000000-0005-0000-0000-0000C1280000}"/>
    <cellStyle name="Normal 2 62 5 14" xfId="7019" xr:uid="{00000000-0005-0000-0000-0000C2280000}"/>
    <cellStyle name="Normal 2 62 5 14 2" xfId="24770" xr:uid="{00000000-0005-0000-0000-0000C3280000}"/>
    <cellStyle name="Normal 2 62 5 15" xfId="24765" xr:uid="{00000000-0005-0000-0000-0000C4280000}"/>
    <cellStyle name="Normal 2 62 5 2" xfId="7020" xr:uid="{00000000-0005-0000-0000-0000C5280000}"/>
    <cellStyle name="Normal 2 62 5 2 2" xfId="24771" xr:uid="{00000000-0005-0000-0000-0000C6280000}"/>
    <cellStyle name="Normal 2 62 5 3" xfId="7021" xr:uid="{00000000-0005-0000-0000-0000C7280000}"/>
    <cellStyle name="Normal 2 62 5 3 2" xfId="24772" xr:uid="{00000000-0005-0000-0000-0000C8280000}"/>
    <cellStyle name="Normal 2 62 5 4" xfId="7022" xr:uid="{00000000-0005-0000-0000-0000C9280000}"/>
    <cellStyle name="Normal 2 62 5 4 2" xfId="24773" xr:uid="{00000000-0005-0000-0000-0000CA280000}"/>
    <cellStyle name="Normal 2 62 5 5" xfId="7023" xr:uid="{00000000-0005-0000-0000-0000CB280000}"/>
    <cellStyle name="Normal 2 62 5 5 2" xfId="24774" xr:uid="{00000000-0005-0000-0000-0000CC280000}"/>
    <cellStyle name="Normal 2 62 5 6" xfId="7024" xr:uid="{00000000-0005-0000-0000-0000CD280000}"/>
    <cellStyle name="Normal 2 62 5 6 2" xfId="24775" xr:uid="{00000000-0005-0000-0000-0000CE280000}"/>
    <cellStyle name="Normal 2 62 5 7" xfId="7025" xr:uid="{00000000-0005-0000-0000-0000CF280000}"/>
    <cellStyle name="Normal 2 62 5 7 2" xfId="24776" xr:uid="{00000000-0005-0000-0000-0000D0280000}"/>
    <cellStyle name="Normal 2 62 5 8" xfId="7026" xr:uid="{00000000-0005-0000-0000-0000D1280000}"/>
    <cellStyle name="Normal 2 62 5 8 2" xfId="24777" xr:uid="{00000000-0005-0000-0000-0000D2280000}"/>
    <cellStyle name="Normal 2 62 5 9" xfId="7027" xr:uid="{00000000-0005-0000-0000-0000D3280000}"/>
    <cellStyle name="Normal 2 62 5 9 2" xfId="24778" xr:uid="{00000000-0005-0000-0000-0000D4280000}"/>
    <cellStyle name="Normal 2 62 6" xfId="7028" xr:uid="{00000000-0005-0000-0000-0000D5280000}"/>
    <cellStyle name="Normal 2 62 6 10" xfId="7029" xr:uid="{00000000-0005-0000-0000-0000D6280000}"/>
    <cellStyle name="Normal 2 62 6 10 2" xfId="24780" xr:uid="{00000000-0005-0000-0000-0000D7280000}"/>
    <cellStyle name="Normal 2 62 6 11" xfId="7030" xr:uid="{00000000-0005-0000-0000-0000D8280000}"/>
    <cellStyle name="Normal 2 62 6 11 2" xfId="24781" xr:uid="{00000000-0005-0000-0000-0000D9280000}"/>
    <cellStyle name="Normal 2 62 6 12" xfId="7031" xr:uid="{00000000-0005-0000-0000-0000DA280000}"/>
    <cellStyle name="Normal 2 62 6 12 2" xfId="24782" xr:uid="{00000000-0005-0000-0000-0000DB280000}"/>
    <cellStyle name="Normal 2 62 6 13" xfId="7032" xr:uid="{00000000-0005-0000-0000-0000DC280000}"/>
    <cellStyle name="Normal 2 62 6 13 2" xfId="24783" xr:uid="{00000000-0005-0000-0000-0000DD280000}"/>
    <cellStyle name="Normal 2 62 6 14" xfId="7033" xr:uid="{00000000-0005-0000-0000-0000DE280000}"/>
    <cellStyle name="Normal 2 62 6 14 2" xfId="24784" xr:uid="{00000000-0005-0000-0000-0000DF280000}"/>
    <cellStyle name="Normal 2 62 6 15" xfId="24779" xr:uid="{00000000-0005-0000-0000-0000E0280000}"/>
    <cellStyle name="Normal 2 62 6 2" xfId="7034" xr:uid="{00000000-0005-0000-0000-0000E1280000}"/>
    <cellStyle name="Normal 2 62 6 2 2" xfId="24785" xr:uid="{00000000-0005-0000-0000-0000E2280000}"/>
    <cellStyle name="Normal 2 62 6 3" xfId="7035" xr:uid="{00000000-0005-0000-0000-0000E3280000}"/>
    <cellStyle name="Normal 2 62 6 3 2" xfId="24786" xr:uid="{00000000-0005-0000-0000-0000E4280000}"/>
    <cellStyle name="Normal 2 62 6 4" xfId="7036" xr:uid="{00000000-0005-0000-0000-0000E5280000}"/>
    <cellStyle name="Normal 2 62 6 4 2" xfId="24787" xr:uid="{00000000-0005-0000-0000-0000E6280000}"/>
    <cellStyle name="Normal 2 62 6 5" xfId="7037" xr:uid="{00000000-0005-0000-0000-0000E7280000}"/>
    <cellStyle name="Normal 2 62 6 5 2" xfId="24788" xr:uid="{00000000-0005-0000-0000-0000E8280000}"/>
    <cellStyle name="Normal 2 62 6 6" xfId="7038" xr:uid="{00000000-0005-0000-0000-0000E9280000}"/>
    <cellStyle name="Normal 2 62 6 6 2" xfId="24789" xr:uid="{00000000-0005-0000-0000-0000EA280000}"/>
    <cellStyle name="Normal 2 62 6 7" xfId="7039" xr:uid="{00000000-0005-0000-0000-0000EB280000}"/>
    <cellStyle name="Normal 2 62 6 7 2" xfId="24790" xr:uid="{00000000-0005-0000-0000-0000EC280000}"/>
    <cellStyle name="Normal 2 62 6 8" xfId="7040" xr:uid="{00000000-0005-0000-0000-0000ED280000}"/>
    <cellStyle name="Normal 2 62 6 8 2" xfId="24791" xr:uid="{00000000-0005-0000-0000-0000EE280000}"/>
    <cellStyle name="Normal 2 62 6 9" xfId="7041" xr:uid="{00000000-0005-0000-0000-0000EF280000}"/>
    <cellStyle name="Normal 2 62 6 9 2" xfId="24792" xr:uid="{00000000-0005-0000-0000-0000F0280000}"/>
    <cellStyle name="Normal 2 62 7" xfId="7042" xr:uid="{00000000-0005-0000-0000-0000F1280000}"/>
    <cellStyle name="Normal 2 62 7 10" xfId="7043" xr:uid="{00000000-0005-0000-0000-0000F2280000}"/>
    <cellStyle name="Normal 2 62 7 10 2" xfId="24794" xr:uid="{00000000-0005-0000-0000-0000F3280000}"/>
    <cellStyle name="Normal 2 62 7 11" xfId="7044" xr:uid="{00000000-0005-0000-0000-0000F4280000}"/>
    <cellStyle name="Normal 2 62 7 11 2" xfId="24795" xr:uid="{00000000-0005-0000-0000-0000F5280000}"/>
    <cellStyle name="Normal 2 62 7 12" xfId="7045" xr:uid="{00000000-0005-0000-0000-0000F6280000}"/>
    <cellStyle name="Normal 2 62 7 12 2" xfId="24796" xr:uid="{00000000-0005-0000-0000-0000F7280000}"/>
    <cellStyle name="Normal 2 62 7 13" xfId="7046" xr:uid="{00000000-0005-0000-0000-0000F8280000}"/>
    <cellStyle name="Normal 2 62 7 13 2" xfId="24797" xr:uid="{00000000-0005-0000-0000-0000F9280000}"/>
    <cellStyle name="Normal 2 62 7 14" xfId="7047" xr:uid="{00000000-0005-0000-0000-0000FA280000}"/>
    <cellStyle name="Normal 2 62 7 14 2" xfId="24798" xr:uid="{00000000-0005-0000-0000-0000FB280000}"/>
    <cellStyle name="Normal 2 62 7 15" xfId="24793" xr:uid="{00000000-0005-0000-0000-0000FC280000}"/>
    <cellStyle name="Normal 2 62 7 2" xfId="7048" xr:uid="{00000000-0005-0000-0000-0000FD280000}"/>
    <cellStyle name="Normal 2 62 7 2 2" xfId="24799" xr:uid="{00000000-0005-0000-0000-0000FE280000}"/>
    <cellStyle name="Normal 2 62 7 3" xfId="7049" xr:uid="{00000000-0005-0000-0000-0000FF280000}"/>
    <cellStyle name="Normal 2 62 7 3 2" xfId="24800" xr:uid="{00000000-0005-0000-0000-000000290000}"/>
    <cellStyle name="Normal 2 62 7 4" xfId="7050" xr:uid="{00000000-0005-0000-0000-000001290000}"/>
    <cellStyle name="Normal 2 62 7 4 2" xfId="24801" xr:uid="{00000000-0005-0000-0000-000002290000}"/>
    <cellStyle name="Normal 2 62 7 5" xfId="7051" xr:uid="{00000000-0005-0000-0000-000003290000}"/>
    <cellStyle name="Normal 2 62 7 5 2" xfId="24802" xr:uid="{00000000-0005-0000-0000-000004290000}"/>
    <cellStyle name="Normal 2 62 7 6" xfId="7052" xr:uid="{00000000-0005-0000-0000-000005290000}"/>
    <cellStyle name="Normal 2 62 7 6 2" xfId="24803" xr:uid="{00000000-0005-0000-0000-000006290000}"/>
    <cellStyle name="Normal 2 62 7 7" xfId="7053" xr:uid="{00000000-0005-0000-0000-000007290000}"/>
    <cellStyle name="Normal 2 62 7 7 2" xfId="24804" xr:uid="{00000000-0005-0000-0000-000008290000}"/>
    <cellStyle name="Normal 2 62 7 8" xfId="7054" xr:uid="{00000000-0005-0000-0000-000009290000}"/>
    <cellStyle name="Normal 2 62 7 8 2" xfId="24805" xr:uid="{00000000-0005-0000-0000-00000A290000}"/>
    <cellStyle name="Normal 2 62 7 9" xfId="7055" xr:uid="{00000000-0005-0000-0000-00000B290000}"/>
    <cellStyle name="Normal 2 62 7 9 2" xfId="24806" xr:uid="{00000000-0005-0000-0000-00000C290000}"/>
    <cellStyle name="Normal 2 62 8" xfId="7056" xr:uid="{00000000-0005-0000-0000-00000D290000}"/>
    <cellStyle name="Normal 2 62 8 10" xfId="7057" xr:uid="{00000000-0005-0000-0000-00000E290000}"/>
    <cellStyle name="Normal 2 62 8 10 2" xfId="24808" xr:uid="{00000000-0005-0000-0000-00000F290000}"/>
    <cellStyle name="Normal 2 62 8 11" xfId="7058" xr:uid="{00000000-0005-0000-0000-000010290000}"/>
    <cellStyle name="Normal 2 62 8 11 2" xfId="24809" xr:uid="{00000000-0005-0000-0000-000011290000}"/>
    <cellStyle name="Normal 2 62 8 12" xfId="7059" xr:uid="{00000000-0005-0000-0000-000012290000}"/>
    <cellStyle name="Normal 2 62 8 12 2" xfId="24810" xr:uid="{00000000-0005-0000-0000-000013290000}"/>
    <cellStyle name="Normal 2 62 8 13" xfId="7060" xr:uid="{00000000-0005-0000-0000-000014290000}"/>
    <cellStyle name="Normal 2 62 8 13 2" xfId="24811" xr:uid="{00000000-0005-0000-0000-000015290000}"/>
    <cellStyle name="Normal 2 62 8 14" xfId="7061" xr:uid="{00000000-0005-0000-0000-000016290000}"/>
    <cellStyle name="Normal 2 62 8 14 2" xfId="24812" xr:uid="{00000000-0005-0000-0000-000017290000}"/>
    <cellStyle name="Normal 2 62 8 15" xfId="24807" xr:uid="{00000000-0005-0000-0000-000018290000}"/>
    <cellStyle name="Normal 2 62 8 2" xfId="7062" xr:uid="{00000000-0005-0000-0000-000019290000}"/>
    <cellStyle name="Normal 2 62 8 2 2" xfId="24813" xr:uid="{00000000-0005-0000-0000-00001A290000}"/>
    <cellStyle name="Normal 2 62 8 3" xfId="7063" xr:uid="{00000000-0005-0000-0000-00001B290000}"/>
    <cellStyle name="Normal 2 62 8 3 2" xfId="24814" xr:uid="{00000000-0005-0000-0000-00001C290000}"/>
    <cellStyle name="Normal 2 62 8 4" xfId="7064" xr:uid="{00000000-0005-0000-0000-00001D290000}"/>
    <cellStyle name="Normal 2 62 8 4 2" xfId="24815" xr:uid="{00000000-0005-0000-0000-00001E290000}"/>
    <cellStyle name="Normal 2 62 8 5" xfId="7065" xr:uid="{00000000-0005-0000-0000-00001F290000}"/>
    <cellStyle name="Normal 2 62 8 5 2" xfId="24816" xr:uid="{00000000-0005-0000-0000-000020290000}"/>
    <cellStyle name="Normal 2 62 8 6" xfId="7066" xr:uid="{00000000-0005-0000-0000-000021290000}"/>
    <cellStyle name="Normal 2 62 8 6 2" xfId="24817" xr:uid="{00000000-0005-0000-0000-000022290000}"/>
    <cellStyle name="Normal 2 62 8 7" xfId="7067" xr:uid="{00000000-0005-0000-0000-000023290000}"/>
    <cellStyle name="Normal 2 62 8 7 2" xfId="24818" xr:uid="{00000000-0005-0000-0000-000024290000}"/>
    <cellStyle name="Normal 2 62 8 8" xfId="7068" xr:uid="{00000000-0005-0000-0000-000025290000}"/>
    <cellStyle name="Normal 2 62 8 8 2" xfId="24819" xr:uid="{00000000-0005-0000-0000-000026290000}"/>
    <cellStyle name="Normal 2 62 8 9" xfId="7069" xr:uid="{00000000-0005-0000-0000-000027290000}"/>
    <cellStyle name="Normal 2 62 8 9 2" xfId="24820" xr:uid="{00000000-0005-0000-0000-000028290000}"/>
    <cellStyle name="Normal 2 62 9" xfId="7070" xr:uid="{00000000-0005-0000-0000-000029290000}"/>
    <cellStyle name="Normal 2 62 9 10" xfId="7071" xr:uid="{00000000-0005-0000-0000-00002A290000}"/>
    <cellStyle name="Normal 2 62 9 10 2" xfId="24822" xr:uid="{00000000-0005-0000-0000-00002B290000}"/>
    <cellStyle name="Normal 2 62 9 11" xfId="7072" xr:uid="{00000000-0005-0000-0000-00002C290000}"/>
    <cellStyle name="Normal 2 62 9 11 2" xfId="24823" xr:uid="{00000000-0005-0000-0000-00002D290000}"/>
    <cellStyle name="Normal 2 62 9 12" xfId="7073" xr:uid="{00000000-0005-0000-0000-00002E290000}"/>
    <cellStyle name="Normal 2 62 9 12 2" xfId="24824" xr:uid="{00000000-0005-0000-0000-00002F290000}"/>
    <cellStyle name="Normal 2 62 9 13" xfId="7074" xr:uid="{00000000-0005-0000-0000-000030290000}"/>
    <cellStyle name="Normal 2 62 9 13 2" xfId="24825" xr:uid="{00000000-0005-0000-0000-000031290000}"/>
    <cellStyle name="Normal 2 62 9 14" xfId="7075" xr:uid="{00000000-0005-0000-0000-000032290000}"/>
    <cellStyle name="Normal 2 62 9 14 2" xfId="24826" xr:uid="{00000000-0005-0000-0000-000033290000}"/>
    <cellStyle name="Normal 2 62 9 15" xfId="24821" xr:uid="{00000000-0005-0000-0000-000034290000}"/>
    <cellStyle name="Normal 2 62 9 2" xfId="7076" xr:uid="{00000000-0005-0000-0000-000035290000}"/>
    <cellStyle name="Normal 2 62 9 2 2" xfId="24827" xr:uid="{00000000-0005-0000-0000-000036290000}"/>
    <cellStyle name="Normal 2 62 9 3" xfId="7077" xr:uid="{00000000-0005-0000-0000-000037290000}"/>
    <cellStyle name="Normal 2 62 9 3 2" xfId="24828" xr:uid="{00000000-0005-0000-0000-000038290000}"/>
    <cellStyle name="Normal 2 62 9 4" xfId="7078" xr:uid="{00000000-0005-0000-0000-000039290000}"/>
    <cellStyle name="Normal 2 62 9 4 2" xfId="24829" xr:uid="{00000000-0005-0000-0000-00003A290000}"/>
    <cellStyle name="Normal 2 62 9 5" xfId="7079" xr:uid="{00000000-0005-0000-0000-00003B290000}"/>
    <cellStyle name="Normal 2 62 9 5 2" xfId="24830" xr:uid="{00000000-0005-0000-0000-00003C290000}"/>
    <cellStyle name="Normal 2 62 9 6" xfId="7080" xr:uid="{00000000-0005-0000-0000-00003D290000}"/>
    <cellStyle name="Normal 2 62 9 6 2" xfId="24831" xr:uid="{00000000-0005-0000-0000-00003E290000}"/>
    <cellStyle name="Normal 2 62 9 7" xfId="7081" xr:uid="{00000000-0005-0000-0000-00003F290000}"/>
    <cellStyle name="Normal 2 62 9 7 2" xfId="24832" xr:uid="{00000000-0005-0000-0000-000040290000}"/>
    <cellStyle name="Normal 2 62 9 8" xfId="7082" xr:uid="{00000000-0005-0000-0000-000041290000}"/>
    <cellStyle name="Normal 2 62 9 8 2" xfId="24833" xr:uid="{00000000-0005-0000-0000-000042290000}"/>
    <cellStyle name="Normal 2 62 9 9" xfId="7083" xr:uid="{00000000-0005-0000-0000-000043290000}"/>
    <cellStyle name="Normal 2 62 9 9 2" xfId="24834" xr:uid="{00000000-0005-0000-0000-000044290000}"/>
    <cellStyle name="Normal 2 63" xfId="7084" xr:uid="{00000000-0005-0000-0000-000045290000}"/>
    <cellStyle name="Normal 2 64" xfId="7085" xr:uid="{00000000-0005-0000-0000-000046290000}"/>
    <cellStyle name="Normal 2 65" xfId="7086" xr:uid="{00000000-0005-0000-0000-000047290000}"/>
    <cellStyle name="Normal 2 66" xfId="7087" xr:uid="{00000000-0005-0000-0000-000048290000}"/>
    <cellStyle name="Normal 2 66 10" xfId="7088" xr:uid="{00000000-0005-0000-0000-000049290000}"/>
    <cellStyle name="Normal 2 66 10 2" xfId="24836" xr:uid="{00000000-0005-0000-0000-00004A290000}"/>
    <cellStyle name="Normal 2 66 11" xfId="7089" xr:uid="{00000000-0005-0000-0000-00004B290000}"/>
    <cellStyle name="Normal 2 66 11 2" xfId="24837" xr:uid="{00000000-0005-0000-0000-00004C290000}"/>
    <cellStyle name="Normal 2 66 12" xfId="7090" xr:uid="{00000000-0005-0000-0000-00004D290000}"/>
    <cellStyle name="Normal 2 66 12 2" xfId="24838" xr:uid="{00000000-0005-0000-0000-00004E290000}"/>
    <cellStyle name="Normal 2 66 13" xfId="7091" xr:uid="{00000000-0005-0000-0000-00004F290000}"/>
    <cellStyle name="Normal 2 66 13 2" xfId="24839" xr:uid="{00000000-0005-0000-0000-000050290000}"/>
    <cellStyle name="Normal 2 66 14" xfId="7092" xr:uid="{00000000-0005-0000-0000-000051290000}"/>
    <cellStyle name="Normal 2 66 14 2" xfId="24840" xr:uid="{00000000-0005-0000-0000-000052290000}"/>
    <cellStyle name="Normal 2 66 15" xfId="7093" xr:uid="{00000000-0005-0000-0000-000053290000}"/>
    <cellStyle name="Normal 2 66 15 2" xfId="24841" xr:uid="{00000000-0005-0000-0000-000054290000}"/>
    <cellStyle name="Normal 2 66 16" xfId="24835" xr:uid="{00000000-0005-0000-0000-000055290000}"/>
    <cellStyle name="Normal 2 66 2" xfId="7094" xr:uid="{00000000-0005-0000-0000-000056290000}"/>
    <cellStyle name="Normal 2 66 2 10" xfId="7095" xr:uid="{00000000-0005-0000-0000-000057290000}"/>
    <cellStyle name="Normal 2 66 2 10 2" xfId="24843" xr:uid="{00000000-0005-0000-0000-000058290000}"/>
    <cellStyle name="Normal 2 66 2 11" xfId="7096" xr:uid="{00000000-0005-0000-0000-000059290000}"/>
    <cellStyle name="Normal 2 66 2 11 2" xfId="24844" xr:uid="{00000000-0005-0000-0000-00005A290000}"/>
    <cellStyle name="Normal 2 66 2 12" xfId="7097" xr:uid="{00000000-0005-0000-0000-00005B290000}"/>
    <cellStyle name="Normal 2 66 2 12 2" xfId="24845" xr:uid="{00000000-0005-0000-0000-00005C290000}"/>
    <cellStyle name="Normal 2 66 2 13" xfId="7098" xr:uid="{00000000-0005-0000-0000-00005D290000}"/>
    <cellStyle name="Normal 2 66 2 13 2" xfId="24846" xr:uid="{00000000-0005-0000-0000-00005E290000}"/>
    <cellStyle name="Normal 2 66 2 14" xfId="7099" xr:uid="{00000000-0005-0000-0000-00005F290000}"/>
    <cellStyle name="Normal 2 66 2 14 2" xfId="24847" xr:uid="{00000000-0005-0000-0000-000060290000}"/>
    <cellStyle name="Normal 2 66 2 15" xfId="24842" xr:uid="{00000000-0005-0000-0000-000061290000}"/>
    <cellStyle name="Normal 2 66 2 2" xfId="7100" xr:uid="{00000000-0005-0000-0000-000062290000}"/>
    <cellStyle name="Normal 2 66 2 2 2" xfId="24848" xr:uid="{00000000-0005-0000-0000-000063290000}"/>
    <cellStyle name="Normal 2 66 2 3" xfId="7101" xr:uid="{00000000-0005-0000-0000-000064290000}"/>
    <cellStyle name="Normal 2 66 2 3 2" xfId="24849" xr:uid="{00000000-0005-0000-0000-000065290000}"/>
    <cellStyle name="Normal 2 66 2 4" xfId="7102" xr:uid="{00000000-0005-0000-0000-000066290000}"/>
    <cellStyle name="Normal 2 66 2 4 2" xfId="24850" xr:uid="{00000000-0005-0000-0000-000067290000}"/>
    <cellStyle name="Normal 2 66 2 5" xfId="7103" xr:uid="{00000000-0005-0000-0000-000068290000}"/>
    <cellStyle name="Normal 2 66 2 5 2" xfId="24851" xr:uid="{00000000-0005-0000-0000-000069290000}"/>
    <cellStyle name="Normal 2 66 2 6" xfId="7104" xr:uid="{00000000-0005-0000-0000-00006A290000}"/>
    <cellStyle name="Normal 2 66 2 6 2" xfId="24852" xr:uid="{00000000-0005-0000-0000-00006B290000}"/>
    <cellStyle name="Normal 2 66 2 7" xfId="7105" xr:uid="{00000000-0005-0000-0000-00006C290000}"/>
    <cellStyle name="Normal 2 66 2 7 2" xfId="24853" xr:uid="{00000000-0005-0000-0000-00006D290000}"/>
    <cellStyle name="Normal 2 66 2 8" xfId="7106" xr:uid="{00000000-0005-0000-0000-00006E290000}"/>
    <cellStyle name="Normal 2 66 2 8 2" xfId="24854" xr:uid="{00000000-0005-0000-0000-00006F290000}"/>
    <cellStyle name="Normal 2 66 2 9" xfId="7107" xr:uid="{00000000-0005-0000-0000-000070290000}"/>
    <cellStyle name="Normal 2 66 2 9 2" xfId="24855" xr:uid="{00000000-0005-0000-0000-000071290000}"/>
    <cellStyle name="Normal 2 66 3" xfId="7108" xr:uid="{00000000-0005-0000-0000-000072290000}"/>
    <cellStyle name="Normal 2 66 3 2" xfId="24856" xr:uid="{00000000-0005-0000-0000-000073290000}"/>
    <cellStyle name="Normal 2 66 4" xfId="7109" xr:uid="{00000000-0005-0000-0000-000074290000}"/>
    <cellStyle name="Normal 2 66 4 2" xfId="24857" xr:uid="{00000000-0005-0000-0000-000075290000}"/>
    <cellStyle name="Normal 2 66 5" xfId="7110" xr:uid="{00000000-0005-0000-0000-000076290000}"/>
    <cellStyle name="Normal 2 66 5 2" xfId="24858" xr:uid="{00000000-0005-0000-0000-000077290000}"/>
    <cellStyle name="Normal 2 66 6" xfId="7111" xr:uid="{00000000-0005-0000-0000-000078290000}"/>
    <cellStyle name="Normal 2 66 6 2" xfId="24859" xr:uid="{00000000-0005-0000-0000-000079290000}"/>
    <cellStyle name="Normal 2 66 7" xfId="7112" xr:uid="{00000000-0005-0000-0000-00007A290000}"/>
    <cellStyle name="Normal 2 66 7 2" xfId="24860" xr:uid="{00000000-0005-0000-0000-00007B290000}"/>
    <cellStyle name="Normal 2 66 8" xfId="7113" xr:uid="{00000000-0005-0000-0000-00007C290000}"/>
    <cellStyle name="Normal 2 66 8 2" xfId="24861" xr:uid="{00000000-0005-0000-0000-00007D290000}"/>
    <cellStyle name="Normal 2 66 9" xfId="7114" xr:uid="{00000000-0005-0000-0000-00007E290000}"/>
    <cellStyle name="Normal 2 66 9 2" xfId="24862" xr:uid="{00000000-0005-0000-0000-00007F290000}"/>
    <cellStyle name="Normal 2 67" xfId="7115" xr:uid="{00000000-0005-0000-0000-000080290000}"/>
    <cellStyle name="Normal 2 67 10" xfId="7116" xr:uid="{00000000-0005-0000-0000-000081290000}"/>
    <cellStyle name="Normal 2 67 10 2" xfId="24864" xr:uid="{00000000-0005-0000-0000-000082290000}"/>
    <cellStyle name="Normal 2 67 11" xfId="7117" xr:uid="{00000000-0005-0000-0000-000083290000}"/>
    <cellStyle name="Normal 2 67 11 2" xfId="24865" xr:uid="{00000000-0005-0000-0000-000084290000}"/>
    <cellStyle name="Normal 2 67 12" xfId="7118" xr:uid="{00000000-0005-0000-0000-000085290000}"/>
    <cellStyle name="Normal 2 67 12 2" xfId="24866" xr:uid="{00000000-0005-0000-0000-000086290000}"/>
    <cellStyle name="Normal 2 67 13" xfId="7119" xr:uid="{00000000-0005-0000-0000-000087290000}"/>
    <cellStyle name="Normal 2 67 13 2" xfId="24867" xr:uid="{00000000-0005-0000-0000-000088290000}"/>
    <cellStyle name="Normal 2 67 14" xfId="7120" xr:uid="{00000000-0005-0000-0000-000089290000}"/>
    <cellStyle name="Normal 2 67 14 2" xfId="24868" xr:uid="{00000000-0005-0000-0000-00008A290000}"/>
    <cellStyle name="Normal 2 67 15" xfId="7121" xr:uid="{00000000-0005-0000-0000-00008B290000}"/>
    <cellStyle name="Normal 2 67 15 2" xfId="24869" xr:uid="{00000000-0005-0000-0000-00008C290000}"/>
    <cellStyle name="Normal 2 67 16" xfId="24863" xr:uid="{00000000-0005-0000-0000-00008D290000}"/>
    <cellStyle name="Normal 2 67 2" xfId="7122" xr:uid="{00000000-0005-0000-0000-00008E290000}"/>
    <cellStyle name="Normal 2 67 2 10" xfId="7123" xr:uid="{00000000-0005-0000-0000-00008F290000}"/>
    <cellStyle name="Normal 2 67 2 10 2" xfId="24871" xr:uid="{00000000-0005-0000-0000-000090290000}"/>
    <cellStyle name="Normal 2 67 2 11" xfId="7124" xr:uid="{00000000-0005-0000-0000-000091290000}"/>
    <cellStyle name="Normal 2 67 2 11 2" xfId="24872" xr:uid="{00000000-0005-0000-0000-000092290000}"/>
    <cellStyle name="Normal 2 67 2 12" xfId="7125" xr:uid="{00000000-0005-0000-0000-000093290000}"/>
    <cellStyle name="Normal 2 67 2 12 2" xfId="24873" xr:uid="{00000000-0005-0000-0000-000094290000}"/>
    <cellStyle name="Normal 2 67 2 13" xfId="7126" xr:uid="{00000000-0005-0000-0000-000095290000}"/>
    <cellStyle name="Normal 2 67 2 13 2" xfId="24874" xr:uid="{00000000-0005-0000-0000-000096290000}"/>
    <cellStyle name="Normal 2 67 2 14" xfId="7127" xr:uid="{00000000-0005-0000-0000-000097290000}"/>
    <cellStyle name="Normal 2 67 2 14 2" xfId="24875" xr:uid="{00000000-0005-0000-0000-000098290000}"/>
    <cellStyle name="Normal 2 67 2 15" xfId="24870" xr:uid="{00000000-0005-0000-0000-000099290000}"/>
    <cellStyle name="Normal 2 67 2 2" xfId="7128" xr:uid="{00000000-0005-0000-0000-00009A290000}"/>
    <cellStyle name="Normal 2 67 2 2 2" xfId="24876" xr:uid="{00000000-0005-0000-0000-00009B290000}"/>
    <cellStyle name="Normal 2 67 2 3" xfId="7129" xr:uid="{00000000-0005-0000-0000-00009C290000}"/>
    <cellStyle name="Normal 2 67 2 3 2" xfId="24877" xr:uid="{00000000-0005-0000-0000-00009D290000}"/>
    <cellStyle name="Normal 2 67 2 4" xfId="7130" xr:uid="{00000000-0005-0000-0000-00009E290000}"/>
    <cellStyle name="Normal 2 67 2 4 2" xfId="24878" xr:uid="{00000000-0005-0000-0000-00009F290000}"/>
    <cellStyle name="Normal 2 67 2 5" xfId="7131" xr:uid="{00000000-0005-0000-0000-0000A0290000}"/>
    <cellStyle name="Normal 2 67 2 5 2" xfId="24879" xr:uid="{00000000-0005-0000-0000-0000A1290000}"/>
    <cellStyle name="Normal 2 67 2 6" xfId="7132" xr:uid="{00000000-0005-0000-0000-0000A2290000}"/>
    <cellStyle name="Normal 2 67 2 6 2" xfId="24880" xr:uid="{00000000-0005-0000-0000-0000A3290000}"/>
    <cellStyle name="Normal 2 67 2 7" xfId="7133" xr:uid="{00000000-0005-0000-0000-0000A4290000}"/>
    <cellStyle name="Normal 2 67 2 7 2" xfId="24881" xr:uid="{00000000-0005-0000-0000-0000A5290000}"/>
    <cellStyle name="Normal 2 67 2 8" xfId="7134" xr:uid="{00000000-0005-0000-0000-0000A6290000}"/>
    <cellStyle name="Normal 2 67 2 8 2" xfId="24882" xr:uid="{00000000-0005-0000-0000-0000A7290000}"/>
    <cellStyle name="Normal 2 67 2 9" xfId="7135" xr:uid="{00000000-0005-0000-0000-0000A8290000}"/>
    <cellStyle name="Normal 2 67 2 9 2" xfId="24883" xr:uid="{00000000-0005-0000-0000-0000A9290000}"/>
    <cellStyle name="Normal 2 67 3" xfId="7136" xr:uid="{00000000-0005-0000-0000-0000AA290000}"/>
    <cellStyle name="Normal 2 67 3 2" xfId="24884" xr:uid="{00000000-0005-0000-0000-0000AB290000}"/>
    <cellStyle name="Normal 2 67 4" xfId="7137" xr:uid="{00000000-0005-0000-0000-0000AC290000}"/>
    <cellStyle name="Normal 2 67 4 2" xfId="24885" xr:uid="{00000000-0005-0000-0000-0000AD290000}"/>
    <cellStyle name="Normal 2 67 5" xfId="7138" xr:uid="{00000000-0005-0000-0000-0000AE290000}"/>
    <cellStyle name="Normal 2 67 5 2" xfId="24886" xr:uid="{00000000-0005-0000-0000-0000AF290000}"/>
    <cellStyle name="Normal 2 67 6" xfId="7139" xr:uid="{00000000-0005-0000-0000-0000B0290000}"/>
    <cellStyle name="Normal 2 67 6 2" xfId="24887" xr:uid="{00000000-0005-0000-0000-0000B1290000}"/>
    <cellStyle name="Normal 2 67 7" xfId="7140" xr:uid="{00000000-0005-0000-0000-0000B2290000}"/>
    <cellStyle name="Normal 2 67 7 2" xfId="24888" xr:uid="{00000000-0005-0000-0000-0000B3290000}"/>
    <cellStyle name="Normal 2 67 8" xfId="7141" xr:uid="{00000000-0005-0000-0000-0000B4290000}"/>
    <cellStyle name="Normal 2 67 8 2" xfId="24889" xr:uid="{00000000-0005-0000-0000-0000B5290000}"/>
    <cellStyle name="Normal 2 67 9" xfId="7142" xr:uid="{00000000-0005-0000-0000-0000B6290000}"/>
    <cellStyle name="Normal 2 67 9 2" xfId="24890" xr:uid="{00000000-0005-0000-0000-0000B7290000}"/>
    <cellStyle name="Normal 2 68" xfId="7143" xr:uid="{00000000-0005-0000-0000-0000B8290000}"/>
    <cellStyle name="Normal 2 68 10" xfId="7144" xr:uid="{00000000-0005-0000-0000-0000B9290000}"/>
    <cellStyle name="Normal 2 68 10 2" xfId="24892" xr:uid="{00000000-0005-0000-0000-0000BA290000}"/>
    <cellStyle name="Normal 2 68 11" xfId="7145" xr:uid="{00000000-0005-0000-0000-0000BB290000}"/>
    <cellStyle name="Normal 2 68 11 2" xfId="24893" xr:uid="{00000000-0005-0000-0000-0000BC290000}"/>
    <cellStyle name="Normal 2 68 12" xfId="7146" xr:uid="{00000000-0005-0000-0000-0000BD290000}"/>
    <cellStyle name="Normal 2 68 12 2" xfId="24894" xr:uid="{00000000-0005-0000-0000-0000BE290000}"/>
    <cellStyle name="Normal 2 68 13" xfId="7147" xr:uid="{00000000-0005-0000-0000-0000BF290000}"/>
    <cellStyle name="Normal 2 68 13 2" xfId="24895" xr:uid="{00000000-0005-0000-0000-0000C0290000}"/>
    <cellStyle name="Normal 2 68 14" xfId="7148" xr:uid="{00000000-0005-0000-0000-0000C1290000}"/>
    <cellStyle name="Normal 2 68 14 2" xfId="24896" xr:uid="{00000000-0005-0000-0000-0000C2290000}"/>
    <cellStyle name="Normal 2 68 15" xfId="7149" xr:uid="{00000000-0005-0000-0000-0000C3290000}"/>
    <cellStyle name="Normal 2 68 15 2" xfId="24897" xr:uid="{00000000-0005-0000-0000-0000C4290000}"/>
    <cellStyle name="Normal 2 68 16" xfId="24891" xr:uid="{00000000-0005-0000-0000-0000C5290000}"/>
    <cellStyle name="Normal 2 68 2" xfId="7150" xr:uid="{00000000-0005-0000-0000-0000C6290000}"/>
    <cellStyle name="Normal 2 68 2 10" xfId="7151" xr:uid="{00000000-0005-0000-0000-0000C7290000}"/>
    <cellStyle name="Normal 2 68 2 10 2" xfId="24899" xr:uid="{00000000-0005-0000-0000-0000C8290000}"/>
    <cellStyle name="Normal 2 68 2 11" xfId="7152" xr:uid="{00000000-0005-0000-0000-0000C9290000}"/>
    <cellStyle name="Normal 2 68 2 11 2" xfId="24900" xr:uid="{00000000-0005-0000-0000-0000CA290000}"/>
    <cellStyle name="Normal 2 68 2 12" xfId="7153" xr:uid="{00000000-0005-0000-0000-0000CB290000}"/>
    <cellStyle name="Normal 2 68 2 12 2" xfId="24901" xr:uid="{00000000-0005-0000-0000-0000CC290000}"/>
    <cellStyle name="Normal 2 68 2 13" xfId="7154" xr:uid="{00000000-0005-0000-0000-0000CD290000}"/>
    <cellStyle name="Normal 2 68 2 13 2" xfId="24902" xr:uid="{00000000-0005-0000-0000-0000CE290000}"/>
    <cellStyle name="Normal 2 68 2 14" xfId="7155" xr:uid="{00000000-0005-0000-0000-0000CF290000}"/>
    <cellStyle name="Normal 2 68 2 14 2" xfId="24903" xr:uid="{00000000-0005-0000-0000-0000D0290000}"/>
    <cellStyle name="Normal 2 68 2 15" xfId="24898" xr:uid="{00000000-0005-0000-0000-0000D1290000}"/>
    <cellStyle name="Normal 2 68 2 2" xfId="7156" xr:uid="{00000000-0005-0000-0000-0000D2290000}"/>
    <cellStyle name="Normal 2 68 2 2 2" xfId="24904" xr:uid="{00000000-0005-0000-0000-0000D3290000}"/>
    <cellStyle name="Normal 2 68 2 3" xfId="7157" xr:uid="{00000000-0005-0000-0000-0000D4290000}"/>
    <cellStyle name="Normal 2 68 2 3 2" xfId="24905" xr:uid="{00000000-0005-0000-0000-0000D5290000}"/>
    <cellStyle name="Normal 2 68 2 4" xfId="7158" xr:uid="{00000000-0005-0000-0000-0000D6290000}"/>
    <cellStyle name="Normal 2 68 2 4 2" xfId="24906" xr:uid="{00000000-0005-0000-0000-0000D7290000}"/>
    <cellStyle name="Normal 2 68 2 5" xfId="7159" xr:uid="{00000000-0005-0000-0000-0000D8290000}"/>
    <cellStyle name="Normal 2 68 2 5 2" xfId="24907" xr:uid="{00000000-0005-0000-0000-0000D9290000}"/>
    <cellStyle name="Normal 2 68 2 6" xfId="7160" xr:uid="{00000000-0005-0000-0000-0000DA290000}"/>
    <cellStyle name="Normal 2 68 2 6 2" xfId="24908" xr:uid="{00000000-0005-0000-0000-0000DB290000}"/>
    <cellStyle name="Normal 2 68 2 7" xfId="7161" xr:uid="{00000000-0005-0000-0000-0000DC290000}"/>
    <cellStyle name="Normal 2 68 2 7 2" xfId="24909" xr:uid="{00000000-0005-0000-0000-0000DD290000}"/>
    <cellStyle name="Normal 2 68 2 8" xfId="7162" xr:uid="{00000000-0005-0000-0000-0000DE290000}"/>
    <cellStyle name="Normal 2 68 2 8 2" xfId="24910" xr:uid="{00000000-0005-0000-0000-0000DF290000}"/>
    <cellStyle name="Normal 2 68 2 9" xfId="7163" xr:uid="{00000000-0005-0000-0000-0000E0290000}"/>
    <cellStyle name="Normal 2 68 2 9 2" xfId="24911" xr:uid="{00000000-0005-0000-0000-0000E1290000}"/>
    <cellStyle name="Normal 2 68 3" xfId="7164" xr:uid="{00000000-0005-0000-0000-0000E2290000}"/>
    <cellStyle name="Normal 2 68 3 2" xfId="24912" xr:uid="{00000000-0005-0000-0000-0000E3290000}"/>
    <cellStyle name="Normal 2 68 4" xfId="7165" xr:uid="{00000000-0005-0000-0000-0000E4290000}"/>
    <cellStyle name="Normal 2 68 4 2" xfId="24913" xr:uid="{00000000-0005-0000-0000-0000E5290000}"/>
    <cellStyle name="Normal 2 68 5" xfId="7166" xr:uid="{00000000-0005-0000-0000-0000E6290000}"/>
    <cellStyle name="Normal 2 68 5 2" xfId="24914" xr:uid="{00000000-0005-0000-0000-0000E7290000}"/>
    <cellStyle name="Normal 2 68 6" xfId="7167" xr:uid="{00000000-0005-0000-0000-0000E8290000}"/>
    <cellStyle name="Normal 2 68 6 2" xfId="24915" xr:uid="{00000000-0005-0000-0000-0000E9290000}"/>
    <cellStyle name="Normal 2 68 7" xfId="7168" xr:uid="{00000000-0005-0000-0000-0000EA290000}"/>
    <cellStyle name="Normal 2 68 7 2" xfId="24916" xr:uid="{00000000-0005-0000-0000-0000EB290000}"/>
    <cellStyle name="Normal 2 68 8" xfId="7169" xr:uid="{00000000-0005-0000-0000-0000EC290000}"/>
    <cellStyle name="Normal 2 68 8 2" xfId="24917" xr:uid="{00000000-0005-0000-0000-0000ED290000}"/>
    <cellStyle name="Normal 2 68 9" xfId="7170" xr:uid="{00000000-0005-0000-0000-0000EE290000}"/>
    <cellStyle name="Normal 2 68 9 2" xfId="24918" xr:uid="{00000000-0005-0000-0000-0000EF290000}"/>
    <cellStyle name="Normal 2 69" xfId="7171" xr:uid="{00000000-0005-0000-0000-0000F0290000}"/>
    <cellStyle name="Normal 2 69 10" xfId="7172" xr:uid="{00000000-0005-0000-0000-0000F1290000}"/>
    <cellStyle name="Normal 2 69 10 2" xfId="24920" xr:uid="{00000000-0005-0000-0000-0000F2290000}"/>
    <cellStyle name="Normal 2 69 11" xfId="7173" xr:uid="{00000000-0005-0000-0000-0000F3290000}"/>
    <cellStyle name="Normal 2 69 11 2" xfId="24921" xr:uid="{00000000-0005-0000-0000-0000F4290000}"/>
    <cellStyle name="Normal 2 69 12" xfId="7174" xr:uid="{00000000-0005-0000-0000-0000F5290000}"/>
    <cellStyle name="Normal 2 69 12 2" xfId="24922" xr:uid="{00000000-0005-0000-0000-0000F6290000}"/>
    <cellStyle name="Normal 2 69 13" xfId="7175" xr:uid="{00000000-0005-0000-0000-0000F7290000}"/>
    <cellStyle name="Normal 2 69 13 2" xfId="24923" xr:uid="{00000000-0005-0000-0000-0000F8290000}"/>
    <cellStyle name="Normal 2 69 14" xfId="7176" xr:uid="{00000000-0005-0000-0000-0000F9290000}"/>
    <cellStyle name="Normal 2 69 14 2" xfId="24924" xr:uid="{00000000-0005-0000-0000-0000FA290000}"/>
    <cellStyle name="Normal 2 69 15" xfId="24919" xr:uid="{00000000-0005-0000-0000-0000FB290000}"/>
    <cellStyle name="Normal 2 69 2" xfId="7177" xr:uid="{00000000-0005-0000-0000-0000FC290000}"/>
    <cellStyle name="Normal 2 69 2 2" xfId="24925" xr:uid="{00000000-0005-0000-0000-0000FD290000}"/>
    <cellStyle name="Normal 2 69 3" xfId="7178" xr:uid="{00000000-0005-0000-0000-0000FE290000}"/>
    <cellStyle name="Normal 2 69 3 2" xfId="24926" xr:uid="{00000000-0005-0000-0000-0000FF290000}"/>
    <cellStyle name="Normal 2 69 4" xfId="7179" xr:uid="{00000000-0005-0000-0000-0000002A0000}"/>
    <cellStyle name="Normal 2 69 4 2" xfId="24927" xr:uid="{00000000-0005-0000-0000-0000012A0000}"/>
    <cellStyle name="Normal 2 69 5" xfId="7180" xr:uid="{00000000-0005-0000-0000-0000022A0000}"/>
    <cellStyle name="Normal 2 69 5 2" xfId="24928" xr:uid="{00000000-0005-0000-0000-0000032A0000}"/>
    <cellStyle name="Normal 2 69 6" xfId="7181" xr:uid="{00000000-0005-0000-0000-0000042A0000}"/>
    <cellStyle name="Normal 2 69 6 2" xfId="24929" xr:uid="{00000000-0005-0000-0000-0000052A0000}"/>
    <cellStyle name="Normal 2 69 7" xfId="7182" xr:uid="{00000000-0005-0000-0000-0000062A0000}"/>
    <cellStyle name="Normal 2 69 7 2" xfId="24930" xr:uid="{00000000-0005-0000-0000-0000072A0000}"/>
    <cellStyle name="Normal 2 69 8" xfId="7183" xr:uid="{00000000-0005-0000-0000-0000082A0000}"/>
    <cellStyle name="Normal 2 69 8 2" xfId="24931" xr:uid="{00000000-0005-0000-0000-0000092A0000}"/>
    <cellStyle name="Normal 2 69 9" xfId="7184" xr:uid="{00000000-0005-0000-0000-00000A2A0000}"/>
    <cellStyle name="Normal 2 69 9 2" xfId="24932" xr:uid="{00000000-0005-0000-0000-00000B2A0000}"/>
    <cellStyle name="Normal 2 7" xfId="303" xr:uid="{00000000-0005-0000-0000-00000C2A0000}"/>
    <cellStyle name="Normal 2 7 2" xfId="387" xr:uid="{00000000-0005-0000-0000-00000D2A0000}"/>
    <cellStyle name="Normal 2 7 2 2" xfId="579" xr:uid="{00000000-0005-0000-0000-00000E2A0000}"/>
    <cellStyle name="Normal 2 7 2 2 2" xfId="7188" xr:uid="{00000000-0005-0000-0000-00000F2A0000}"/>
    <cellStyle name="Normal 2 7 2 2 3" xfId="7187" xr:uid="{00000000-0005-0000-0000-0000102A0000}"/>
    <cellStyle name="Normal 2 7 2 3" xfId="7189" xr:uid="{00000000-0005-0000-0000-0000112A0000}"/>
    <cellStyle name="Normal 2 7 2 3 2" xfId="7190" xr:uid="{00000000-0005-0000-0000-0000122A0000}"/>
    <cellStyle name="Normal 2 7 2 4" xfId="7191" xr:uid="{00000000-0005-0000-0000-0000132A0000}"/>
    <cellStyle name="Normal 2 7 2 4 2" xfId="7192" xr:uid="{00000000-0005-0000-0000-0000142A0000}"/>
    <cellStyle name="Normal 2 7 2 5" xfId="7193" xr:uid="{00000000-0005-0000-0000-0000152A0000}"/>
    <cellStyle name="Normal 2 7 2 5 2" xfId="7194" xr:uid="{00000000-0005-0000-0000-0000162A0000}"/>
    <cellStyle name="Normal 2 7 2 6" xfId="7195" xr:uid="{00000000-0005-0000-0000-0000172A0000}"/>
    <cellStyle name="Normal 2 7 2 6 2" xfId="7196" xr:uid="{00000000-0005-0000-0000-0000182A0000}"/>
    <cellStyle name="Normal 2 7 2 7" xfId="7197" xr:uid="{00000000-0005-0000-0000-0000192A0000}"/>
    <cellStyle name="Normal 2 7 2 7 2" xfId="7198" xr:uid="{00000000-0005-0000-0000-00001A2A0000}"/>
    <cellStyle name="Normal 2 7 2 8" xfId="7186" xr:uid="{00000000-0005-0000-0000-00001B2A0000}"/>
    <cellStyle name="Normal 2 7 3" xfId="520" xr:uid="{00000000-0005-0000-0000-00001C2A0000}"/>
    <cellStyle name="Normal 2 7 3 2" xfId="7199" xr:uid="{00000000-0005-0000-0000-00001D2A0000}"/>
    <cellStyle name="Normal 2 7 4" xfId="7200" xr:uid="{00000000-0005-0000-0000-00001E2A0000}"/>
    <cellStyle name="Normal 2 7 5" xfId="7201" xr:uid="{00000000-0005-0000-0000-00001F2A0000}"/>
    <cellStyle name="Normal 2 7 6" xfId="7202" xr:uid="{00000000-0005-0000-0000-0000202A0000}"/>
    <cellStyle name="Normal 2 7 7" xfId="7203" xr:uid="{00000000-0005-0000-0000-0000212A0000}"/>
    <cellStyle name="Normal 2 7 8" xfId="7204" xr:uid="{00000000-0005-0000-0000-0000222A0000}"/>
    <cellStyle name="Normal 2 7 9" xfId="7185" xr:uid="{00000000-0005-0000-0000-0000232A0000}"/>
    <cellStyle name="Normal 2 70" xfId="7205" xr:uid="{00000000-0005-0000-0000-0000242A0000}"/>
    <cellStyle name="Normal 2 70 10" xfId="7206" xr:uid="{00000000-0005-0000-0000-0000252A0000}"/>
    <cellStyle name="Normal 2 70 10 2" xfId="24934" xr:uid="{00000000-0005-0000-0000-0000262A0000}"/>
    <cellStyle name="Normal 2 70 11" xfId="7207" xr:uid="{00000000-0005-0000-0000-0000272A0000}"/>
    <cellStyle name="Normal 2 70 11 2" xfId="24935" xr:uid="{00000000-0005-0000-0000-0000282A0000}"/>
    <cellStyle name="Normal 2 70 12" xfId="7208" xr:uid="{00000000-0005-0000-0000-0000292A0000}"/>
    <cellStyle name="Normal 2 70 12 2" xfId="24936" xr:uid="{00000000-0005-0000-0000-00002A2A0000}"/>
    <cellStyle name="Normal 2 70 13" xfId="7209" xr:uid="{00000000-0005-0000-0000-00002B2A0000}"/>
    <cellStyle name="Normal 2 70 13 2" xfId="24937" xr:uid="{00000000-0005-0000-0000-00002C2A0000}"/>
    <cellStyle name="Normal 2 70 14" xfId="7210" xr:uid="{00000000-0005-0000-0000-00002D2A0000}"/>
    <cellStyle name="Normal 2 70 14 2" xfId="24938" xr:uid="{00000000-0005-0000-0000-00002E2A0000}"/>
    <cellStyle name="Normal 2 70 15" xfId="24933" xr:uid="{00000000-0005-0000-0000-00002F2A0000}"/>
    <cellStyle name="Normal 2 70 2" xfId="7211" xr:uid="{00000000-0005-0000-0000-0000302A0000}"/>
    <cellStyle name="Normal 2 70 2 2" xfId="24939" xr:uid="{00000000-0005-0000-0000-0000312A0000}"/>
    <cellStyle name="Normal 2 70 3" xfId="7212" xr:uid="{00000000-0005-0000-0000-0000322A0000}"/>
    <cellStyle name="Normal 2 70 3 2" xfId="24940" xr:uid="{00000000-0005-0000-0000-0000332A0000}"/>
    <cellStyle name="Normal 2 70 4" xfId="7213" xr:uid="{00000000-0005-0000-0000-0000342A0000}"/>
    <cellStyle name="Normal 2 70 4 2" xfId="24941" xr:uid="{00000000-0005-0000-0000-0000352A0000}"/>
    <cellStyle name="Normal 2 70 5" xfId="7214" xr:uid="{00000000-0005-0000-0000-0000362A0000}"/>
    <cellStyle name="Normal 2 70 5 2" xfId="24942" xr:uid="{00000000-0005-0000-0000-0000372A0000}"/>
    <cellStyle name="Normal 2 70 6" xfId="7215" xr:uid="{00000000-0005-0000-0000-0000382A0000}"/>
    <cellStyle name="Normal 2 70 6 2" xfId="24943" xr:uid="{00000000-0005-0000-0000-0000392A0000}"/>
    <cellStyle name="Normal 2 70 7" xfId="7216" xr:uid="{00000000-0005-0000-0000-00003A2A0000}"/>
    <cellStyle name="Normal 2 70 7 2" xfId="24944" xr:uid="{00000000-0005-0000-0000-00003B2A0000}"/>
    <cellStyle name="Normal 2 70 8" xfId="7217" xr:uid="{00000000-0005-0000-0000-00003C2A0000}"/>
    <cellStyle name="Normal 2 70 8 2" xfId="24945" xr:uid="{00000000-0005-0000-0000-00003D2A0000}"/>
    <cellStyle name="Normal 2 70 9" xfId="7218" xr:uid="{00000000-0005-0000-0000-00003E2A0000}"/>
    <cellStyle name="Normal 2 70 9 2" xfId="24946" xr:uid="{00000000-0005-0000-0000-00003F2A0000}"/>
    <cellStyle name="Normal 2 71" xfId="7219" xr:uid="{00000000-0005-0000-0000-0000402A0000}"/>
    <cellStyle name="Normal 2 71 10" xfId="7220" xr:uid="{00000000-0005-0000-0000-0000412A0000}"/>
    <cellStyle name="Normal 2 71 10 2" xfId="24948" xr:uid="{00000000-0005-0000-0000-0000422A0000}"/>
    <cellStyle name="Normal 2 71 11" xfId="7221" xr:uid="{00000000-0005-0000-0000-0000432A0000}"/>
    <cellStyle name="Normal 2 71 11 2" xfId="24949" xr:uid="{00000000-0005-0000-0000-0000442A0000}"/>
    <cellStyle name="Normal 2 71 12" xfId="7222" xr:uid="{00000000-0005-0000-0000-0000452A0000}"/>
    <cellStyle name="Normal 2 71 12 2" xfId="24950" xr:uid="{00000000-0005-0000-0000-0000462A0000}"/>
    <cellStyle name="Normal 2 71 13" xfId="7223" xr:uid="{00000000-0005-0000-0000-0000472A0000}"/>
    <cellStyle name="Normal 2 71 13 2" xfId="24951" xr:uid="{00000000-0005-0000-0000-0000482A0000}"/>
    <cellStyle name="Normal 2 71 14" xfId="7224" xr:uid="{00000000-0005-0000-0000-0000492A0000}"/>
    <cellStyle name="Normal 2 71 14 2" xfId="24952" xr:uid="{00000000-0005-0000-0000-00004A2A0000}"/>
    <cellStyle name="Normal 2 71 15" xfId="24947" xr:uid="{00000000-0005-0000-0000-00004B2A0000}"/>
    <cellStyle name="Normal 2 71 2" xfId="7225" xr:uid="{00000000-0005-0000-0000-00004C2A0000}"/>
    <cellStyle name="Normal 2 71 2 2" xfId="24953" xr:uid="{00000000-0005-0000-0000-00004D2A0000}"/>
    <cellStyle name="Normal 2 71 3" xfId="7226" xr:uid="{00000000-0005-0000-0000-00004E2A0000}"/>
    <cellStyle name="Normal 2 71 3 2" xfId="24954" xr:uid="{00000000-0005-0000-0000-00004F2A0000}"/>
    <cellStyle name="Normal 2 71 4" xfId="7227" xr:uid="{00000000-0005-0000-0000-0000502A0000}"/>
    <cellStyle name="Normal 2 71 4 2" xfId="24955" xr:uid="{00000000-0005-0000-0000-0000512A0000}"/>
    <cellStyle name="Normal 2 71 5" xfId="7228" xr:uid="{00000000-0005-0000-0000-0000522A0000}"/>
    <cellStyle name="Normal 2 71 5 2" xfId="24956" xr:uid="{00000000-0005-0000-0000-0000532A0000}"/>
    <cellStyle name="Normal 2 71 6" xfId="7229" xr:uid="{00000000-0005-0000-0000-0000542A0000}"/>
    <cellStyle name="Normal 2 71 6 2" xfId="24957" xr:uid="{00000000-0005-0000-0000-0000552A0000}"/>
    <cellStyle name="Normal 2 71 7" xfId="7230" xr:uid="{00000000-0005-0000-0000-0000562A0000}"/>
    <cellStyle name="Normal 2 71 7 2" xfId="24958" xr:uid="{00000000-0005-0000-0000-0000572A0000}"/>
    <cellStyle name="Normal 2 71 8" xfId="7231" xr:uid="{00000000-0005-0000-0000-0000582A0000}"/>
    <cellStyle name="Normal 2 71 8 2" xfId="24959" xr:uid="{00000000-0005-0000-0000-0000592A0000}"/>
    <cellStyle name="Normal 2 71 9" xfId="7232" xr:uid="{00000000-0005-0000-0000-00005A2A0000}"/>
    <cellStyle name="Normal 2 71 9 2" xfId="24960" xr:uid="{00000000-0005-0000-0000-00005B2A0000}"/>
    <cellStyle name="Normal 2 72" xfId="7233" xr:uid="{00000000-0005-0000-0000-00005C2A0000}"/>
    <cellStyle name="Normal 2 72 10" xfId="7234" xr:uid="{00000000-0005-0000-0000-00005D2A0000}"/>
    <cellStyle name="Normal 2 72 10 2" xfId="24962" xr:uid="{00000000-0005-0000-0000-00005E2A0000}"/>
    <cellStyle name="Normal 2 72 11" xfId="7235" xr:uid="{00000000-0005-0000-0000-00005F2A0000}"/>
    <cellStyle name="Normal 2 72 11 2" xfId="24963" xr:uid="{00000000-0005-0000-0000-0000602A0000}"/>
    <cellStyle name="Normal 2 72 12" xfId="7236" xr:uid="{00000000-0005-0000-0000-0000612A0000}"/>
    <cellStyle name="Normal 2 72 12 2" xfId="24964" xr:uid="{00000000-0005-0000-0000-0000622A0000}"/>
    <cellStyle name="Normal 2 72 13" xfId="7237" xr:uid="{00000000-0005-0000-0000-0000632A0000}"/>
    <cellStyle name="Normal 2 72 13 2" xfId="24965" xr:uid="{00000000-0005-0000-0000-0000642A0000}"/>
    <cellStyle name="Normal 2 72 14" xfId="7238" xr:uid="{00000000-0005-0000-0000-0000652A0000}"/>
    <cellStyle name="Normal 2 72 14 2" xfId="24966" xr:uid="{00000000-0005-0000-0000-0000662A0000}"/>
    <cellStyle name="Normal 2 72 15" xfId="24961" xr:uid="{00000000-0005-0000-0000-0000672A0000}"/>
    <cellStyle name="Normal 2 72 2" xfId="7239" xr:uid="{00000000-0005-0000-0000-0000682A0000}"/>
    <cellStyle name="Normal 2 72 2 2" xfId="24967" xr:uid="{00000000-0005-0000-0000-0000692A0000}"/>
    <cellStyle name="Normal 2 72 3" xfId="7240" xr:uid="{00000000-0005-0000-0000-00006A2A0000}"/>
    <cellStyle name="Normal 2 72 3 2" xfId="24968" xr:uid="{00000000-0005-0000-0000-00006B2A0000}"/>
    <cellStyle name="Normal 2 72 4" xfId="7241" xr:uid="{00000000-0005-0000-0000-00006C2A0000}"/>
    <cellStyle name="Normal 2 72 4 2" xfId="24969" xr:uid="{00000000-0005-0000-0000-00006D2A0000}"/>
    <cellStyle name="Normal 2 72 5" xfId="7242" xr:uid="{00000000-0005-0000-0000-00006E2A0000}"/>
    <cellStyle name="Normal 2 72 5 2" xfId="24970" xr:uid="{00000000-0005-0000-0000-00006F2A0000}"/>
    <cellStyle name="Normal 2 72 6" xfId="7243" xr:uid="{00000000-0005-0000-0000-0000702A0000}"/>
    <cellStyle name="Normal 2 72 6 2" xfId="24971" xr:uid="{00000000-0005-0000-0000-0000712A0000}"/>
    <cellStyle name="Normal 2 72 7" xfId="7244" xr:uid="{00000000-0005-0000-0000-0000722A0000}"/>
    <cellStyle name="Normal 2 72 7 2" xfId="24972" xr:uid="{00000000-0005-0000-0000-0000732A0000}"/>
    <cellStyle name="Normal 2 72 8" xfId="7245" xr:uid="{00000000-0005-0000-0000-0000742A0000}"/>
    <cellStyle name="Normal 2 72 8 2" xfId="24973" xr:uid="{00000000-0005-0000-0000-0000752A0000}"/>
    <cellStyle name="Normal 2 72 9" xfId="7246" xr:uid="{00000000-0005-0000-0000-0000762A0000}"/>
    <cellStyle name="Normal 2 72 9 2" xfId="24974" xr:uid="{00000000-0005-0000-0000-0000772A0000}"/>
    <cellStyle name="Normal 2 73" xfId="7247" xr:uid="{00000000-0005-0000-0000-0000782A0000}"/>
    <cellStyle name="Normal 2 73 10" xfId="7248" xr:uid="{00000000-0005-0000-0000-0000792A0000}"/>
    <cellStyle name="Normal 2 73 10 2" xfId="24976" xr:uid="{00000000-0005-0000-0000-00007A2A0000}"/>
    <cellStyle name="Normal 2 73 11" xfId="7249" xr:uid="{00000000-0005-0000-0000-00007B2A0000}"/>
    <cellStyle name="Normal 2 73 11 2" xfId="24977" xr:uid="{00000000-0005-0000-0000-00007C2A0000}"/>
    <cellStyle name="Normal 2 73 12" xfId="7250" xr:uid="{00000000-0005-0000-0000-00007D2A0000}"/>
    <cellStyle name="Normal 2 73 12 2" xfId="24978" xr:uid="{00000000-0005-0000-0000-00007E2A0000}"/>
    <cellStyle name="Normal 2 73 13" xfId="7251" xr:uid="{00000000-0005-0000-0000-00007F2A0000}"/>
    <cellStyle name="Normal 2 73 13 2" xfId="24979" xr:uid="{00000000-0005-0000-0000-0000802A0000}"/>
    <cellStyle name="Normal 2 73 14" xfId="7252" xr:uid="{00000000-0005-0000-0000-0000812A0000}"/>
    <cellStyle name="Normal 2 73 14 2" xfId="24980" xr:uid="{00000000-0005-0000-0000-0000822A0000}"/>
    <cellStyle name="Normal 2 73 15" xfId="24975" xr:uid="{00000000-0005-0000-0000-0000832A0000}"/>
    <cellStyle name="Normal 2 73 2" xfId="7253" xr:uid="{00000000-0005-0000-0000-0000842A0000}"/>
    <cellStyle name="Normal 2 73 2 2" xfId="24981" xr:uid="{00000000-0005-0000-0000-0000852A0000}"/>
    <cellStyle name="Normal 2 73 3" xfId="7254" xr:uid="{00000000-0005-0000-0000-0000862A0000}"/>
    <cellStyle name="Normal 2 73 3 2" xfId="24982" xr:uid="{00000000-0005-0000-0000-0000872A0000}"/>
    <cellStyle name="Normal 2 73 4" xfId="7255" xr:uid="{00000000-0005-0000-0000-0000882A0000}"/>
    <cellStyle name="Normal 2 73 4 2" xfId="24983" xr:uid="{00000000-0005-0000-0000-0000892A0000}"/>
    <cellStyle name="Normal 2 73 5" xfId="7256" xr:uid="{00000000-0005-0000-0000-00008A2A0000}"/>
    <cellStyle name="Normal 2 73 5 2" xfId="24984" xr:uid="{00000000-0005-0000-0000-00008B2A0000}"/>
    <cellStyle name="Normal 2 73 6" xfId="7257" xr:uid="{00000000-0005-0000-0000-00008C2A0000}"/>
    <cellStyle name="Normal 2 73 6 2" xfId="24985" xr:uid="{00000000-0005-0000-0000-00008D2A0000}"/>
    <cellStyle name="Normal 2 73 7" xfId="7258" xr:uid="{00000000-0005-0000-0000-00008E2A0000}"/>
    <cellStyle name="Normal 2 73 7 2" xfId="24986" xr:uid="{00000000-0005-0000-0000-00008F2A0000}"/>
    <cellStyle name="Normal 2 73 8" xfId="7259" xr:uid="{00000000-0005-0000-0000-0000902A0000}"/>
    <cellStyle name="Normal 2 73 8 2" xfId="24987" xr:uid="{00000000-0005-0000-0000-0000912A0000}"/>
    <cellStyle name="Normal 2 73 9" xfId="7260" xr:uid="{00000000-0005-0000-0000-0000922A0000}"/>
    <cellStyle name="Normal 2 73 9 2" xfId="24988" xr:uid="{00000000-0005-0000-0000-0000932A0000}"/>
    <cellStyle name="Normal 2 74" xfId="7261" xr:uid="{00000000-0005-0000-0000-0000942A0000}"/>
    <cellStyle name="Normal 2 74 10" xfId="7262" xr:uid="{00000000-0005-0000-0000-0000952A0000}"/>
    <cellStyle name="Normal 2 74 10 2" xfId="24990" xr:uid="{00000000-0005-0000-0000-0000962A0000}"/>
    <cellStyle name="Normal 2 74 11" xfId="7263" xr:uid="{00000000-0005-0000-0000-0000972A0000}"/>
    <cellStyle name="Normal 2 74 11 2" xfId="24991" xr:uid="{00000000-0005-0000-0000-0000982A0000}"/>
    <cellStyle name="Normal 2 74 12" xfId="7264" xr:uid="{00000000-0005-0000-0000-0000992A0000}"/>
    <cellStyle name="Normal 2 74 12 2" xfId="24992" xr:uid="{00000000-0005-0000-0000-00009A2A0000}"/>
    <cellStyle name="Normal 2 74 13" xfId="7265" xr:uid="{00000000-0005-0000-0000-00009B2A0000}"/>
    <cellStyle name="Normal 2 74 13 2" xfId="24993" xr:uid="{00000000-0005-0000-0000-00009C2A0000}"/>
    <cellStyle name="Normal 2 74 14" xfId="7266" xr:uid="{00000000-0005-0000-0000-00009D2A0000}"/>
    <cellStyle name="Normal 2 74 14 2" xfId="24994" xr:uid="{00000000-0005-0000-0000-00009E2A0000}"/>
    <cellStyle name="Normal 2 74 15" xfId="24989" xr:uid="{00000000-0005-0000-0000-00009F2A0000}"/>
    <cellStyle name="Normal 2 74 2" xfId="7267" xr:uid="{00000000-0005-0000-0000-0000A02A0000}"/>
    <cellStyle name="Normal 2 74 2 2" xfId="24995" xr:uid="{00000000-0005-0000-0000-0000A12A0000}"/>
    <cellStyle name="Normal 2 74 3" xfId="7268" xr:uid="{00000000-0005-0000-0000-0000A22A0000}"/>
    <cellStyle name="Normal 2 74 3 2" xfId="24996" xr:uid="{00000000-0005-0000-0000-0000A32A0000}"/>
    <cellStyle name="Normal 2 74 4" xfId="7269" xr:uid="{00000000-0005-0000-0000-0000A42A0000}"/>
    <cellStyle name="Normal 2 74 4 2" xfId="24997" xr:uid="{00000000-0005-0000-0000-0000A52A0000}"/>
    <cellStyle name="Normal 2 74 5" xfId="7270" xr:uid="{00000000-0005-0000-0000-0000A62A0000}"/>
    <cellStyle name="Normal 2 74 5 2" xfId="24998" xr:uid="{00000000-0005-0000-0000-0000A72A0000}"/>
    <cellStyle name="Normal 2 74 6" xfId="7271" xr:uid="{00000000-0005-0000-0000-0000A82A0000}"/>
    <cellStyle name="Normal 2 74 6 2" xfId="24999" xr:uid="{00000000-0005-0000-0000-0000A92A0000}"/>
    <cellStyle name="Normal 2 74 7" xfId="7272" xr:uid="{00000000-0005-0000-0000-0000AA2A0000}"/>
    <cellStyle name="Normal 2 74 7 2" xfId="25000" xr:uid="{00000000-0005-0000-0000-0000AB2A0000}"/>
    <cellStyle name="Normal 2 74 8" xfId="7273" xr:uid="{00000000-0005-0000-0000-0000AC2A0000}"/>
    <cellStyle name="Normal 2 74 8 2" xfId="25001" xr:uid="{00000000-0005-0000-0000-0000AD2A0000}"/>
    <cellStyle name="Normal 2 74 9" xfId="7274" xr:uid="{00000000-0005-0000-0000-0000AE2A0000}"/>
    <cellStyle name="Normal 2 74 9 2" xfId="25002" xr:uid="{00000000-0005-0000-0000-0000AF2A0000}"/>
    <cellStyle name="Normal 2 75" xfId="7275" xr:uid="{00000000-0005-0000-0000-0000B02A0000}"/>
    <cellStyle name="Normal 2 75 10" xfId="7276" xr:uid="{00000000-0005-0000-0000-0000B12A0000}"/>
    <cellStyle name="Normal 2 75 10 2" xfId="25004" xr:uid="{00000000-0005-0000-0000-0000B22A0000}"/>
    <cellStyle name="Normal 2 75 11" xfId="7277" xr:uid="{00000000-0005-0000-0000-0000B32A0000}"/>
    <cellStyle name="Normal 2 75 11 2" xfId="25005" xr:uid="{00000000-0005-0000-0000-0000B42A0000}"/>
    <cellStyle name="Normal 2 75 12" xfId="7278" xr:uid="{00000000-0005-0000-0000-0000B52A0000}"/>
    <cellStyle name="Normal 2 75 12 2" xfId="25006" xr:uid="{00000000-0005-0000-0000-0000B62A0000}"/>
    <cellStyle name="Normal 2 75 13" xfId="7279" xr:uid="{00000000-0005-0000-0000-0000B72A0000}"/>
    <cellStyle name="Normal 2 75 13 2" xfId="25007" xr:uid="{00000000-0005-0000-0000-0000B82A0000}"/>
    <cellStyle name="Normal 2 75 14" xfId="7280" xr:uid="{00000000-0005-0000-0000-0000B92A0000}"/>
    <cellStyle name="Normal 2 75 14 2" xfId="25008" xr:uid="{00000000-0005-0000-0000-0000BA2A0000}"/>
    <cellStyle name="Normal 2 75 15" xfId="25003" xr:uid="{00000000-0005-0000-0000-0000BB2A0000}"/>
    <cellStyle name="Normal 2 75 2" xfId="7281" xr:uid="{00000000-0005-0000-0000-0000BC2A0000}"/>
    <cellStyle name="Normal 2 75 2 2" xfId="25009" xr:uid="{00000000-0005-0000-0000-0000BD2A0000}"/>
    <cellStyle name="Normal 2 75 3" xfId="7282" xr:uid="{00000000-0005-0000-0000-0000BE2A0000}"/>
    <cellStyle name="Normal 2 75 3 2" xfId="25010" xr:uid="{00000000-0005-0000-0000-0000BF2A0000}"/>
    <cellStyle name="Normal 2 75 4" xfId="7283" xr:uid="{00000000-0005-0000-0000-0000C02A0000}"/>
    <cellStyle name="Normal 2 75 4 2" xfId="25011" xr:uid="{00000000-0005-0000-0000-0000C12A0000}"/>
    <cellStyle name="Normal 2 75 5" xfId="7284" xr:uid="{00000000-0005-0000-0000-0000C22A0000}"/>
    <cellStyle name="Normal 2 75 5 2" xfId="25012" xr:uid="{00000000-0005-0000-0000-0000C32A0000}"/>
    <cellStyle name="Normal 2 75 6" xfId="7285" xr:uid="{00000000-0005-0000-0000-0000C42A0000}"/>
    <cellStyle name="Normal 2 75 6 2" xfId="25013" xr:uid="{00000000-0005-0000-0000-0000C52A0000}"/>
    <cellStyle name="Normal 2 75 7" xfId="7286" xr:uid="{00000000-0005-0000-0000-0000C62A0000}"/>
    <cellStyle name="Normal 2 75 7 2" xfId="25014" xr:uid="{00000000-0005-0000-0000-0000C72A0000}"/>
    <cellStyle name="Normal 2 75 8" xfId="7287" xr:uid="{00000000-0005-0000-0000-0000C82A0000}"/>
    <cellStyle name="Normal 2 75 8 2" xfId="25015" xr:uid="{00000000-0005-0000-0000-0000C92A0000}"/>
    <cellStyle name="Normal 2 75 9" xfId="7288" xr:uid="{00000000-0005-0000-0000-0000CA2A0000}"/>
    <cellStyle name="Normal 2 75 9 2" xfId="25016" xr:uid="{00000000-0005-0000-0000-0000CB2A0000}"/>
    <cellStyle name="Normal 2 76" xfId="7289" xr:uid="{00000000-0005-0000-0000-0000CC2A0000}"/>
    <cellStyle name="Normal 2 76 10" xfId="7290" xr:uid="{00000000-0005-0000-0000-0000CD2A0000}"/>
    <cellStyle name="Normal 2 76 10 2" xfId="25018" xr:uid="{00000000-0005-0000-0000-0000CE2A0000}"/>
    <cellStyle name="Normal 2 76 11" xfId="7291" xr:uid="{00000000-0005-0000-0000-0000CF2A0000}"/>
    <cellStyle name="Normal 2 76 11 2" xfId="25019" xr:uid="{00000000-0005-0000-0000-0000D02A0000}"/>
    <cellStyle name="Normal 2 76 12" xfId="7292" xr:uid="{00000000-0005-0000-0000-0000D12A0000}"/>
    <cellStyle name="Normal 2 76 12 2" xfId="25020" xr:uid="{00000000-0005-0000-0000-0000D22A0000}"/>
    <cellStyle name="Normal 2 76 13" xfId="7293" xr:uid="{00000000-0005-0000-0000-0000D32A0000}"/>
    <cellStyle name="Normal 2 76 13 2" xfId="25021" xr:uid="{00000000-0005-0000-0000-0000D42A0000}"/>
    <cellStyle name="Normal 2 76 14" xfId="7294" xr:uid="{00000000-0005-0000-0000-0000D52A0000}"/>
    <cellStyle name="Normal 2 76 14 2" xfId="25022" xr:uid="{00000000-0005-0000-0000-0000D62A0000}"/>
    <cellStyle name="Normal 2 76 15" xfId="25017" xr:uid="{00000000-0005-0000-0000-0000D72A0000}"/>
    <cellStyle name="Normal 2 76 2" xfId="7295" xr:uid="{00000000-0005-0000-0000-0000D82A0000}"/>
    <cellStyle name="Normal 2 76 2 2" xfId="25023" xr:uid="{00000000-0005-0000-0000-0000D92A0000}"/>
    <cellStyle name="Normal 2 76 3" xfId="7296" xr:uid="{00000000-0005-0000-0000-0000DA2A0000}"/>
    <cellStyle name="Normal 2 76 3 2" xfId="25024" xr:uid="{00000000-0005-0000-0000-0000DB2A0000}"/>
    <cellStyle name="Normal 2 76 4" xfId="7297" xr:uid="{00000000-0005-0000-0000-0000DC2A0000}"/>
    <cellStyle name="Normal 2 76 4 2" xfId="25025" xr:uid="{00000000-0005-0000-0000-0000DD2A0000}"/>
    <cellStyle name="Normal 2 76 5" xfId="7298" xr:uid="{00000000-0005-0000-0000-0000DE2A0000}"/>
    <cellStyle name="Normal 2 76 5 2" xfId="25026" xr:uid="{00000000-0005-0000-0000-0000DF2A0000}"/>
    <cellStyle name="Normal 2 76 6" xfId="7299" xr:uid="{00000000-0005-0000-0000-0000E02A0000}"/>
    <cellStyle name="Normal 2 76 6 2" xfId="25027" xr:uid="{00000000-0005-0000-0000-0000E12A0000}"/>
    <cellStyle name="Normal 2 76 7" xfId="7300" xr:uid="{00000000-0005-0000-0000-0000E22A0000}"/>
    <cellStyle name="Normal 2 76 7 2" xfId="25028" xr:uid="{00000000-0005-0000-0000-0000E32A0000}"/>
    <cellStyle name="Normal 2 76 8" xfId="7301" xr:uid="{00000000-0005-0000-0000-0000E42A0000}"/>
    <cellStyle name="Normal 2 76 8 2" xfId="25029" xr:uid="{00000000-0005-0000-0000-0000E52A0000}"/>
    <cellStyle name="Normal 2 76 9" xfId="7302" xr:uid="{00000000-0005-0000-0000-0000E62A0000}"/>
    <cellStyle name="Normal 2 76 9 2" xfId="25030" xr:uid="{00000000-0005-0000-0000-0000E72A0000}"/>
    <cellStyle name="Normal 2 77" xfId="7303" xr:uid="{00000000-0005-0000-0000-0000E82A0000}"/>
    <cellStyle name="Normal 2 77 10" xfId="7304" xr:uid="{00000000-0005-0000-0000-0000E92A0000}"/>
    <cellStyle name="Normal 2 77 10 2" xfId="25032" xr:uid="{00000000-0005-0000-0000-0000EA2A0000}"/>
    <cellStyle name="Normal 2 77 11" xfId="7305" xr:uid="{00000000-0005-0000-0000-0000EB2A0000}"/>
    <cellStyle name="Normal 2 77 11 2" xfId="25033" xr:uid="{00000000-0005-0000-0000-0000EC2A0000}"/>
    <cellStyle name="Normal 2 77 12" xfId="7306" xr:uid="{00000000-0005-0000-0000-0000ED2A0000}"/>
    <cellStyle name="Normal 2 77 12 2" xfId="25034" xr:uid="{00000000-0005-0000-0000-0000EE2A0000}"/>
    <cellStyle name="Normal 2 77 13" xfId="7307" xr:uid="{00000000-0005-0000-0000-0000EF2A0000}"/>
    <cellStyle name="Normal 2 77 13 2" xfId="25035" xr:uid="{00000000-0005-0000-0000-0000F02A0000}"/>
    <cellStyle name="Normal 2 77 14" xfId="7308" xr:uid="{00000000-0005-0000-0000-0000F12A0000}"/>
    <cellStyle name="Normal 2 77 14 2" xfId="25036" xr:uid="{00000000-0005-0000-0000-0000F22A0000}"/>
    <cellStyle name="Normal 2 77 15" xfId="25031" xr:uid="{00000000-0005-0000-0000-0000F32A0000}"/>
    <cellStyle name="Normal 2 77 2" xfId="7309" xr:uid="{00000000-0005-0000-0000-0000F42A0000}"/>
    <cellStyle name="Normal 2 77 2 2" xfId="25037" xr:uid="{00000000-0005-0000-0000-0000F52A0000}"/>
    <cellStyle name="Normal 2 77 3" xfId="7310" xr:uid="{00000000-0005-0000-0000-0000F62A0000}"/>
    <cellStyle name="Normal 2 77 3 2" xfId="25038" xr:uid="{00000000-0005-0000-0000-0000F72A0000}"/>
    <cellStyle name="Normal 2 77 4" xfId="7311" xr:uid="{00000000-0005-0000-0000-0000F82A0000}"/>
    <cellStyle name="Normal 2 77 4 2" xfId="25039" xr:uid="{00000000-0005-0000-0000-0000F92A0000}"/>
    <cellStyle name="Normal 2 77 5" xfId="7312" xr:uid="{00000000-0005-0000-0000-0000FA2A0000}"/>
    <cellStyle name="Normal 2 77 5 2" xfId="25040" xr:uid="{00000000-0005-0000-0000-0000FB2A0000}"/>
    <cellStyle name="Normal 2 77 6" xfId="7313" xr:uid="{00000000-0005-0000-0000-0000FC2A0000}"/>
    <cellStyle name="Normal 2 77 6 2" xfId="25041" xr:uid="{00000000-0005-0000-0000-0000FD2A0000}"/>
    <cellStyle name="Normal 2 77 7" xfId="7314" xr:uid="{00000000-0005-0000-0000-0000FE2A0000}"/>
    <cellStyle name="Normal 2 77 7 2" xfId="25042" xr:uid="{00000000-0005-0000-0000-0000FF2A0000}"/>
    <cellStyle name="Normal 2 77 8" xfId="7315" xr:uid="{00000000-0005-0000-0000-0000002B0000}"/>
    <cellStyle name="Normal 2 77 8 2" xfId="25043" xr:uid="{00000000-0005-0000-0000-0000012B0000}"/>
    <cellStyle name="Normal 2 77 9" xfId="7316" xr:uid="{00000000-0005-0000-0000-0000022B0000}"/>
    <cellStyle name="Normal 2 77 9 2" xfId="25044" xr:uid="{00000000-0005-0000-0000-0000032B0000}"/>
    <cellStyle name="Normal 2 78" xfId="7317" xr:uid="{00000000-0005-0000-0000-0000042B0000}"/>
    <cellStyle name="Normal 2 78 10" xfId="7318" xr:uid="{00000000-0005-0000-0000-0000052B0000}"/>
    <cellStyle name="Normal 2 78 10 2" xfId="25046" xr:uid="{00000000-0005-0000-0000-0000062B0000}"/>
    <cellStyle name="Normal 2 78 11" xfId="7319" xr:uid="{00000000-0005-0000-0000-0000072B0000}"/>
    <cellStyle name="Normal 2 78 11 2" xfId="25047" xr:uid="{00000000-0005-0000-0000-0000082B0000}"/>
    <cellStyle name="Normal 2 78 12" xfId="7320" xr:uid="{00000000-0005-0000-0000-0000092B0000}"/>
    <cellStyle name="Normal 2 78 12 2" xfId="25048" xr:uid="{00000000-0005-0000-0000-00000A2B0000}"/>
    <cellStyle name="Normal 2 78 13" xfId="7321" xr:uid="{00000000-0005-0000-0000-00000B2B0000}"/>
    <cellStyle name="Normal 2 78 13 2" xfId="25049" xr:uid="{00000000-0005-0000-0000-00000C2B0000}"/>
    <cellStyle name="Normal 2 78 14" xfId="7322" xr:uid="{00000000-0005-0000-0000-00000D2B0000}"/>
    <cellStyle name="Normal 2 78 14 2" xfId="25050" xr:uid="{00000000-0005-0000-0000-00000E2B0000}"/>
    <cellStyle name="Normal 2 78 15" xfId="25045" xr:uid="{00000000-0005-0000-0000-00000F2B0000}"/>
    <cellStyle name="Normal 2 78 2" xfId="7323" xr:uid="{00000000-0005-0000-0000-0000102B0000}"/>
    <cellStyle name="Normal 2 78 2 2" xfId="25051" xr:uid="{00000000-0005-0000-0000-0000112B0000}"/>
    <cellStyle name="Normal 2 78 3" xfId="7324" xr:uid="{00000000-0005-0000-0000-0000122B0000}"/>
    <cellStyle name="Normal 2 78 3 2" xfId="25052" xr:uid="{00000000-0005-0000-0000-0000132B0000}"/>
    <cellStyle name="Normal 2 78 4" xfId="7325" xr:uid="{00000000-0005-0000-0000-0000142B0000}"/>
    <cellStyle name="Normal 2 78 4 2" xfId="25053" xr:uid="{00000000-0005-0000-0000-0000152B0000}"/>
    <cellStyle name="Normal 2 78 5" xfId="7326" xr:uid="{00000000-0005-0000-0000-0000162B0000}"/>
    <cellStyle name="Normal 2 78 5 2" xfId="25054" xr:uid="{00000000-0005-0000-0000-0000172B0000}"/>
    <cellStyle name="Normal 2 78 6" xfId="7327" xr:uid="{00000000-0005-0000-0000-0000182B0000}"/>
    <cellStyle name="Normal 2 78 6 2" xfId="25055" xr:uid="{00000000-0005-0000-0000-0000192B0000}"/>
    <cellStyle name="Normal 2 78 7" xfId="7328" xr:uid="{00000000-0005-0000-0000-00001A2B0000}"/>
    <cellStyle name="Normal 2 78 7 2" xfId="25056" xr:uid="{00000000-0005-0000-0000-00001B2B0000}"/>
    <cellStyle name="Normal 2 78 8" xfId="7329" xr:uid="{00000000-0005-0000-0000-00001C2B0000}"/>
    <cellStyle name="Normal 2 78 8 2" xfId="25057" xr:uid="{00000000-0005-0000-0000-00001D2B0000}"/>
    <cellStyle name="Normal 2 78 9" xfId="7330" xr:uid="{00000000-0005-0000-0000-00001E2B0000}"/>
    <cellStyle name="Normal 2 78 9 2" xfId="25058" xr:uid="{00000000-0005-0000-0000-00001F2B0000}"/>
    <cellStyle name="Normal 2 79" xfId="7331" xr:uid="{00000000-0005-0000-0000-0000202B0000}"/>
    <cellStyle name="Normal 2 8" xfId="183" xr:uid="{00000000-0005-0000-0000-0000212B0000}"/>
    <cellStyle name="Normal 2 8 2" xfId="557" xr:uid="{00000000-0005-0000-0000-0000222B0000}"/>
    <cellStyle name="Normal 2 8 2 2" xfId="7334" xr:uid="{00000000-0005-0000-0000-0000232B0000}"/>
    <cellStyle name="Normal 2 8 2 3" xfId="7333" xr:uid="{00000000-0005-0000-0000-0000242B0000}"/>
    <cellStyle name="Normal 2 8 3" xfId="7335" xr:uid="{00000000-0005-0000-0000-0000252B0000}"/>
    <cellStyle name="Normal 2 8 3 2" xfId="7336" xr:uid="{00000000-0005-0000-0000-0000262B0000}"/>
    <cellStyle name="Normal 2 8 4" xfId="7337" xr:uid="{00000000-0005-0000-0000-0000272B0000}"/>
    <cellStyle name="Normal 2 8 4 2" xfId="7338" xr:uid="{00000000-0005-0000-0000-0000282B0000}"/>
    <cellStyle name="Normal 2 8 5" xfId="7339" xr:uid="{00000000-0005-0000-0000-0000292B0000}"/>
    <cellStyle name="Normal 2 8 5 2" xfId="7340" xr:uid="{00000000-0005-0000-0000-00002A2B0000}"/>
    <cellStyle name="Normal 2 8 6" xfId="7341" xr:uid="{00000000-0005-0000-0000-00002B2B0000}"/>
    <cellStyle name="Normal 2 8 6 2" xfId="7342" xr:uid="{00000000-0005-0000-0000-00002C2B0000}"/>
    <cellStyle name="Normal 2 8 7" xfId="7343" xr:uid="{00000000-0005-0000-0000-00002D2B0000}"/>
    <cellStyle name="Normal 2 8 7 2" xfId="7344" xr:uid="{00000000-0005-0000-0000-00002E2B0000}"/>
    <cellStyle name="Normal 2 8 8" xfId="7345" xr:uid="{00000000-0005-0000-0000-00002F2B0000}"/>
    <cellStyle name="Normal 2 8 9" xfId="7332" xr:uid="{00000000-0005-0000-0000-0000302B0000}"/>
    <cellStyle name="Normal 2 80" xfId="7346" xr:uid="{00000000-0005-0000-0000-0000312B0000}"/>
    <cellStyle name="Normal 2 80 10" xfId="7347" xr:uid="{00000000-0005-0000-0000-0000322B0000}"/>
    <cellStyle name="Normal 2 80 10 2" xfId="25060" xr:uid="{00000000-0005-0000-0000-0000332B0000}"/>
    <cellStyle name="Normal 2 80 11" xfId="7348" xr:uid="{00000000-0005-0000-0000-0000342B0000}"/>
    <cellStyle name="Normal 2 80 11 2" xfId="25061" xr:uid="{00000000-0005-0000-0000-0000352B0000}"/>
    <cellStyle name="Normal 2 80 12" xfId="7349" xr:uid="{00000000-0005-0000-0000-0000362B0000}"/>
    <cellStyle name="Normal 2 80 12 2" xfId="25062" xr:uid="{00000000-0005-0000-0000-0000372B0000}"/>
    <cellStyle name="Normal 2 80 13" xfId="7350" xr:uid="{00000000-0005-0000-0000-0000382B0000}"/>
    <cellStyle name="Normal 2 80 13 2" xfId="25063" xr:uid="{00000000-0005-0000-0000-0000392B0000}"/>
    <cellStyle name="Normal 2 80 14" xfId="7351" xr:uid="{00000000-0005-0000-0000-00003A2B0000}"/>
    <cellStyle name="Normal 2 80 14 2" xfId="25064" xr:uid="{00000000-0005-0000-0000-00003B2B0000}"/>
    <cellStyle name="Normal 2 80 15" xfId="25059" xr:uid="{00000000-0005-0000-0000-00003C2B0000}"/>
    <cellStyle name="Normal 2 80 2" xfId="7352" xr:uid="{00000000-0005-0000-0000-00003D2B0000}"/>
    <cellStyle name="Normal 2 80 2 2" xfId="25065" xr:uid="{00000000-0005-0000-0000-00003E2B0000}"/>
    <cellStyle name="Normal 2 80 3" xfId="7353" xr:uid="{00000000-0005-0000-0000-00003F2B0000}"/>
    <cellStyle name="Normal 2 80 3 2" xfId="25066" xr:uid="{00000000-0005-0000-0000-0000402B0000}"/>
    <cellStyle name="Normal 2 80 4" xfId="7354" xr:uid="{00000000-0005-0000-0000-0000412B0000}"/>
    <cellStyle name="Normal 2 80 4 2" xfId="25067" xr:uid="{00000000-0005-0000-0000-0000422B0000}"/>
    <cellStyle name="Normal 2 80 5" xfId="7355" xr:uid="{00000000-0005-0000-0000-0000432B0000}"/>
    <cellStyle name="Normal 2 80 5 2" xfId="25068" xr:uid="{00000000-0005-0000-0000-0000442B0000}"/>
    <cellStyle name="Normal 2 80 6" xfId="7356" xr:uid="{00000000-0005-0000-0000-0000452B0000}"/>
    <cellStyle name="Normal 2 80 6 2" xfId="25069" xr:uid="{00000000-0005-0000-0000-0000462B0000}"/>
    <cellStyle name="Normal 2 80 7" xfId="7357" xr:uid="{00000000-0005-0000-0000-0000472B0000}"/>
    <cellStyle name="Normal 2 80 7 2" xfId="25070" xr:uid="{00000000-0005-0000-0000-0000482B0000}"/>
    <cellStyle name="Normal 2 80 8" xfId="7358" xr:uid="{00000000-0005-0000-0000-0000492B0000}"/>
    <cellStyle name="Normal 2 80 8 2" xfId="25071" xr:uid="{00000000-0005-0000-0000-00004A2B0000}"/>
    <cellStyle name="Normal 2 80 9" xfId="7359" xr:uid="{00000000-0005-0000-0000-00004B2B0000}"/>
    <cellStyle name="Normal 2 80 9 2" xfId="25072" xr:uid="{00000000-0005-0000-0000-00004C2B0000}"/>
    <cellStyle name="Normal 2 81" xfId="7360" xr:uid="{00000000-0005-0000-0000-00004D2B0000}"/>
    <cellStyle name="Normal 2 81 10" xfId="7361" xr:uid="{00000000-0005-0000-0000-00004E2B0000}"/>
    <cellStyle name="Normal 2 81 10 2" xfId="25074" xr:uid="{00000000-0005-0000-0000-00004F2B0000}"/>
    <cellStyle name="Normal 2 81 11" xfId="7362" xr:uid="{00000000-0005-0000-0000-0000502B0000}"/>
    <cellStyle name="Normal 2 81 11 2" xfId="25075" xr:uid="{00000000-0005-0000-0000-0000512B0000}"/>
    <cellStyle name="Normal 2 81 12" xfId="7363" xr:uid="{00000000-0005-0000-0000-0000522B0000}"/>
    <cellStyle name="Normal 2 81 12 2" xfId="25076" xr:uid="{00000000-0005-0000-0000-0000532B0000}"/>
    <cellStyle name="Normal 2 81 13" xfId="7364" xr:uid="{00000000-0005-0000-0000-0000542B0000}"/>
    <cellStyle name="Normal 2 81 13 2" xfId="25077" xr:uid="{00000000-0005-0000-0000-0000552B0000}"/>
    <cellStyle name="Normal 2 81 14" xfId="7365" xr:uid="{00000000-0005-0000-0000-0000562B0000}"/>
    <cellStyle name="Normal 2 81 14 2" xfId="25078" xr:uid="{00000000-0005-0000-0000-0000572B0000}"/>
    <cellStyle name="Normal 2 81 15" xfId="25073" xr:uid="{00000000-0005-0000-0000-0000582B0000}"/>
    <cellStyle name="Normal 2 81 2" xfId="7366" xr:uid="{00000000-0005-0000-0000-0000592B0000}"/>
    <cellStyle name="Normal 2 81 2 2" xfId="25079" xr:uid="{00000000-0005-0000-0000-00005A2B0000}"/>
    <cellStyle name="Normal 2 81 3" xfId="7367" xr:uid="{00000000-0005-0000-0000-00005B2B0000}"/>
    <cellStyle name="Normal 2 81 3 2" xfId="25080" xr:uid="{00000000-0005-0000-0000-00005C2B0000}"/>
    <cellStyle name="Normal 2 81 4" xfId="7368" xr:uid="{00000000-0005-0000-0000-00005D2B0000}"/>
    <cellStyle name="Normal 2 81 4 2" xfId="25081" xr:uid="{00000000-0005-0000-0000-00005E2B0000}"/>
    <cellStyle name="Normal 2 81 5" xfId="7369" xr:uid="{00000000-0005-0000-0000-00005F2B0000}"/>
    <cellStyle name="Normal 2 81 5 2" xfId="25082" xr:uid="{00000000-0005-0000-0000-0000602B0000}"/>
    <cellStyle name="Normal 2 81 6" xfId="7370" xr:uid="{00000000-0005-0000-0000-0000612B0000}"/>
    <cellStyle name="Normal 2 81 6 2" xfId="25083" xr:uid="{00000000-0005-0000-0000-0000622B0000}"/>
    <cellStyle name="Normal 2 81 7" xfId="7371" xr:uid="{00000000-0005-0000-0000-0000632B0000}"/>
    <cellStyle name="Normal 2 81 7 2" xfId="25084" xr:uid="{00000000-0005-0000-0000-0000642B0000}"/>
    <cellStyle name="Normal 2 81 8" xfId="7372" xr:uid="{00000000-0005-0000-0000-0000652B0000}"/>
    <cellStyle name="Normal 2 81 8 2" xfId="25085" xr:uid="{00000000-0005-0000-0000-0000662B0000}"/>
    <cellStyle name="Normal 2 81 9" xfId="7373" xr:uid="{00000000-0005-0000-0000-0000672B0000}"/>
    <cellStyle name="Normal 2 81 9 2" xfId="25086" xr:uid="{00000000-0005-0000-0000-0000682B0000}"/>
    <cellStyle name="Normal 2 9" xfId="468" xr:uid="{00000000-0005-0000-0000-0000692B0000}"/>
    <cellStyle name="Normal 2 9 2" xfId="7375" xr:uid="{00000000-0005-0000-0000-00006A2B0000}"/>
    <cellStyle name="Normal 2 9 2 2" xfId="7376" xr:uid="{00000000-0005-0000-0000-00006B2B0000}"/>
    <cellStyle name="Normal 2 9 3" xfId="7377" xr:uid="{00000000-0005-0000-0000-00006C2B0000}"/>
    <cellStyle name="Normal 2 9 3 2" xfId="7378" xr:uid="{00000000-0005-0000-0000-00006D2B0000}"/>
    <cellStyle name="Normal 2 9 4" xfId="7379" xr:uid="{00000000-0005-0000-0000-00006E2B0000}"/>
    <cellStyle name="Normal 2 9 4 2" xfId="7380" xr:uid="{00000000-0005-0000-0000-00006F2B0000}"/>
    <cellStyle name="Normal 2 9 5" xfId="7381" xr:uid="{00000000-0005-0000-0000-0000702B0000}"/>
    <cellStyle name="Normal 2 9 5 2" xfId="7382" xr:uid="{00000000-0005-0000-0000-0000712B0000}"/>
    <cellStyle name="Normal 2 9 6" xfId="7383" xr:uid="{00000000-0005-0000-0000-0000722B0000}"/>
    <cellStyle name="Normal 2 9 6 2" xfId="7384" xr:uid="{00000000-0005-0000-0000-0000732B0000}"/>
    <cellStyle name="Normal 2 9 7" xfId="7385" xr:uid="{00000000-0005-0000-0000-0000742B0000}"/>
    <cellStyle name="Normal 2 9 7 2" xfId="7386" xr:uid="{00000000-0005-0000-0000-0000752B0000}"/>
    <cellStyle name="Normal 2 9 8" xfId="7387" xr:uid="{00000000-0005-0000-0000-0000762B0000}"/>
    <cellStyle name="Normal 2 9 9" xfId="7374" xr:uid="{00000000-0005-0000-0000-0000772B0000}"/>
    <cellStyle name="Normal 20" xfId="329" xr:uid="{00000000-0005-0000-0000-0000782B0000}"/>
    <cellStyle name="Normal 20 10" xfId="7388" xr:uid="{00000000-0005-0000-0000-0000792B0000}"/>
    <cellStyle name="Normal 20 2" xfId="463" xr:uid="{00000000-0005-0000-0000-00007A2B0000}"/>
    <cellStyle name="Normal 20 2 2" xfId="7389" xr:uid="{00000000-0005-0000-0000-00007B2B0000}"/>
    <cellStyle name="Normal 20 3" xfId="7390" xr:uid="{00000000-0005-0000-0000-00007C2B0000}"/>
    <cellStyle name="Normal 20 4" xfId="7391" xr:uid="{00000000-0005-0000-0000-00007D2B0000}"/>
    <cellStyle name="Normal 20 5" xfId="7392" xr:uid="{00000000-0005-0000-0000-00007E2B0000}"/>
    <cellStyle name="Normal 20 6" xfId="7393" xr:uid="{00000000-0005-0000-0000-00007F2B0000}"/>
    <cellStyle name="Normal 20 7" xfId="7394" xr:uid="{00000000-0005-0000-0000-0000802B0000}"/>
    <cellStyle name="Normal 20 8" xfId="7395" xr:uid="{00000000-0005-0000-0000-0000812B0000}"/>
    <cellStyle name="Normal 20 9" xfId="7396" xr:uid="{00000000-0005-0000-0000-0000822B0000}"/>
    <cellStyle name="Normal 21" xfId="332" xr:uid="{00000000-0005-0000-0000-0000832B0000}"/>
    <cellStyle name="Normal 21 10" xfId="7397" xr:uid="{00000000-0005-0000-0000-0000842B0000}"/>
    <cellStyle name="Normal 21 2" xfId="522" xr:uid="{00000000-0005-0000-0000-0000852B0000}"/>
    <cellStyle name="Normal 21 2 2" xfId="7398" xr:uid="{00000000-0005-0000-0000-0000862B0000}"/>
    <cellStyle name="Normal 21 3" xfId="7399" xr:uid="{00000000-0005-0000-0000-0000872B0000}"/>
    <cellStyle name="Normal 21 4" xfId="7400" xr:uid="{00000000-0005-0000-0000-0000882B0000}"/>
    <cellStyle name="Normal 21 5" xfId="7401" xr:uid="{00000000-0005-0000-0000-0000892B0000}"/>
    <cellStyle name="Normal 21 6" xfId="7402" xr:uid="{00000000-0005-0000-0000-00008A2B0000}"/>
    <cellStyle name="Normal 21 7" xfId="7403" xr:uid="{00000000-0005-0000-0000-00008B2B0000}"/>
    <cellStyle name="Normal 21 8" xfId="7404" xr:uid="{00000000-0005-0000-0000-00008C2B0000}"/>
    <cellStyle name="Normal 21 9" xfId="7405" xr:uid="{00000000-0005-0000-0000-00008D2B0000}"/>
    <cellStyle name="Normal 22" xfId="348" xr:uid="{00000000-0005-0000-0000-00008E2B0000}"/>
    <cellStyle name="Normal 22 2" xfId="538" xr:uid="{00000000-0005-0000-0000-00008F2B0000}"/>
    <cellStyle name="Normal 22 2 2" xfId="7407" xr:uid="{00000000-0005-0000-0000-0000902B0000}"/>
    <cellStyle name="Normal 22 3" xfId="7406" xr:uid="{00000000-0005-0000-0000-0000912B0000}"/>
    <cellStyle name="Normal 23" xfId="389" xr:uid="{00000000-0005-0000-0000-0000922B0000}"/>
    <cellStyle name="Normal 23 2" xfId="581" xr:uid="{00000000-0005-0000-0000-0000932B0000}"/>
    <cellStyle name="Normal 24" xfId="430" xr:uid="{00000000-0005-0000-0000-0000942B0000}"/>
    <cellStyle name="Normal 24 2" xfId="587" xr:uid="{00000000-0005-0000-0000-0000952B0000}"/>
    <cellStyle name="Normal 24 2 2" xfId="7409" xr:uid="{00000000-0005-0000-0000-0000962B0000}"/>
    <cellStyle name="Normal 24 3" xfId="7408" xr:uid="{00000000-0005-0000-0000-0000972B0000}"/>
    <cellStyle name="Normal 25" xfId="433" xr:uid="{00000000-0005-0000-0000-0000982B0000}"/>
    <cellStyle name="Normal 25 2" xfId="591" xr:uid="{00000000-0005-0000-0000-0000992B0000}"/>
    <cellStyle name="Normal 25 2 2" xfId="7411" xr:uid="{00000000-0005-0000-0000-00009A2B0000}"/>
    <cellStyle name="Normal 25 3" xfId="7410" xr:uid="{00000000-0005-0000-0000-00009B2B0000}"/>
    <cellStyle name="Normal 26" xfId="49" xr:uid="{00000000-0005-0000-0000-00009C2B0000}"/>
    <cellStyle name="Normal 26 2" xfId="203" xr:uid="{00000000-0005-0000-0000-00009D2B0000}"/>
    <cellStyle name="Normal 26 3" xfId="7412" xr:uid="{00000000-0005-0000-0000-00009E2B0000}"/>
    <cellStyle name="Normal 26 4" xfId="7413" xr:uid="{00000000-0005-0000-0000-00009F2B0000}"/>
    <cellStyle name="Normal 26 5" xfId="7414" xr:uid="{00000000-0005-0000-0000-0000A02B0000}"/>
    <cellStyle name="Normal 26 6" xfId="7415" xr:uid="{00000000-0005-0000-0000-0000A12B0000}"/>
    <cellStyle name="Normal 26 7" xfId="7416" xr:uid="{00000000-0005-0000-0000-0000A22B0000}"/>
    <cellStyle name="Normal 27" xfId="50" xr:uid="{00000000-0005-0000-0000-0000A32B0000}"/>
    <cellStyle name="Normal 27 2" xfId="204" xr:uid="{00000000-0005-0000-0000-0000A42B0000}"/>
    <cellStyle name="Normal 27 3" xfId="7417" xr:uid="{00000000-0005-0000-0000-0000A52B0000}"/>
    <cellStyle name="Normal 27 4" xfId="7418" xr:uid="{00000000-0005-0000-0000-0000A62B0000}"/>
    <cellStyle name="Normal 27 5" xfId="7419" xr:uid="{00000000-0005-0000-0000-0000A72B0000}"/>
    <cellStyle name="Normal 27 6" xfId="7420" xr:uid="{00000000-0005-0000-0000-0000A82B0000}"/>
    <cellStyle name="Normal 27 7" xfId="7421" xr:uid="{00000000-0005-0000-0000-0000A92B0000}"/>
    <cellStyle name="Normal 27 8" xfId="7422" xr:uid="{00000000-0005-0000-0000-0000AA2B0000}"/>
    <cellStyle name="Normal 28" xfId="51" xr:uid="{00000000-0005-0000-0000-0000AB2B0000}"/>
    <cellStyle name="Normal 28 2" xfId="223" xr:uid="{00000000-0005-0000-0000-0000AC2B0000}"/>
    <cellStyle name="Normal 28 3" xfId="7423" xr:uid="{00000000-0005-0000-0000-0000AD2B0000}"/>
    <cellStyle name="Normal 28 3 10" xfId="7424" xr:uid="{00000000-0005-0000-0000-0000AE2B0000}"/>
    <cellStyle name="Normal 28 3 10 10" xfId="7425" xr:uid="{00000000-0005-0000-0000-0000AF2B0000}"/>
    <cellStyle name="Normal 28 3 10 10 2" xfId="25089" xr:uid="{00000000-0005-0000-0000-0000B02B0000}"/>
    <cellStyle name="Normal 28 3 10 11" xfId="7426" xr:uid="{00000000-0005-0000-0000-0000B12B0000}"/>
    <cellStyle name="Normal 28 3 10 11 2" xfId="25090" xr:uid="{00000000-0005-0000-0000-0000B22B0000}"/>
    <cellStyle name="Normal 28 3 10 12" xfId="7427" xr:uid="{00000000-0005-0000-0000-0000B32B0000}"/>
    <cellStyle name="Normal 28 3 10 12 2" xfId="25091" xr:uid="{00000000-0005-0000-0000-0000B42B0000}"/>
    <cellStyle name="Normal 28 3 10 13" xfId="7428" xr:uid="{00000000-0005-0000-0000-0000B52B0000}"/>
    <cellStyle name="Normal 28 3 10 13 2" xfId="25092" xr:uid="{00000000-0005-0000-0000-0000B62B0000}"/>
    <cellStyle name="Normal 28 3 10 14" xfId="7429" xr:uid="{00000000-0005-0000-0000-0000B72B0000}"/>
    <cellStyle name="Normal 28 3 10 14 2" xfId="25093" xr:uid="{00000000-0005-0000-0000-0000B82B0000}"/>
    <cellStyle name="Normal 28 3 10 15" xfId="25088" xr:uid="{00000000-0005-0000-0000-0000B92B0000}"/>
    <cellStyle name="Normal 28 3 10 2" xfId="7430" xr:uid="{00000000-0005-0000-0000-0000BA2B0000}"/>
    <cellStyle name="Normal 28 3 10 2 2" xfId="25094" xr:uid="{00000000-0005-0000-0000-0000BB2B0000}"/>
    <cellStyle name="Normal 28 3 10 3" xfId="7431" xr:uid="{00000000-0005-0000-0000-0000BC2B0000}"/>
    <cellStyle name="Normal 28 3 10 3 2" xfId="25095" xr:uid="{00000000-0005-0000-0000-0000BD2B0000}"/>
    <cellStyle name="Normal 28 3 10 4" xfId="7432" xr:uid="{00000000-0005-0000-0000-0000BE2B0000}"/>
    <cellStyle name="Normal 28 3 10 4 2" xfId="25096" xr:uid="{00000000-0005-0000-0000-0000BF2B0000}"/>
    <cellStyle name="Normal 28 3 10 5" xfId="7433" xr:uid="{00000000-0005-0000-0000-0000C02B0000}"/>
    <cellStyle name="Normal 28 3 10 5 2" xfId="25097" xr:uid="{00000000-0005-0000-0000-0000C12B0000}"/>
    <cellStyle name="Normal 28 3 10 6" xfId="7434" xr:uid="{00000000-0005-0000-0000-0000C22B0000}"/>
    <cellStyle name="Normal 28 3 10 6 2" xfId="25098" xr:uid="{00000000-0005-0000-0000-0000C32B0000}"/>
    <cellStyle name="Normal 28 3 10 7" xfId="7435" xr:uid="{00000000-0005-0000-0000-0000C42B0000}"/>
    <cellStyle name="Normal 28 3 10 7 2" xfId="25099" xr:uid="{00000000-0005-0000-0000-0000C52B0000}"/>
    <cellStyle name="Normal 28 3 10 8" xfId="7436" xr:uid="{00000000-0005-0000-0000-0000C62B0000}"/>
    <cellStyle name="Normal 28 3 10 8 2" xfId="25100" xr:uid="{00000000-0005-0000-0000-0000C72B0000}"/>
    <cellStyle name="Normal 28 3 10 9" xfId="7437" xr:uid="{00000000-0005-0000-0000-0000C82B0000}"/>
    <cellStyle name="Normal 28 3 10 9 2" xfId="25101" xr:uid="{00000000-0005-0000-0000-0000C92B0000}"/>
    <cellStyle name="Normal 28 3 11" xfId="7438" xr:uid="{00000000-0005-0000-0000-0000CA2B0000}"/>
    <cellStyle name="Normal 28 3 11 10" xfId="7439" xr:uid="{00000000-0005-0000-0000-0000CB2B0000}"/>
    <cellStyle name="Normal 28 3 11 10 2" xfId="25103" xr:uid="{00000000-0005-0000-0000-0000CC2B0000}"/>
    <cellStyle name="Normal 28 3 11 11" xfId="7440" xr:uid="{00000000-0005-0000-0000-0000CD2B0000}"/>
    <cellStyle name="Normal 28 3 11 11 2" xfId="25104" xr:uid="{00000000-0005-0000-0000-0000CE2B0000}"/>
    <cellStyle name="Normal 28 3 11 12" xfId="7441" xr:uid="{00000000-0005-0000-0000-0000CF2B0000}"/>
    <cellStyle name="Normal 28 3 11 12 2" xfId="25105" xr:uid="{00000000-0005-0000-0000-0000D02B0000}"/>
    <cellStyle name="Normal 28 3 11 13" xfId="7442" xr:uid="{00000000-0005-0000-0000-0000D12B0000}"/>
    <cellStyle name="Normal 28 3 11 13 2" xfId="25106" xr:uid="{00000000-0005-0000-0000-0000D22B0000}"/>
    <cellStyle name="Normal 28 3 11 14" xfId="7443" xr:uid="{00000000-0005-0000-0000-0000D32B0000}"/>
    <cellStyle name="Normal 28 3 11 14 2" xfId="25107" xr:uid="{00000000-0005-0000-0000-0000D42B0000}"/>
    <cellStyle name="Normal 28 3 11 15" xfId="25102" xr:uid="{00000000-0005-0000-0000-0000D52B0000}"/>
    <cellStyle name="Normal 28 3 11 2" xfId="7444" xr:uid="{00000000-0005-0000-0000-0000D62B0000}"/>
    <cellStyle name="Normal 28 3 11 2 2" xfId="25108" xr:uid="{00000000-0005-0000-0000-0000D72B0000}"/>
    <cellStyle name="Normal 28 3 11 3" xfId="7445" xr:uid="{00000000-0005-0000-0000-0000D82B0000}"/>
    <cellStyle name="Normal 28 3 11 3 2" xfId="25109" xr:uid="{00000000-0005-0000-0000-0000D92B0000}"/>
    <cellStyle name="Normal 28 3 11 4" xfId="7446" xr:uid="{00000000-0005-0000-0000-0000DA2B0000}"/>
    <cellStyle name="Normal 28 3 11 4 2" xfId="25110" xr:uid="{00000000-0005-0000-0000-0000DB2B0000}"/>
    <cellStyle name="Normal 28 3 11 5" xfId="7447" xr:uid="{00000000-0005-0000-0000-0000DC2B0000}"/>
    <cellStyle name="Normal 28 3 11 5 2" xfId="25111" xr:uid="{00000000-0005-0000-0000-0000DD2B0000}"/>
    <cellStyle name="Normal 28 3 11 6" xfId="7448" xr:uid="{00000000-0005-0000-0000-0000DE2B0000}"/>
    <cellStyle name="Normal 28 3 11 6 2" xfId="25112" xr:uid="{00000000-0005-0000-0000-0000DF2B0000}"/>
    <cellStyle name="Normal 28 3 11 7" xfId="7449" xr:uid="{00000000-0005-0000-0000-0000E02B0000}"/>
    <cellStyle name="Normal 28 3 11 7 2" xfId="25113" xr:uid="{00000000-0005-0000-0000-0000E12B0000}"/>
    <cellStyle name="Normal 28 3 11 8" xfId="7450" xr:uid="{00000000-0005-0000-0000-0000E22B0000}"/>
    <cellStyle name="Normal 28 3 11 8 2" xfId="25114" xr:uid="{00000000-0005-0000-0000-0000E32B0000}"/>
    <cellStyle name="Normal 28 3 11 9" xfId="7451" xr:uid="{00000000-0005-0000-0000-0000E42B0000}"/>
    <cellStyle name="Normal 28 3 11 9 2" xfId="25115" xr:uid="{00000000-0005-0000-0000-0000E52B0000}"/>
    <cellStyle name="Normal 28 3 12" xfId="7452" xr:uid="{00000000-0005-0000-0000-0000E62B0000}"/>
    <cellStyle name="Normal 28 3 12 10" xfId="7453" xr:uid="{00000000-0005-0000-0000-0000E72B0000}"/>
    <cellStyle name="Normal 28 3 12 10 2" xfId="25117" xr:uid="{00000000-0005-0000-0000-0000E82B0000}"/>
    <cellStyle name="Normal 28 3 12 11" xfId="7454" xr:uid="{00000000-0005-0000-0000-0000E92B0000}"/>
    <cellStyle name="Normal 28 3 12 11 2" xfId="25118" xr:uid="{00000000-0005-0000-0000-0000EA2B0000}"/>
    <cellStyle name="Normal 28 3 12 12" xfId="7455" xr:uid="{00000000-0005-0000-0000-0000EB2B0000}"/>
    <cellStyle name="Normal 28 3 12 12 2" xfId="25119" xr:uid="{00000000-0005-0000-0000-0000EC2B0000}"/>
    <cellStyle name="Normal 28 3 12 13" xfId="7456" xr:uid="{00000000-0005-0000-0000-0000ED2B0000}"/>
    <cellStyle name="Normal 28 3 12 13 2" xfId="25120" xr:uid="{00000000-0005-0000-0000-0000EE2B0000}"/>
    <cellStyle name="Normal 28 3 12 14" xfId="7457" xr:uid="{00000000-0005-0000-0000-0000EF2B0000}"/>
    <cellStyle name="Normal 28 3 12 14 2" xfId="25121" xr:uid="{00000000-0005-0000-0000-0000F02B0000}"/>
    <cellStyle name="Normal 28 3 12 15" xfId="25116" xr:uid="{00000000-0005-0000-0000-0000F12B0000}"/>
    <cellStyle name="Normal 28 3 12 2" xfId="7458" xr:uid="{00000000-0005-0000-0000-0000F22B0000}"/>
    <cellStyle name="Normal 28 3 12 2 2" xfId="25122" xr:uid="{00000000-0005-0000-0000-0000F32B0000}"/>
    <cellStyle name="Normal 28 3 12 3" xfId="7459" xr:uid="{00000000-0005-0000-0000-0000F42B0000}"/>
    <cellStyle name="Normal 28 3 12 3 2" xfId="25123" xr:uid="{00000000-0005-0000-0000-0000F52B0000}"/>
    <cellStyle name="Normal 28 3 12 4" xfId="7460" xr:uid="{00000000-0005-0000-0000-0000F62B0000}"/>
    <cellStyle name="Normal 28 3 12 4 2" xfId="25124" xr:uid="{00000000-0005-0000-0000-0000F72B0000}"/>
    <cellStyle name="Normal 28 3 12 5" xfId="7461" xr:uid="{00000000-0005-0000-0000-0000F82B0000}"/>
    <cellStyle name="Normal 28 3 12 5 2" xfId="25125" xr:uid="{00000000-0005-0000-0000-0000F92B0000}"/>
    <cellStyle name="Normal 28 3 12 6" xfId="7462" xr:uid="{00000000-0005-0000-0000-0000FA2B0000}"/>
    <cellStyle name="Normal 28 3 12 6 2" xfId="25126" xr:uid="{00000000-0005-0000-0000-0000FB2B0000}"/>
    <cellStyle name="Normal 28 3 12 7" xfId="7463" xr:uid="{00000000-0005-0000-0000-0000FC2B0000}"/>
    <cellStyle name="Normal 28 3 12 7 2" xfId="25127" xr:uid="{00000000-0005-0000-0000-0000FD2B0000}"/>
    <cellStyle name="Normal 28 3 12 8" xfId="7464" xr:uid="{00000000-0005-0000-0000-0000FE2B0000}"/>
    <cellStyle name="Normal 28 3 12 8 2" xfId="25128" xr:uid="{00000000-0005-0000-0000-0000FF2B0000}"/>
    <cellStyle name="Normal 28 3 12 9" xfId="7465" xr:uid="{00000000-0005-0000-0000-0000002C0000}"/>
    <cellStyle name="Normal 28 3 12 9 2" xfId="25129" xr:uid="{00000000-0005-0000-0000-0000012C0000}"/>
    <cellStyle name="Normal 28 3 13" xfId="7466" xr:uid="{00000000-0005-0000-0000-0000022C0000}"/>
    <cellStyle name="Normal 28 3 13 10" xfId="7467" xr:uid="{00000000-0005-0000-0000-0000032C0000}"/>
    <cellStyle name="Normal 28 3 13 10 2" xfId="25131" xr:uid="{00000000-0005-0000-0000-0000042C0000}"/>
    <cellStyle name="Normal 28 3 13 11" xfId="7468" xr:uid="{00000000-0005-0000-0000-0000052C0000}"/>
    <cellStyle name="Normal 28 3 13 11 2" xfId="25132" xr:uid="{00000000-0005-0000-0000-0000062C0000}"/>
    <cellStyle name="Normal 28 3 13 12" xfId="7469" xr:uid="{00000000-0005-0000-0000-0000072C0000}"/>
    <cellStyle name="Normal 28 3 13 12 2" xfId="25133" xr:uid="{00000000-0005-0000-0000-0000082C0000}"/>
    <cellStyle name="Normal 28 3 13 13" xfId="7470" xr:uid="{00000000-0005-0000-0000-0000092C0000}"/>
    <cellStyle name="Normal 28 3 13 13 2" xfId="25134" xr:uid="{00000000-0005-0000-0000-00000A2C0000}"/>
    <cellStyle name="Normal 28 3 13 14" xfId="7471" xr:uid="{00000000-0005-0000-0000-00000B2C0000}"/>
    <cellStyle name="Normal 28 3 13 14 2" xfId="25135" xr:uid="{00000000-0005-0000-0000-00000C2C0000}"/>
    <cellStyle name="Normal 28 3 13 15" xfId="25130" xr:uid="{00000000-0005-0000-0000-00000D2C0000}"/>
    <cellStyle name="Normal 28 3 13 2" xfId="7472" xr:uid="{00000000-0005-0000-0000-00000E2C0000}"/>
    <cellStyle name="Normal 28 3 13 2 2" xfId="25136" xr:uid="{00000000-0005-0000-0000-00000F2C0000}"/>
    <cellStyle name="Normal 28 3 13 3" xfId="7473" xr:uid="{00000000-0005-0000-0000-0000102C0000}"/>
    <cellStyle name="Normal 28 3 13 3 2" xfId="25137" xr:uid="{00000000-0005-0000-0000-0000112C0000}"/>
    <cellStyle name="Normal 28 3 13 4" xfId="7474" xr:uid="{00000000-0005-0000-0000-0000122C0000}"/>
    <cellStyle name="Normal 28 3 13 4 2" xfId="25138" xr:uid="{00000000-0005-0000-0000-0000132C0000}"/>
    <cellStyle name="Normal 28 3 13 5" xfId="7475" xr:uid="{00000000-0005-0000-0000-0000142C0000}"/>
    <cellStyle name="Normal 28 3 13 5 2" xfId="25139" xr:uid="{00000000-0005-0000-0000-0000152C0000}"/>
    <cellStyle name="Normal 28 3 13 6" xfId="7476" xr:uid="{00000000-0005-0000-0000-0000162C0000}"/>
    <cellStyle name="Normal 28 3 13 6 2" xfId="25140" xr:uid="{00000000-0005-0000-0000-0000172C0000}"/>
    <cellStyle name="Normal 28 3 13 7" xfId="7477" xr:uid="{00000000-0005-0000-0000-0000182C0000}"/>
    <cellStyle name="Normal 28 3 13 7 2" xfId="25141" xr:uid="{00000000-0005-0000-0000-0000192C0000}"/>
    <cellStyle name="Normal 28 3 13 8" xfId="7478" xr:uid="{00000000-0005-0000-0000-00001A2C0000}"/>
    <cellStyle name="Normal 28 3 13 8 2" xfId="25142" xr:uid="{00000000-0005-0000-0000-00001B2C0000}"/>
    <cellStyle name="Normal 28 3 13 9" xfId="7479" xr:uid="{00000000-0005-0000-0000-00001C2C0000}"/>
    <cellStyle name="Normal 28 3 13 9 2" xfId="25143" xr:uid="{00000000-0005-0000-0000-00001D2C0000}"/>
    <cellStyle name="Normal 28 3 14" xfId="7480" xr:uid="{00000000-0005-0000-0000-00001E2C0000}"/>
    <cellStyle name="Normal 28 3 14 10" xfId="7481" xr:uid="{00000000-0005-0000-0000-00001F2C0000}"/>
    <cellStyle name="Normal 28 3 14 10 2" xfId="25145" xr:uid="{00000000-0005-0000-0000-0000202C0000}"/>
    <cellStyle name="Normal 28 3 14 11" xfId="7482" xr:uid="{00000000-0005-0000-0000-0000212C0000}"/>
    <cellStyle name="Normal 28 3 14 11 2" xfId="25146" xr:uid="{00000000-0005-0000-0000-0000222C0000}"/>
    <cellStyle name="Normal 28 3 14 12" xfId="7483" xr:uid="{00000000-0005-0000-0000-0000232C0000}"/>
    <cellStyle name="Normal 28 3 14 12 2" xfId="25147" xr:uid="{00000000-0005-0000-0000-0000242C0000}"/>
    <cellStyle name="Normal 28 3 14 13" xfId="7484" xr:uid="{00000000-0005-0000-0000-0000252C0000}"/>
    <cellStyle name="Normal 28 3 14 13 2" xfId="25148" xr:uid="{00000000-0005-0000-0000-0000262C0000}"/>
    <cellStyle name="Normal 28 3 14 14" xfId="7485" xr:uid="{00000000-0005-0000-0000-0000272C0000}"/>
    <cellStyle name="Normal 28 3 14 14 2" xfId="25149" xr:uid="{00000000-0005-0000-0000-0000282C0000}"/>
    <cellStyle name="Normal 28 3 14 15" xfId="25144" xr:uid="{00000000-0005-0000-0000-0000292C0000}"/>
    <cellStyle name="Normal 28 3 14 2" xfId="7486" xr:uid="{00000000-0005-0000-0000-00002A2C0000}"/>
    <cellStyle name="Normal 28 3 14 2 2" xfId="25150" xr:uid="{00000000-0005-0000-0000-00002B2C0000}"/>
    <cellStyle name="Normal 28 3 14 3" xfId="7487" xr:uid="{00000000-0005-0000-0000-00002C2C0000}"/>
    <cellStyle name="Normal 28 3 14 3 2" xfId="25151" xr:uid="{00000000-0005-0000-0000-00002D2C0000}"/>
    <cellStyle name="Normal 28 3 14 4" xfId="7488" xr:uid="{00000000-0005-0000-0000-00002E2C0000}"/>
    <cellStyle name="Normal 28 3 14 4 2" xfId="25152" xr:uid="{00000000-0005-0000-0000-00002F2C0000}"/>
    <cellStyle name="Normal 28 3 14 5" xfId="7489" xr:uid="{00000000-0005-0000-0000-0000302C0000}"/>
    <cellStyle name="Normal 28 3 14 5 2" xfId="25153" xr:uid="{00000000-0005-0000-0000-0000312C0000}"/>
    <cellStyle name="Normal 28 3 14 6" xfId="7490" xr:uid="{00000000-0005-0000-0000-0000322C0000}"/>
    <cellStyle name="Normal 28 3 14 6 2" xfId="25154" xr:uid="{00000000-0005-0000-0000-0000332C0000}"/>
    <cellStyle name="Normal 28 3 14 7" xfId="7491" xr:uid="{00000000-0005-0000-0000-0000342C0000}"/>
    <cellStyle name="Normal 28 3 14 7 2" xfId="25155" xr:uid="{00000000-0005-0000-0000-0000352C0000}"/>
    <cellStyle name="Normal 28 3 14 8" xfId="7492" xr:uid="{00000000-0005-0000-0000-0000362C0000}"/>
    <cellStyle name="Normal 28 3 14 8 2" xfId="25156" xr:uid="{00000000-0005-0000-0000-0000372C0000}"/>
    <cellStyle name="Normal 28 3 14 9" xfId="7493" xr:uid="{00000000-0005-0000-0000-0000382C0000}"/>
    <cellStyle name="Normal 28 3 14 9 2" xfId="25157" xr:uid="{00000000-0005-0000-0000-0000392C0000}"/>
    <cellStyle name="Normal 28 3 15" xfId="7494" xr:uid="{00000000-0005-0000-0000-00003A2C0000}"/>
    <cellStyle name="Normal 28 3 15 10" xfId="7495" xr:uid="{00000000-0005-0000-0000-00003B2C0000}"/>
    <cellStyle name="Normal 28 3 15 10 2" xfId="25159" xr:uid="{00000000-0005-0000-0000-00003C2C0000}"/>
    <cellStyle name="Normal 28 3 15 11" xfId="7496" xr:uid="{00000000-0005-0000-0000-00003D2C0000}"/>
    <cellStyle name="Normal 28 3 15 11 2" xfId="25160" xr:uid="{00000000-0005-0000-0000-00003E2C0000}"/>
    <cellStyle name="Normal 28 3 15 12" xfId="7497" xr:uid="{00000000-0005-0000-0000-00003F2C0000}"/>
    <cellStyle name="Normal 28 3 15 12 2" xfId="25161" xr:uid="{00000000-0005-0000-0000-0000402C0000}"/>
    <cellStyle name="Normal 28 3 15 13" xfId="7498" xr:uid="{00000000-0005-0000-0000-0000412C0000}"/>
    <cellStyle name="Normal 28 3 15 13 2" xfId="25162" xr:uid="{00000000-0005-0000-0000-0000422C0000}"/>
    <cellStyle name="Normal 28 3 15 14" xfId="7499" xr:uid="{00000000-0005-0000-0000-0000432C0000}"/>
    <cellStyle name="Normal 28 3 15 14 2" xfId="25163" xr:uid="{00000000-0005-0000-0000-0000442C0000}"/>
    <cellStyle name="Normal 28 3 15 15" xfId="25158" xr:uid="{00000000-0005-0000-0000-0000452C0000}"/>
    <cellStyle name="Normal 28 3 15 2" xfId="7500" xr:uid="{00000000-0005-0000-0000-0000462C0000}"/>
    <cellStyle name="Normal 28 3 15 2 2" xfId="25164" xr:uid="{00000000-0005-0000-0000-0000472C0000}"/>
    <cellStyle name="Normal 28 3 15 3" xfId="7501" xr:uid="{00000000-0005-0000-0000-0000482C0000}"/>
    <cellStyle name="Normal 28 3 15 3 2" xfId="25165" xr:uid="{00000000-0005-0000-0000-0000492C0000}"/>
    <cellStyle name="Normal 28 3 15 4" xfId="7502" xr:uid="{00000000-0005-0000-0000-00004A2C0000}"/>
    <cellStyle name="Normal 28 3 15 4 2" xfId="25166" xr:uid="{00000000-0005-0000-0000-00004B2C0000}"/>
    <cellStyle name="Normal 28 3 15 5" xfId="7503" xr:uid="{00000000-0005-0000-0000-00004C2C0000}"/>
    <cellStyle name="Normal 28 3 15 5 2" xfId="25167" xr:uid="{00000000-0005-0000-0000-00004D2C0000}"/>
    <cellStyle name="Normal 28 3 15 6" xfId="7504" xr:uid="{00000000-0005-0000-0000-00004E2C0000}"/>
    <cellStyle name="Normal 28 3 15 6 2" xfId="25168" xr:uid="{00000000-0005-0000-0000-00004F2C0000}"/>
    <cellStyle name="Normal 28 3 15 7" xfId="7505" xr:uid="{00000000-0005-0000-0000-0000502C0000}"/>
    <cellStyle name="Normal 28 3 15 7 2" xfId="25169" xr:uid="{00000000-0005-0000-0000-0000512C0000}"/>
    <cellStyle name="Normal 28 3 15 8" xfId="7506" xr:uid="{00000000-0005-0000-0000-0000522C0000}"/>
    <cellStyle name="Normal 28 3 15 8 2" xfId="25170" xr:uid="{00000000-0005-0000-0000-0000532C0000}"/>
    <cellStyle name="Normal 28 3 15 9" xfId="7507" xr:uid="{00000000-0005-0000-0000-0000542C0000}"/>
    <cellStyle name="Normal 28 3 15 9 2" xfId="25171" xr:uid="{00000000-0005-0000-0000-0000552C0000}"/>
    <cellStyle name="Normal 28 3 16" xfId="7508" xr:uid="{00000000-0005-0000-0000-0000562C0000}"/>
    <cellStyle name="Normal 28 3 16 2" xfId="25172" xr:uid="{00000000-0005-0000-0000-0000572C0000}"/>
    <cellStyle name="Normal 28 3 17" xfId="7509" xr:uid="{00000000-0005-0000-0000-0000582C0000}"/>
    <cellStyle name="Normal 28 3 17 2" xfId="25173" xr:uid="{00000000-0005-0000-0000-0000592C0000}"/>
    <cellStyle name="Normal 28 3 18" xfId="7510" xr:uid="{00000000-0005-0000-0000-00005A2C0000}"/>
    <cellStyle name="Normal 28 3 18 2" xfId="25174" xr:uid="{00000000-0005-0000-0000-00005B2C0000}"/>
    <cellStyle name="Normal 28 3 19" xfId="7511" xr:uid="{00000000-0005-0000-0000-00005C2C0000}"/>
    <cellStyle name="Normal 28 3 19 2" xfId="25175" xr:uid="{00000000-0005-0000-0000-00005D2C0000}"/>
    <cellStyle name="Normal 28 3 2" xfId="7512" xr:uid="{00000000-0005-0000-0000-00005E2C0000}"/>
    <cellStyle name="Normal 28 3 2 10" xfId="7513" xr:uid="{00000000-0005-0000-0000-00005F2C0000}"/>
    <cellStyle name="Normal 28 3 2 10 2" xfId="25177" xr:uid="{00000000-0005-0000-0000-0000602C0000}"/>
    <cellStyle name="Normal 28 3 2 11" xfId="7514" xr:uid="{00000000-0005-0000-0000-0000612C0000}"/>
    <cellStyle name="Normal 28 3 2 11 2" xfId="25178" xr:uid="{00000000-0005-0000-0000-0000622C0000}"/>
    <cellStyle name="Normal 28 3 2 12" xfId="7515" xr:uid="{00000000-0005-0000-0000-0000632C0000}"/>
    <cellStyle name="Normal 28 3 2 12 2" xfId="25179" xr:uid="{00000000-0005-0000-0000-0000642C0000}"/>
    <cellStyle name="Normal 28 3 2 13" xfId="7516" xr:uid="{00000000-0005-0000-0000-0000652C0000}"/>
    <cellStyle name="Normal 28 3 2 13 2" xfId="25180" xr:uid="{00000000-0005-0000-0000-0000662C0000}"/>
    <cellStyle name="Normal 28 3 2 14" xfId="7517" xr:uid="{00000000-0005-0000-0000-0000672C0000}"/>
    <cellStyle name="Normal 28 3 2 14 2" xfId="25181" xr:uid="{00000000-0005-0000-0000-0000682C0000}"/>
    <cellStyle name="Normal 28 3 2 15" xfId="7518" xr:uid="{00000000-0005-0000-0000-0000692C0000}"/>
    <cellStyle name="Normal 28 3 2 15 2" xfId="25182" xr:uid="{00000000-0005-0000-0000-00006A2C0000}"/>
    <cellStyle name="Normal 28 3 2 16" xfId="25176" xr:uid="{00000000-0005-0000-0000-00006B2C0000}"/>
    <cellStyle name="Normal 28 3 2 2" xfId="7519" xr:uid="{00000000-0005-0000-0000-00006C2C0000}"/>
    <cellStyle name="Normal 28 3 2 2 10" xfId="7520" xr:uid="{00000000-0005-0000-0000-00006D2C0000}"/>
    <cellStyle name="Normal 28 3 2 2 10 2" xfId="25184" xr:uid="{00000000-0005-0000-0000-00006E2C0000}"/>
    <cellStyle name="Normal 28 3 2 2 11" xfId="7521" xr:uid="{00000000-0005-0000-0000-00006F2C0000}"/>
    <cellStyle name="Normal 28 3 2 2 11 2" xfId="25185" xr:uid="{00000000-0005-0000-0000-0000702C0000}"/>
    <cellStyle name="Normal 28 3 2 2 12" xfId="7522" xr:uid="{00000000-0005-0000-0000-0000712C0000}"/>
    <cellStyle name="Normal 28 3 2 2 12 2" xfId="25186" xr:uid="{00000000-0005-0000-0000-0000722C0000}"/>
    <cellStyle name="Normal 28 3 2 2 13" xfId="7523" xr:uid="{00000000-0005-0000-0000-0000732C0000}"/>
    <cellStyle name="Normal 28 3 2 2 13 2" xfId="25187" xr:uid="{00000000-0005-0000-0000-0000742C0000}"/>
    <cellStyle name="Normal 28 3 2 2 14" xfId="7524" xr:uid="{00000000-0005-0000-0000-0000752C0000}"/>
    <cellStyle name="Normal 28 3 2 2 14 2" xfId="25188" xr:uid="{00000000-0005-0000-0000-0000762C0000}"/>
    <cellStyle name="Normal 28 3 2 2 15" xfId="25183" xr:uid="{00000000-0005-0000-0000-0000772C0000}"/>
    <cellStyle name="Normal 28 3 2 2 2" xfId="7525" xr:uid="{00000000-0005-0000-0000-0000782C0000}"/>
    <cellStyle name="Normal 28 3 2 2 2 2" xfId="25189" xr:uid="{00000000-0005-0000-0000-0000792C0000}"/>
    <cellStyle name="Normal 28 3 2 2 3" xfId="7526" xr:uid="{00000000-0005-0000-0000-00007A2C0000}"/>
    <cellStyle name="Normal 28 3 2 2 3 2" xfId="25190" xr:uid="{00000000-0005-0000-0000-00007B2C0000}"/>
    <cellStyle name="Normal 28 3 2 2 4" xfId="7527" xr:uid="{00000000-0005-0000-0000-00007C2C0000}"/>
    <cellStyle name="Normal 28 3 2 2 4 2" xfId="25191" xr:uid="{00000000-0005-0000-0000-00007D2C0000}"/>
    <cellStyle name="Normal 28 3 2 2 5" xfId="7528" xr:uid="{00000000-0005-0000-0000-00007E2C0000}"/>
    <cellStyle name="Normal 28 3 2 2 5 2" xfId="25192" xr:uid="{00000000-0005-0000-0000-00007F2C0000}"/>
    <cellStyle name="Normal 28 3 2 2 6" xfId="7529" xr:uid="{00000000-0005-0000-0000-0000802C0000}"/>
    <cellStyle name="Normal 28 3 2 2 6 2" xfId="25193" xr:uid="{00000000-0005-0000-0000-0000812C0000}"/>
    <cellStyle name="Normal 28 3 2 2 7" xfId="7530" xr:uid="{00000000-0005-0000-0000-0000822C0000}"/>
    <cellStyle name="Normal 28 3 2 2 7 2" xfId="25194" xr:uid="{00000000-0005-0000-0000-0000832C0000}"/>
    <cellStyle name="Normal 28 3 2 2 8" xfId="7531" xr:uid="{00000000-0005-0000-0000-0000842C0000}"/>
    <cellStyle name="Normal 28 3 2 2 8 2" xfId="25195" xr:uid="{00000000-0005-0000-0000-0000852C0000}"/>
    <cellStyle name="Normal 28 3 2 2 9" xfId="7532" xr:uid="{00000000-0005-0000-0000-0000862C0000}"/>
    <cellStyle name="Normal 28 3 2 2 9 2" xfId="25196" xr:uid="{00000000-0005-0000-0000-0000872C0000}"/>
    <cellStyle name="Normal 28 3 2 3" xfId="7533" xr:uid="{00000000-0005-0000-0000-0000882C0000}"/>
    <cellStyle name="Normal 28 3 2 3 2" xfId="25197" xr:uid="{00000000-0005-0000-0000-0000892C0000}"/>
    <cellStyle name="Normal 28 3 2 4" xfId="7534" xr:uid="{00000000-0005-0000-0000-00008A2C0000}"/>
    <cellStyle name="Normal 28 3 2 4 2" xfId="25198" xr:uid="{00000000-0005-0000-0000-00008B2C0000}"/>
    <cellStyle name="Normal 28 3 2 5" xfId="7535" xr:uid="{00000000-0005-0000-0000-00008C2C0000}"/>
    <cellStyle name="Normal 28 3 2 5 2" xfId="25199" xr:uid="{00000000-0005-0000-0000-00008D2C0000}"/>
    <cellStyle name="Normal 28 3 2 6" xfId="7536" xr:uid="{00000000-0005-0000-0000-00008E2C0000}"/>
    <cellStyle name="Normal 28 3 2 6 2" xfId="25200" xr:uid="{00000000-0005-0000-0000-00008F2C0000}"/>
    <cellStyle name="Normal 28 3 2 7" xfId="7537" xr:uid="{00000000-0005-0000-0000-0000902C0000}"/>
    <cellStyle name="Normal 28 3 2 7 2" xfId="25201" xr:uid="{00000000-0005-0000-0000-0000912C0000}"/>
    <cellStyle name="Normal 28 3 2 8" xfId="7538" xr:uid="{00000000-0005-0000-0000-0000922C0000}"/>
    <cellStyle name="Normal 28 3 2 8 2" xfId="25202" xr:uid="{00000000-0005-0000-0000-0000932C0000}"/>
    <cellStyle name="Normal 28 3 2 9" xfId="7539" xr:uid="{00000000-0005-0000-0000-0000942C0000}"/>
    <cellStyle name="Normal 28 3 2 9 2" xfId="25203" xr:uid="{00000000-0005-0000-0000-0000952C0000}"/>
    <cellStyle name="Normal 28 3 20" xfId="7540" xr:uid="{00000000-0005-0000-0000-0000962C0000}"/>
    <cellStyle name="Normal 28 3 20 2" xfId="25204" xr:uid="{00000000-0005-0000-0000-0000972C0000}"/>
    <cellStyle name="Normal 28 3 21" xfId="7541" xr:uid="{00000000-0005-0000-0000-0000982C0000}"/>
    <cellStyle name="Normal 28 3 21 2" xfId="25205" xr:uid="{00000000-0005-0000-0000-0000992C0000}"/>
    <cellStyle name="Normal 28 3 22" xfId="7542" xr:uid="{00000000-0005-0000-0000-00009A2C0000}"/>
    <cellStyle name="Normal 28 3 22 2" xfId="25206" xr:uid="{00000000-0005-0000-0000-00009B2C0000}"/>
    <cellStyle name="Normal 28 3 23" xfId="7543" xr:uid="{00000000-0005-0000-0000-00009C2C0000}"/>
    <cellStyle name="Normal 28 3 23 2" xfId="25207" xr:uid="{00000000-0005-0000-0000-00009D2C0000}"/>
    <cellStyle name="Normal 28 3 24" xfId="7544" xr:uid="{00000000-0005-0000-0000-00009E2C0000}"/>
    <cellStyle name="Normal 28 3 24 2" xfId="25208" xr:uid="{00000000-0005-0000-0000-00009F2C0000}"/>
    <cellStyle name="Normal 28 3 25" xfId="7545" xr:uid="{00000000-0005-0000-0000-0000A02C0000}"/>
    <cellStyle name="Normal 28 3 25 2" xfId="25209" xr:uid="{00000000-0005-0000-0000-0000A12C0000}"/>
    <cellStyle name="Normal 28 3 26" xfId="7546" xr:uid="{00000000-0005-0000-0000-0000A22C0000}"/>
    <cellStyle name="Normal 28 3 26 2" xfId="25210" xr:uid="{00000000-0005-0000-0000-0000A32C0000}"/>
    <cellStyle name="Normal 28 3 27" xfId="7547" xr:uid="{00000000-0005-0000-0000-0000A42C0000}"/>
    <cellStyle name="Normal 28 3 27 2" xfId="25211" xr:uid="{00000000-0005-0000-0000-0000A52C0000}"/>
    <cellStyle name="Normal 28 3 28" xfId="7548" xr:uid="{00000000-0005-0000-0000-0000A62C0000}"/>
    <cellStyle name="Normal 28 3 28 2" xfId="25212" xr:uid="{00000000-0005-0000-0000-0000A72C0000}"/>
    <cellStyle name="Normal 28 3 29" xfId="25087" xr:uid="{00000000-0005-0000-0000-0000A82C0000}"/>
    <cellStyle name="Normal 28 3 3" xfId="7549" xr:uid="{00000000-0005-0000-0000-0000A92C0000}"/>
    <cellStyle name="Normal 28 3 3 10" xfId="7550" xr:uid="{00000000-0005-0000-0000-0000AA2C0000}"/>
    <cellStyle name="Normal 28 3 3 10 2" xfId="25214" xr:uid="{00000000-0005-0000-0000-0000AB2C0000}"/>
    <cellStyle name="Normal 28 3 3 11" xfId="7551" xr:uid="{00000000-0005-0000-0000-0000AC2C0000}"/>
    <cellStyle name="Normal 28 3 3 11 2" xfId="25215" xr:uid="{00000000-0005-0000-0000-0000AD2C0000}"/>
    <cellStyle name="Normal 28 3 3 12" xfId="7552" xr:uid="{00000000-0005-0000-0000-0000AE2C0000}"/>
    <cellStyle name="Normal 28 3 3 12 2" xfId="25216" xr:uid="{00000000-0005-0000-0000-0000AF2C0000}"/>
    <cellStyle name="Normal 28 3 3 13" xfId="7553" xr:uid="{00000000-0005-0000-0000-0000B02C0000}"/>
    <cellStyle name="Normal 28 3 3 13 2" xfId="25217" xr:uid="{00000000-0005-0000-0000-0000B12C0000}"/>
    <cellStyle name="Normal 28 3 3 14" xfId="7554" xr:uid="{00000000-0005-0000-0000-0000B22C0000}"/>
    <cellStyle name="Normal 28 3 3 14 2" xfId="25218" xr:uid="{00000000-0005-0000-0000-0000B32C0000}"/>
    <cellStyle name="Normal 28 3 3 15" xfId="7555" xr:uid="{00000000-0005-0000-0000-0000B42C0000}"/>
    <cellStyle name="Normal 28 3 3 15 2" xfId="25219" xr:uid="{00000000-0005-0000-0000-0000B52C0000}"/>
    <cellStyle name="Normal 28 3 3 16" xfId="25213" xr:uid="{00000000-0005-0000-0000-0000B62C0000}"/>
    <cellStyle name="Normal 28 3 3 2" xfId="7556" xr:uid="{00000000-0005-0000-0000-0000B72C0000}"/>
    <cellStyle name="Normal 28 3 3 2 10" xfId="7557" xr:uid="{00000000-0005-0000-0000-0000B82C0000}"/>
    <cellStyle name="Normal 28 3 3 2 10 2" xfId="25221" xr:uid="{00000000-0005-0000-0000-0000B92C0000}"/>
    <cellStyle name="Normal 28 3 3 2 11" xfId="7558" xr:uid="{00000000-0005-0000-0000-0000BA2C0000}"/>
    <cellStyle name="Normal 28 3 3 2 11 2" xfId="25222" xr:uid="{00000000-0005-0000-0000-0000BB2C0000}"/>
    <cellStyle name="Normal 28 3 3 2 12" xfId="7559" xr:uid="{00000000-0005-0000-0000-0000BC2C0000}"/>
    <cellStyle name="Normal 28 3 3 2 12 2" xfId="25223" xr:uid="{00000000-0005-0000-0000-0000BD2C0000}"/>
    <cellStyle name="Normal 28 3 3 2 13" xfId="7560" xr:uid="{00000000-0005-0000-0000-0000BE2C0000}"/>
    <cellStyle name="Normal 28 3 3 2 13 2" xfId="25224" xr:uid="{00000000-0005-0000-0000-0000BF2C0000}"/>
    <cellStyle name="Normal 28 3 3 2 14" xfId="7561" xr:uid="{00000000-0005-0000-0000-0000C02C0000}"/>
    <cellStyle name="Normal 28 3 3 2 14 2" xfId="25225" xr:uid="{00000000-0005-0000-0000-0000C12C0000}"/>
    <cellStyle name="Normal 28 3 3 2 15" xfId="25220" xr:uid="{00000000-0005-0000-0000-0000C22C0000}"/>
    <cellStyle name="Normal 28 3 3 2 2" xfId="7562" xr:uid="{00000000-0005-0000-0000-0000C32C0000}"/>
    <cellStyle name="Normal 28 3 3 2 2 2" xfId="25226" xr:uid="{00000000-0005-0000-0000-0000C42C0000}"/>
    <cellStyle name="Normal 28 3 3 2 3" xfId="7563" xr:uid="{00000000-0005-0000-0000-0000C52C0000}"/>
    <cellStyle name="Normal 28 3 3 2 3 2" xfId="25227" xr:uid="{00000000-0005-0000-0000-0000C62C0000}"/>
    <cellStyle name="Normal 28 3 3 2 4" xfId="7564" xr:uid="{00000000-0005-0000-0000-0000C72C0000}"/>
    <cellStyle name="Normal 28 3 3 2 4 2" xfId="25228" xr:uid="{00000000-0005-0000-0000-0000C82C0000}"/>
    <cellStyle name="Normal 28 3 3 2 5" xfId="7565" xr:uid="{00000000-0005-0000-0000-0000C92C0000}"/>
    <cellStyle name="Normal 28 3 3 2 5 2" xfId="25229" xr:uid="{00000000-0005-0000-0000-0000CA2C0000}"/>
    <cellStyle name="Normal 28 3 3 2 6" xfId="7566" xr:uid="{00000000-0005-0000-0000-0000CB2C0000}"/>
    <cellStyle name="Normal 28 3 3 2 6 2" xfId="25230" xr:uid="{00000000-0005-0000-0000-0000CC2C0000}"/>
    <cellStyle name="Normal 28 3 3 2 7" xfId="7567" xr:uid="{00000000-0005-0000-0000-0000CD2C0000}"/>
    <cellStyle name="Normal 28 3 3 2 7 2" xfId="25231" xr:uid="{00000000-0005-0000-0000-0000CE2C0000}"/>
    <cellStyle name="Normal 28 3 3 2 8" xfId="7568" xr:uid="{00000000-0005-0000-0000-0000CF2C0000}"/>
    <cellStyle name="Normal 28 3 3 2 8 2" xfId="25232" xr:uid="{00000000-0005-0000-0000-0000D02C0000}"/>
    <cellStyle name="Normal 28 3 3 2 9" xfId="7569" xr:uid="{00000000-0005-0000-0000-0000D12C0000}"/>
    <cellStyle name="Normal 28 3 3 2 9 2" xfId="25233" xr:uid="{00000000-0005-0000-0000-0000D22C0000}"/>
    <cellStyle name="Normal 28 3 3 3" xfId="7570" xr:uid="{00000000-0005-0000-0000-0000D32C0000}"/>
    <cellStyle name="Normal 28 3 3 3 2" xfId="25234" xr:uid="{00000000-0005-0000-0000-0000D42C0000}"/>
    <cellStyle name="Normal 28 3 3 4" xfId="7571" xr:uid="{00000000-0005-0000-0000-0000D52C0000}"/>
    <cellStyle name="Normal 28 3 3 4 2" xfId="25235" xr:uid="{00000000-0005-0000-0000-0000D62C0000}"/>
    <cellStyle name="Normal 28 3 3 5" xfId="7572" xr:uid="{00000000-0005-0000-0000-0000D72C0000}"/>
    <cellStyle name="Normal 28 3 3 5 2" xfId="25236" xr:uid="{00000000-0005-0000-0000-0000D82C0000}"/>
    <cellStyle name="Normal 28 3 3 6" xfId="7573" xr:uid="{00000000-0005-0000-0000-0000D92C0000}"/>
    <cellStyle name="Normal 28 3 3 6 2" xfId="25237" xr:uid="{00000000-0005-0000-0000-0000DA2C0000}"/>
    <cellStyle name="Normal 28 3 3 7" xfId="7574" xr:uid="{00000000-0005-0000-0000-0000DB2C0000}"/>
    <cellStyle name="Normal 28 3 3 7 2" xfId="25238" xr:uid="{00000000-0005-0000-0000-0000DC2C0000}"/>
    <cellStyle name="Normal 28 3 3 8" xfId="7575" xr:uid="{00000000-0005-0000-0000-0000DD2C0000}"/>
    <cellStyle name="Normal 28 3 3 8 2" xfId="25239" xr:uid="{00000000-0005-0000-0000-0000DE2C0000}"/>
    <cellStyle name="Normal 28 3 3 9" xfId="7576" xr:uid="{00000000-0005-0000-0000-0000DF2C0000}"/>
    <cellStyle name="Normal 28 3 3 9 2" xfId="25240" xr:uid="{00000000-0005-0000-0000-0000E02C0000}"/>
    <cellStyle name="Normal 28 3 4" xfId="7577" xr:uid="{00000000-0005-0000-0000-0000E12C0000}"/>
    <cellStyle name="Normal 28 3 4 10" xfId="7578" xr:uid="{00000000-0005-0000-0000-0000E22C0000}"/>
    <cellStyle name="Normal 28 3 4 10 2" xfId="25242" xr:uid="{00000000-0005-0000-0000-0000E32C0000}"/>
    <cellStyle name="Normal 28 3 4 11" xfId="7579" xr:uid="{00000000-0005-0000-0000-0000E42C0000}"/>
    <cellStyle name="Normal 28 3 4 11 2" xfId="25243" xr:uid="{00000000-0005-0000-0000-0000E52C0000}"/>
    <cellStyle name="Normal 28 3 4 12" xfId="7580" xr:uid="{00000000-0005-0000-0000-0000E62C0000}"/>
    <cellStyle name="Normal 28 3 4 12 2" xfId="25244" xr:uid="{00000000-0005-0000-0000-0000E72C0000}"/>
    <cellStyle name="Normal 28 3 4 13" xfId="7581" xr:uid="{00000000-0005-0000-0000-0000E82C0000}"/>
    <cellStyle name="Normal 28 3 4 13 2" xfId="25245" xr:uid="{00000000-0005-0000-0000-0000E92C0000}"/>
    <cellStyle name="Normal 28 3 4 14" xfId="7582" xr:uid="{00000000-0005-0000-0000-0000EA2C0000}"/>
    <cellStyle name="Normal 28 3 4 14 2" xfId="25246" xr:uid="{00000000-0005-0000-0000-0000EB2C0000}"/>
    <cellStyle name="Normal 28 3 4 15" xfId="7583" xr:uid="{00000000-0005-0000-0000-0000EC2C0000}"/>
    <cellStyle name="Normal 28 3 4 15 2" xfId="25247" xr:uid="{00000000-0005-0000-0000-0000ED2C0000}"/>
    <cellStyle name="Normal 28 3 4 16" xfId="25241" xr:uid="{00000000-0005-0000-0000-0000EE2C0000}"/>
    <cellStyle name="Normal 28 3 4 2" xfId="7584" xr:uid="{00000000-0005-0000-0000-0000EF2C0000}"/>
    <cellStyle name="Normal 28 3 4 2 10" xfId="7585" xr:uid="{00000000-0005-0000-0000-0000F02C0000}"/>
    <cellStyle name="Normal 28 3 4 2 10 2" xfId="25249" xr:uid="{00000000-0005-0000-0000-0000F12C0000}"/>
    <cellStyle name="Normal 28 3 4 2 11" xfId="7586" xr:uid="{00000000-0005-0000-0000-0000F22C0000}"/>
    <cellStyle name="Normal 28 3 4 2 11 2" xfId="25250" xr:uid="{00000000-0005-0000-0000-0000F32C0000}"/>
    <cellStyle name="Normal 28 3 4 2 12" xfId="7587" xr:uid="{00000000-0005-0000-0000-0000F42C0000}"/>
    <cellStyle name="Normal 28 3 4 2 12 2" xfId="25251" xr:uid="{00000000-0005-0000-0000-0000F52C0000}"/>
    <cellStyle name="Normal 28 3 4 2 13" xfId="7588" xr:uid="{00000000-0005-0000-0000-0000F62C0000}"/>
    <cellStyle name="Normal 28 3 4 2 13 2" xfId="25252" xr:uid="{00000000-0005-0000-0000-0000F72C0000}"/>
    <cellStyle name="Normal 28 3 4 2 14" xfId="7589" xr:uid="{00000000-0005-0000-0000-0000F82C0000}"/>
    <cellStyle name="Normal 28 3 4 2 14 2" xfId="25253" xr:uid="{00000000-0005-0000-0000-0000F92C0000}"/>
    <cellStyle name="Normal 28 3 4 2 15" xfId="25248" xr:uid="{00000000-0005-0000-0000-0000FA2C0000}"/>
    <cellStyle name="Normal 28 3 4 2 2" xfId="7590" xr:uid="{00000000-0005-0000-0000-0000FB2C0000}"/>
    <cellStyle name="Normal 28 3 4 2 2 2" xfId="25254" xr:uid="{00000000-0005-0000-0000-0000FC2C0000}"/>
    <cellStyle name="Normal 28 3 4 2 3" xfId="7591" xr:uid="{00000000-0005-0000-0000-0000FD2C0000}"/>
    <cellStyle name="Normal 28 3 4 2 3 2" xfId="25255" xr:uid="{00000000-0005-0000-0000-0000FE2C0000}"/>
    <cellStyle name="Normal 28 3 4 2 4" xfId="7592" xr:uid="{00000000-0005-0000-0000-0000FF2C0000}"/>
    <cellStyle name="Normal 28 3 4 2 4 2" xfId="25256" xr:uid="{00000000-0005-0000-0000-0000002D0000}"/>
    <cellStyle name="Normal 28 3 4 2 5" xfId="7593" xr:uid="{00000000-0005-0000-0000-0000012D0000}"/>
    <cellStyle name="Normal 28 3 4 2 5 2" xfId="25257" xr:uid="{00000000-0005-0000-0000-0000022D0000}"/>
    <cellStyle name="Normal 28 3 4 2 6" xfId="7594" xr:uid="{00000000-0005-0000-0000-0000032D0000}"/>
    <cellStyle name="Normal 28 3 4 2 6 2" xfId="25258" xr:uid="{00000000-0005-0000-0000-0000042D0000}"/>
    <cellStyle name="Normal 28 3 4 2 7" xfId="7595" xr:uid="{00000000-0005-0000-0000-0000052D0000}"/>
    <cellStyle name="Normal 28 3 4 2 7 2" xfId="25259" xr:uid="{00000000-0005-0000-0000-0000062D0000}"/>
    <cellStyle name="Normal 28 3 4 2 8" xfId="7596" xr:uid="{00000000-0005-0000-0000-0000072D0000}"/>
    <cellStyle name="Normal 28 3 4 2 8 2" xfId="25260" xr:uid="{00000000-0005-0000-0000-0000082D0000}"/>
    <cellStyle name="Normal 28 3 4 2 9" xfId="7597" xr:uid="{00000000-0005-0000-0000-0000092D0000}"/>
    <cellStyle name="Normal 28 3 4 2 9 2" xfId="25261" xr:uid="{00000000-0005-0000-0000-00000A2D0000}"/>
    <cellStyle name="Normal 28 3 4 3" xfId="7598" xr:uid="{00000000-0005-0000-0000-00000B2D0000}"/>
    <cellStyle name="Normal 28 3 4 3 2" xfId="25262" xr:uid="{00000000-0005-0000-0000-00000C2D0000}"/>
    <cellStyle name="Normal 28 3 4 4" xfId="7599" xr:uid="{00000000-0005-0000-0000-00000D2D0000}"/>
    <cellStyle name="Normal 28 3 4 4 2" xfId="25263" xr:uid="{00000000-0005-0000-0000-00000E2D0000}"/>
    <cellStyle name="Normal 28 3 4 5" xfId="7600" xr:uid="{00000000-0005-0000-0000-00000F2D0000}"/>
    <cellStyle name="Normal 28 3 4 5 2" xfId="25264" xr:uid="{00000000-0005-0000-0000-0000102D0000}"/>
    <cellStyle name="Normal 28 3 4 6" xfId="7601" xr:uid="{00000000-0005-0000-0000-0000112D0000}"/>
    <cellStyle name="Normal 28 3 4 6 2" xfId="25265" xr:uid="{00000000-0005-0000-0000-0000122D0000}"/>
    <cellStyle name="Normal 28 3 4 7" xfId="7602" xr:uid="{00000000-0005-0000-0000-0000132D0000}"/>
    <cellStyle name="Normal 28 3 4 7 2" xfId="25266" xr:uid="{00000000-0005-0000-0000-0000142D0000}"/>
    <cellStyle name="Normal 28 3 4 8" xfId="7603" xr:uid="{00000000-0005-0000-0000-0000152D0000}"/>
    <cellStyle name="Normal 28 3 4 8 2" xfId="25267" xr:uid="{00000000-0005-0000-0000-0000162D0000}"/>
    <cellStyle name="Normal 28 3 4 9" xfId="7604" xr:uid="{00000000-0005-0000-0000-0000172D0000}"/>
    <cellStyle name="Normal 28 3 4 9 2" xfId="25268" xr:uid="{00000000-0005-0000-0000-0000182D0000}"/>
    <cellStyle name="Normal 28 3 5" xfId="7605" xr:uid="{00000000-0005-0000-0000-0000192D0000}"/>
    <cellStyle name="Normal 28 3 5 10" xfId="7606" xr:uid="{00000000-0005-0000-0000-00001A2D0000}"/>
    <cellStyle name="Normal 28 3 5 10 2" xfId="25270" xr:uid="{00000000-0005-0000-0000-00001B2D0000}"/>
    <cellStyle name="Normal 28 3 5 11" xfId="7607" xr:uid="{00000000-0005-0000-0000-00001C2D0000}"/>
    <cellStyle name="Normal 28 3 5 11 2" xfId="25271" xr:uid="{00000000-0005-0000-0000-00001D2D0000}"/>
    <cellStyle name="Normal 28 3 5 12" xfId="7608" xr:uid="{00000000-0005-0000-0000-00001E2D0000}"/>
    <cellStyle name="Normal 28 3 5 12 2" xfId="25272" xr:uid="{00000000-0005-0000-0000-00001F2D0000}"/>
    <cellStyle name="Normal 28 3 5 13" xfId="7609" xr:uid="{00000000-0005-0000-0000-0000202D0000}"/>
    <cellStyle name="Normal 28 3 5 13 2" xfId="25273" xr:uid="{00000000-0005-0000-0000-0000212D0000}"/>
    <cellStyle name="Normal 28 3 5 14" xfId="7610" xr:uid="{00000000-0005-0000-0000-0000222D0000}"/>
    <cellStyle name="Normal 28 3 5 14 2" xfId="25274" xr:uid="{00000000-0005-0000-0000-0000232D0000}"/>
    <cellStyle name="Normal 28 3 5 15" xfId="25269" xr:uid="{00000000-0005-0000-0000-0000242D0000}"/>
    <cellStyle name="Normal 28 3 5 2" xfId="7611" xr:uid="{00000000-0005-0000-0000-0000252D0000}"/>
    <cellStyle name="Normal 28 3 5 2 2" xfId="25275" xr:uid="{00000000-0005-0000-0000-0000262D0000}"/>
    <cellStyle name="Normal 28 3 5 3" xfId="7612" xr:uid="{00000000-0005-0000-0000-0000272D0000}"/>
    <cellStyle name="Normal 28 3 5 3 2" xfId="25276" xr:uid="{00000000-0005-0000-0000-0000282D0000}"/>
    <cellStyle name="Normal 28 3 5 4" xfId="7613" xr:uid="{00000000-0005-0000-0000-0000292D0000}"/>
    <cellStyle name="Normal 28 3 5 4 2" xfId="25277" xr:uid="{00000000-0005-0000-0000-00002A2D0000}"/>
    <cellStyle name="Normal 28 3 5 5" xfId="7614" xr:uid="{00000000-0005-0000-0000-00002B2D0000}"/>
    <cellStyle name="Normal 28 3 5 5 2" xfId="25278" xr:uid="{00000000-0005-0000-0000-00002C2D0000}"/>
    <cellStyle name="Normal 28 3 5 6" xfId="7615" xr:uid="{00000000-0005-0000-0000-00002D2D0000}"/>
    <cellStyle name="Normal 28 3 5 6 2" xfId="25279" xr:uid="{00000000-0005-0000-0000-00002E2D0000}"/>
    <cellStyle name="Normal 28 3 5 7" xfId="7616" xr:uid="{00000000-0005-0000-0000-00002F2D0000}"/>
    <cellStyle name="Normal 28 3 5 7 2" xfId="25280" xr:uid="{00000000-0005-0000-0000-0000302D0000}"/>
    <cellStyle name="Normal 28 3 5 8" xfId="7617" xr:uid="{00000000-0005-0000-0000-0000312D0000}"/>
    <cellStyle name="Normal 28 3 5 8 2" xfId="25281" xr:uid="{00000000-0005-0000-0000-0000322D0000}"/>
    <cellStyle name="Normal 28 3 5 9" xfId="7618" xr:uid="{00000000-0005-0000-0000-0000332D0000}"/>
    <cellStyle name="Normal 28 3 5 9 2" xfId="25282" xr:uid="{00000000-0005-0000-0000-0000342D0000}"/>
    <cellStyle name="Normal 28 3 6" xfId="7619" xr:uid="{00000000-0005-0000-0000-0000352D0000}"/>
    <cellStyle name="Normal 28 3 6 10" xfId="7620" xr:uid="{00000000-0005-0000-0000-0000362D0000}"/>
    <cellStyle name="Normal 28 3 6 10 2" xfId="25284" xr:uid="{00000000-0005-0000-0000-0000372D0000}"/>
    <cellStyle name="Normal 28 3 6 11" xfId="7621" xr:uid="{00000000-0005-0000-0000-0000382D0000}"/>
    <cellStyle name="Normal 28 3 6 11 2" xfId="25285" xr:uid="{00000000-0005-0000-0000-0000392D0000}"/>
    <cellStyle name="Normal 28 3 6 12" xfId="7622" xr:uid="{00000000-0005-0000-0000-00003A2D0000}"/>
    <cellStyle name="Normal 28 3 6 12 2" xfId="25286" xr:uid="{00000000-0005-0000-0000-00003B2D0000}"/>
    <cellStyle name="Normal 28 3 6 13" xfId="7623" xr:uid="{00000000-0005-0000-0000-00003C2D0000}"/>
    <cellStyle name="Normal 28 3 6 13 2" xfId="25287" xr:uid="{00000000-0005-0000-0000-00003D2D0000}"/>
    <cellStyle name="Normal 28 3 6 14" xfId="7624" xr:uid="{00000000-0005-0000-0000-00003E2D0000}"/>
    <cellStyle name="Normal 28 3 6 14 2" xfId="25288" xr:uid="{00000000-0005-0000-0000-00003F2D0000}"/>
    <cellStyle name="Normal 28 3 6 15" xfId="25283" xr:uid="{00000000-0005-0000-0000-0000402D0000}"/>
    <cellStyle name="Normal 28 3 6 2" xfId="7625" xr:uid="{00000000-0005-0000-0000-0000412D0000}"/>
    <cellStyle name="Normal 28 3 6 2 2" xfId="25289" xr:uid="{00000000-0005-0000-0000-0000422D0000}"/>
    <cellStyle name="Normal 28 3 6 3" xfId="7626" xr:uid="{00000000-0005-0000-0000-0000432D0000}"/>
    <cellStyle name="Normal 28 3 6 3 2" xfId="25290" xr:uid="{00000000-0005-0000-0000-0000442D0000}"/>
    <cellStyle name="Normal 28 3 6 4" xfId="7627" xr:uid="{00000000-0005-0000-0000-0000452D0000}"/>
    <cellStyle name="Normal 28 3 6 4 2" xfId="25291" xr:uid="{00000000-0005-0000-0000-0000462D0000}"/>
    <cellStyle name="Normal 28 3 6 5" xfId="7628" xr:uid="{00000000-0005-0000-0000-0000472D0000}"/>
    <cellStyle name="Normal 28 3 6 5 2" xfId="25292" xr:uid="{00000000-0005-0000-0000-0000482D0000}"/>
    <cellStyle name="Normal 28 3 6 6" xfId="7629" xr:uid="{00000000-0005-0000-0000-0000492D0000}"/>
    <cellStyle name="Normal 28 3 6 6 2" xfId="25293" xr:uid="{00000000-0005-0000-0000-00004A2D0000}"/>
    <cellStyle name="Normal 28 3 6 7" xfId="7630" xr:uid="{00000000-0005-0000-0000-00004B2D0000}"/>
    <cellStyle name="Normal 28 3 6 7 2" xfId="25294" xr:uid="{00000000-0005-0000-0000-00004C2D0000}"/>
    <cellStyle name="Normal 28 3 6 8" xfId="7631" xr:uid="{00000000-0005-0000-0000-00004D2D0000}"/>
    <cellStyle name="Normal 28 3 6 8 2" xfId="25295" xr:uid="{00000000-0005-0000-0000-00004E2D0000}"/>
    <cellStyle name="Normal 28 3 6 9" xfId="7632" xr:uid="{00000000-0005-0000-0000-00004F2D0000}"/>
    <cellStyle name="Normal 28 3 6 9 2" xfId="25296" xr:uid="{00000000-0005-0000-0000-0000502D0000}"/>
    <cellStyle name="Normal 28 3 7" xfId="7633" xr:uid="{00000000-0005-0000-0000-0000512D0000}"/>
    <cellStyle name="Normal 28 3 7 10" xfId="7634" xr:uid="{00000000-0005-0000-0000-0000522D0000}"/>
    <cellStyle name="Normal 28 3 7 10 2" xfId="25298" xr:uid="{00000000-0005-0000-0000-0000532D0000}"/>
    <cellStyle name="Normal 28 3 7 11" xfId="7635" xr:uid="{00000000-0005-0000-0000-0000542D0000}"/>
    <cellStyle name="Normal 28 3 7 11 2" xfId="25299" xr:uid="{00000000-0005-0000-0000-0000552D0000}"/>
    <cellStyle name="Normal 28 3 7 12" xfId="7636" xr:uid="{00000000-0005-0000-0000-0000562D0000}"/>
    <cellStyle name="Normal 28 3 7 12 2" xfId="25300" xr:uid="{00000000-0005-0000-0000-0000572D0000}"/>
    <cellStyle name="Normal 28 3 7 13" xfId="7637" xr:uid="{00000000-0005-0000-0000-0000582D0000}"/>
    <cellStyle name="Normal 28 3 7 13 2" xfId="25301" xr:uid="{00000000-0005-0000-0000-0000592D0000}"/>
    <cellStyle name="Normal 28 3 7 14" xfId="7638" xr:uid="{00000000-0005-0000-0000-00005A2D0000}"/>
    <cellStyle name="Normal 28 3 7 14 2" xfId="25302" xr:uid="{00000000-0005-0000-0000-00005B2D0000}"/>
    <cellStyle name="Normal 28 3 7 15" xfId="25297" xr:uid="{00000000-0005-0000-0000-00005C2D0000}"/>
    <cellStyle name="Normal 28 3 7 2" xfId="7639" xr:uid="{00000000-0005-0000-0000-00005D2D0000}"/>
    <cellStyle name="Normal 28 3 7 2 2" xfId="25303" xr:uid="{00000000-0005-0000-0000-00005E2D0000}"/>
    <cellStyle name="Normal 28 3 7 3" xfId="7640" xr:uid="{00000000-0005-0000-0000-00005F2D0000}"/>
    <cellStyle name="Normal 28 3 7 3 2" xfId="25304" xr:uid="{00000000-0005-0000-0000-0000602D0000}"/>
    <cellStyle name="Normal 28 3 7 4" xfId="7641" xr:uid="{00000000-0005-0000-0000-0000612D0000}"/>
    <cellStyle name="Normal 28 3 7 4 2" xfId="25305" xr:uid="{00000000-0005-0000-0000-0000622D0000}"/>
    <cellStyle name="Normal 28 3 7 5" xfId="7642" xr:uid="{00000000-0005-0000-0000-0000632D0000}"/>
    <cellStyle name="Normal 28 3 7 5 2" xfId="25306" xr:uid="{00000000-0005-0000-0000-0000642D0000}"/>
    <cellStyle name="Normal 28 3 7 6" xfId="7643" xr:uid="{00000000-0005-0000-0000-0000652D0000}"/>
    <cellStyle name="Normal 28 3 7 6 2" xfId="25307" xr:uid="{00000000-0005-0000-0000-0000662D0000}"/>
    <cellStyle name="Normal 28 3 7 7" xfId="7644" xr:uid="{00000000-0005-0000-0000-0000672D0000}"/>
    <cellStyle name="Normal 28 3 7 7 2" xfId="25308" xr:uid="{00000000-0005-0000-0000-0000682D0000}"/>
    <cellStyle name="Normal 28 3 7 8" xfId="7645" xr:uid="{00000000-0005-0000-0000-0000692D0000}"/>
    <cellStyle name="Normal 28 3 7 8 2" xfId="25309" xr:uid="{00000000-0005-0000-0000-00006A2D0000}"/>
    <cellStyle name="Normal 28 3 7 9" xfId="7646" xr:uid="{00000000-0005-0000-0000-00006B2D0000}"/>
    <cellStyle name="Normal 28 3 7 9 2" xfId="25310" xr:uid="{00000000-0005-0000-0000-00006C2D0000}"/>
    <cellStyle name="Normal 28 3 8" xfId="7647" xr:uid="{00000000-0005-0000-0000-00006D2D0000}"/>
    <cellStyle name="Normal 28 3 8 10" xfId="7648" xr:uid="{00000000-0005-0000-0000-00006E2D0000}"/>
    <cellStyle name="Normal 28 3 8 10 2" xfId="25312" xr:uid="{00000000-0005-0000-0000-00006F2D0000}"/>
    <cellStyle name="Normal 28 3 8 11" xfId="7649" xr:uid="{00000000-0005-0000-0000-0000702D0000}"/>
    <cellStyle name="Normal 28 3 8 11 2" xfId="25313" xr:uid="{00000000-0005-0000-0000-0000712D0000}"/>
    <cellStyle name="Normal 28 3 8 12" xfId="7650" xr:uid="{00000000-0005-0000-0000-0000722D0000}"/>
    <cellStyle name="Normal 28 3 8 12 2" xfId="25314" xr:uid="{00000000-0005-0000-0000-0000732D0000}"/>
    <cellStyle name="Normal 28 3 8 13" xfId="7651" xr:uid="{00000000-0005-0000-0000-0000742D0000}"/>
    <cellStyle name="Normal 28 3 8 13 2" xfId="25315" xr:uid="{00000000-0005-0000-0000-0000752D0000}"/>
    <cellStyle name="Normal 28 3 8 14" xfId="7652" xr:uid="{00000000-0005-0000-0000-0000762D0000}"/>
    <cellStyle name="Normal 28 3 8 14 2" xfId="25316" xr:uid="{00000000-0005-0000-0000-0000772D0000}"/>
    <cellStyle name="Normal 28 3 8 15" xfId="25311" xr:uid="{00000000-0005-0000-0000-0000782D0000}"/>
    <cellStyle name="Normal 28 3 8 2" xfId="7653" xr:uid="{00000000-0005-0000-0000-0000792D0000}"/>
    <cellStyle name="Normal 28 3 8 2 2" xfId="25317" xr:uid="{00000000-0005-0000-0000-00007A2D0000}"/>
    <cellStyle name="Normal 28 3 8 3" xfId="7654" xr:uid="{00000000-0005-0000-0000-00007B2D0000}"/>
    <cellStyle name="Normal 28 3 8 3 2" xfId="25318" xr:uid="{00000000-0005-0000-0000-00007C2D0000}"/>
    <cellStyle name="Normal 28 3 8 4" xfId="7655" xr:uid="{00000000-0005-0000-0000-00007D2D0000}"/>
    <cellStyle name="Normal 28 3 8 4 2" xfId="25319" xr:uid="{00000000-0005-0000-0000-00007E2D0000}"/>
    <cellStyle name="Normal 28 3 8 5" xfId="7656" xr:uid="{00000000-0005-0000-0000-00007F2D0000}"/>
    <cellStyle name="Normal 28 3 8 5 2" xfId="25320" xr:uid="{00000000-0005-0000-0000-0000802D0000}"/>
    <cellStyle name="Normal 28 3 8 6" xfId="7657" xr:uid="{00000000-0005-0000-0000-0000812D0000}"/>
    <cellStyle name="Normal 28 3 8 6 2" xfId="25321" xr:uid="{00000000-0005-0000-0000-0000822D0000}"/>
    <cellStyle name="Normal 28 3 8 7" xfId="7658" xr:uid="{00000000-0005-0000-0000-0000832D0000}"/>
    <cellStyle name="Normal 28 3 8 7 2" xfId="25322" xr:uid="{00000000-0005-0000-0000-0000842D0000}"/>
    <cellStyle name="Normal 28 3 8 8" xfId="7659" xr:uid="{00000000-0005-0000-0000-0000852D0000}"/>
    <cellStyle name="Normal 28 3 8 8 2" xfId="25323" xr:uid="{00000000-0005-0000-0000-0000862D0000}"/>
    <cellStyle name="Normal 28 3 8 9" xfId="7660" xr:uid="{00000000-0005-0000-0000-0000872D0000}"/>
    <cellStyle name="Normal 28 3 8 9 2" xfId="25324" xr:uid="{00000000-0005-0000-0000-0000882D0000}"/>
    <cellStyle name="Normal 28 3 9" xfId="7661" xr:uid="{00000000-0005-0000-0000-0000892D0000}"/>
    <cellStyle name="Normal 28 3 9 10" xfId="7662" xr:uid="{00000000-0005-0000-0000-00008A2D0000}"/>
    <cellStyle name="Normal 28 3 9 10 2" xfId="25326" xr:uid="{00000000-0005-0000-0000-00008B2D0000}"/>
    <cellStyle name="Normal 28 3 9 11" xfId="7663" xr:uid="{00000000-0005-0000-0000-00008C2D0000}"/>
    <cellStyle name="Normal 28 3 9 11 2" xfId="25327" xr:uid="{00000000-0005-0000-0000-00008D2D0000}"/>
    <cellStyle name="Normal 28 3 9 12" xfId="7664" xr:uid="{00000000-0005-0000-0000-00008E2D0000}"/>
    <cellStyle name="Normal 28 3 9 12 2" xfId="25328" xr:uid="{00000000-0005-0000-0000-00008F2D0000}"/>
    <cellStyle name="Normal 28 3 9 13" xfId="7665" xr:uid="{00000000-0005-0000-0000-0000902D0000}"/>
    <cellStyle name="Normal 28 3 9 13 2" xfId="25329" xr:uid="{00000000-0005-0000-0000-0000912D0000}"/>
    <cellStyle name="Normal 28 3 9 14" xfId="7666" xr:uid="{00000000-0005-0000-0000-0000922D0000}"/>
    <cellStyle name="Normal 28 3 9 14 2" xfId="25330" xr:uid="{00000000-0005-0000-0000-0000932D0000}"/>
    <cellStyle name="Normal 28 3 9 15" xfId="25325" xr:uid="{00000000-0005-0000-0000-0000942D0000}"/>
    <cellStyle name="Normal 28 3 9 2" xfId="7667" xr:uid="{00000000-0005-0000-0000-0000952D0000}"/>
    <cellStyle name="Normal 28 3 9 2 2" xfId="25331" xr:uid="{00000000-0005-0000-0000-0000962D0000}"/>
    <cellStyle name="Normal 28 3 9 3" xfId="7668" xr:uid="{00000000-0005-0000-0000-0000972D0000}"/>
    <cellStyle name="Normal 28 3 9 3 2" xfId="25332" xr:uid="{00000000-0005-0000-0000-0000982D0000}"/>
    <cellStyle name="Normal 28 3 9 4" xfId="7669" xr:uid="{00000000-0005-0000-0000-0000992D0000}"/>
    <cellStyle name="Normal 28 3 9 4 2" xfId="25333" xr:uid="{00000000-0005-0000-0000-00009A2D0000}"/>
    <cellStyle name="Normal 28 3 9 5" xfId="7670" xr:uid="{00000000-0005-0000-0000-00009B2D0000}"/>
    <cellStyle name="Normal 28 3 9 5 2" xfId="25334" xr:uid="{00000000-0005-0000-0000-00009C2D0000}"/>
    <cellStyle name="Normal 28 3 9 6" xfId="7671" xr:uid="{00000000-0005-0000-0000-00009D2D0000}"/>
    <cellStyle name="Normal 28 3 9 6 2" xfId="25335" xr:uid="{00000000-0005-0000-0000-00009E2D0000}"/>
    <cellStyle name="Normal 28 3 9 7" xfId="7672" xr:uid="{00000000-0005-0000-0000-00009F2D0000}"/>
    <cellStyle name="Normal 28 3 9 7 2" xfId="25336" xr:uid="{00000000-0005-0000-0000-0000A02D0000}"/>
    <cellStyle name="Normal 28 3 9 8" xfId="7673" xr:uid="{00000000-0005-0000-0000-0000A12D0000}"/>
    <cellStyle name="Normal 28 3 9 8 2" xfId="25337" xr:uid="{00000000-0005-0000-0000-0000A22D0000}"/>
    <cellStyle name="Normal 28 3 9 9" xfId="7674" xr:uid="{00000000-0005-0000-0000-0000A32D0000}"/>
    <cellStyle name="Normal 28 3 9 9 2" xfId="25338" xr:uid="{00000000-0005-0000-0000-0000A42D0000}"/>
    <cellStyle name="Normal 28 4" xfId="7675" xr:uid="{00000000-0005-0000-0000-0000A52D0000}"/>
    <cellStyle name="Normal 28 4 10" xfId="7676" xr:uid="{00000000-0005-0000-0000-0000A62D0000}"/>
    <cellStyle name="Normal 28 4 10 10" xfId="7677" xr:uid="{00000000-0005-0000-0000-0000A72D0000}"/>
    <cellStyle name="Normal 28 4 10 10 2" xfId="25341" xr:uid="{00000000-0005-0000-0000-0000A82D0000}"/>
    <cellStyle name="Normal 28 4 10 11" xfId="7678" xr:uid="{00000000-0005-0000-0000-0000A92D0000}"/>
    <cellStyle name="Normal 28 4 10 11 2" xfId="25342" xr:uid="{00000000-0005-0000-0000-0000AA2D0000}"/>
    <cellStyle name="Normal 28 4 10 12" xfId="7679" xr:uid="{00000000-0005-0000-0000-0000AB2D0000}"/>
    <cellStyle name="Normal 28 4 10 12 2" xfId="25343" xr:uid="{00000000-0005-0000-0000-0000AC2D0000}"/>
    <cellStyle name="Normal 28 4 10 13" xfId="7680" xr:uid="{00000000-0005-0000-0000-0000AD2D0000}"/>
    <cellStyle name="Normal 28 4 10 13 2" xfId="25344" xr:uid="{00000000-0005-0000-0000-0000AE2D0000}"/>
    <cellStyle name="Normal 28 4 10 14" xfId="7681" xr:uid="{00000000-0005-0000-0000-0000AF2D0000}"/>
    <cellStyle name="Normal 28 4 10 14 2" xfId="25345" xr:uid="{00000000-0005-0000-0000-0000B02D0000}"/>
    <cellStyle name="Normal 28 4 10 15" xfId="25340" xr:uid="{00000000-0005-0000-0000-0000B12D0000}"/>
    <cellStyle name="Normal 28 4 10 2" xfId="7682" xr:uid="{00000000-0005-0000-0000-0000B22D0000}"/>
    <cellStyle name="Normal 28 4 10 2 2" xfId="25346" xr:uid="{00000000-0005-0000-0000-0000B32D0000}"/>
    <cellStyle name="Normal 28 4 10 3" xfId="7683" xr:uid="{00000000-0005-0000-0000-0000B42D0000}"/>
    <cellStyle name="Normal 28 4 10 3 2" xfId="25347" xr:uid="{00000000-0005-0000-0000-0000B52D0000}"/>
    <cellStyle name="Normal 28 4 10 4" xfId="7684" xr:uid="{00000000-0005-0000-0000-0000B62D0000}"/>
    <cellStyle name="Normal 28 4 10 4 2" xfId="25348" xr:uid="{00000000-0005-0000-0000-0000B72D0000}"/>
    <cellStyle name="Normal 28 4 10 5" xfId="7685" xr:uid="{00000000-0005-0000-0000-0000B82D0000}"/>
    <cellStyle name="Normal 28 4 10 5 2" xfId="25349" xr:uid="{00000000-0005-0000-0000-0000B92D0000}"/>
    <cellStyle name="Normal 28 4 10 6" xfId="7686" xr:uid="{00000000-0005-0000-0000-0000BA2D0000}"/>
    <cellStyle name="Normal 28 4 10 6 2" xfId="25350" xr:uid="{00000000-0005-0000-0000-0000BB2D0000}"/>
    <cellStyle name="Normal 28 4 10 7" xfId="7687" xr:uid="{00000000-0005-0000-0000-0000BC2D0000}"/>
    <cellStyle name="Normal 28 4 10 7 2" xfId="25351" xr:uid="{00000000-0005-0000-0000-0000BD2D0000}"/>
    <cellStyle name="Normal 28 4 10 8" xfId="7688" xr:uid="{00000000-0005-0000-0000-0000BE2D0000}"/>
    <cellStyle name="Normal 28 4 10 8 2" xfId="25352" xr:uid="{00000000-0005-0000-0000-0000BF2D0000}"/>
    <cellStyle name="Normal 28 4 10 9" xfId="7689" xr:uid="{00000000-0005-0000-0000-0000C02D0000}"/>
    <cellStyle name="Normal 28 4 10 9 2" xfId="25353" xr:uid="{00000000-0005-0000-0000-0000C12D0000}"/>
    <cellStyle name="Normal 28 4 11" xfId="7690" xr:uid="{00000000-0005-0000-0000-0000C22D0000}"/>
    <cellStyle name="Normal 28 4 11 10" xfId="7691" xr:uid="{00000000-0005-0000-0000-0000C32D0000}"/>
    <cellStyle name="Normal 28 4 11 10 2" xfId="25355" xr:uid="{00000000-0005-0000-0000-0000C42D0000}"/>
    <cellStyle name="Normal 28 4 11 11" xfId="7692" xr:uid="{00000000-0005-0000-0000-0000C52D0000}"/>
    <cellStyle name="Normal 28 4 11 11 2" xfId="25356" xr:uid="{00000000-0005-0000-0000-0000C62D0000}"/>
    <cellStyle name="Normal 28 4 11 12" xfId="7693" xr:uid="{00000000-0005-0000-0000-0000C72D0000}"/>
    <cellStyle name="Normal 28 4 11 12 2" xfId="25357" xr:uid="{00000000-0005-0000-0000-0000C82D0000}"/>
    <cellStyle name="Normal 28 4 11 13" xfId="7694" xr:uid="{00000000-0005-0000-0000-0000C92D0000}"/>
    <cellStyle name="Normal 28 4 11 13 2" xfId="25358" xr:uid="{00000000-0005-0000-0000-0000CA2D0000}"/>
    <cellStyle name="Normal 28 4 11 14" xfId="7695" xr:uid="{00000000-0005-0000-0000-0000CB2D0000}"/>
    <cellStyle name="Normal 28 4 11 14 2" xfId="25359" xr:uid="{00000000-0005-0000-0000-0000CC2D0000}"/>
    <cellStyle name="Normal 28 4 11 15" xfId="25354" xr:uid="{00000000-0005-0000-0000-0000CD2D0000}"/>
    <cellStyle name="Normal 28 4 11 2" xfId="7696" xr:uid="{00000000-0005-0000-0000-0000CE2D0000}"/>
    <cellStyle name="Normal 28 4 11 2 2" xfId="25360" xr:uid="{00000000-0005-0000-0000-0000CF2D0000}"/>
    <cellStyle name="Normal 28 4 11 3" xfId="7697" xr:uid="{00000000-0005-0000-0000-0000D02D0000}"/>
    <cellStyle name="Normal 28 4 11 3 2" xfId="25361" xr:uid="{00000000-0005-0000-0000-0000D12D0000}"/>
    <cellStyle name="Normal 28 4 11 4" xfId="7698" xr:uid="{00000000-0005-0000-0000-0000D22D0000}"/>
    <cellStyle name="Normal 28 4 11 4 2" xfId="25362" xr:uid="{00000000-0005-0000-0000-0000D32D0000}"/>
    <cellStyle name="Normal 28 4 11 5" xfId="7699" xr:uid="{00000000-0005-0000-0000-0000D42D0000}"/>
    <cellStyle name="Normal 28 4 11 5 2" xfId="25363" xr:uid="{00000000-0005-0000-0000-0000D52D0000}"/>
    <cellStyle name="Normal 28 4 11 6" xfId="7700" xr:uid="{00000000-0005-0000-0000-0000D62D0000}"/>
    <cellStyle name="Normal 28 4 11 6 2" xfId="25364" xr:uid="{00000000-0005-0000-0000-0000D72D0000}"/>
    <cellStyle name="Normal 28 4 11 7" xfId="7701" xr:uid="{00000000-0005-0000-0000-0000D82D0000}"/>
    <cellStyle name="Normal 28 4 11 7 2" xfId="25365" xr:uid="{00000000-0005-0000-0000-0000D92D0000}"/>
    <cellStyle name="Normal 28 4 11 8" xfId="7702" xr:uid="{00000000-0005-0000-0000-0000DA2D0000}"/>
    <cellStyle name="Normal 28 4 11 8 2" xfId="25366" xr:uid="{00000000-0005-0000-0000-0000DB2D0000}"/>
    <cellStyle name="Normal 28 4 11 9" xfId="7703" xr:uid="{00000000-0005-0000-0000-0000DC2D0000}"/>
    <cellStyle name="Normal 28 4 11 9 2" xfId="25367" xr:uid="{00000000-0005-0000-0000-0000DD2D0000}"/>
    <cellStyle name="Normal 28 4 12" xfId="7704" xr:uid="{00000000-0005-0000-0000-0000DE2D0000}"/>
    <cellStyle name="Normal 28 4 12 10" xfId="7705" xr:uid="{00000000-0005-0000-0000-0000DF2D0000}"/>
    <cellStyle name="Normal 28 4 12 10 2" xfId="25369" xr:uid="{00000000-0005-0000-0000-0000E02D0000}"/>
    <cellStyle name="Normal 28 4 12 11" xfId="7706" xr:uid="{00000000-0005-0000-0000-0000E12D0000}"/>
    <cellStyle name="Normal 28 4 12 11 2" xfId="25370" xr:uid="{00000000-0005-0000-0000-0000E22D0000}"/>
    <cellStyle name="Normal 28 4 12 12" xfId="7707" xr:uid="{00000000-0005-0000-0000-0000E32D0000}"/>
    <cellStyle name="Normal 28 4 12 12 2" xfId="25371" xr:uid="{00000000-0005-0000-0000-0000E42D0000}"/>
    <cellStyle name="Normal 28 4 12 13" xfId="7708" xr:uid="{00000000-0005-0000-0000-0000E52D0000}"/>
    <cellStyle name="Normal 28 4 12 13 2" xfId="25372" xr:uid="{00000000-0005-0000-0000-0000E62D0000}"/>
    <cellStyle name="Normal 28 4 12 14" xfId="7709" xr:uid="{00000000-0005-0000-0000-0000E72D0000}"/>
    <cellStyle name="Normal 28 4 12 14 2" xfId="25373" xr:uid="{00000000-0005-0000-0000-0000E82D0000}"/>
    <cellStyle name="Normal 28 4 12 15" xfId="25368" xr:uid="{00000000-0005-0000-0000-0000E92D0000}"/>
    <cellStyle name="Normal 28 4 12 2" xfId="7710" xr:uid="{00000000-0005-0000-0000-0000EA2D0000}"/>
    <cellStyle name="Normal 28 4 12 2 2" xfId="25374" xr:uid="{00000000-0005-0000-0000-0000EB2D0000}"/>
    <cellStyle name="Normal 28 4 12 3" xfId="7711" xr:uid="{00000000-0005-0000-0000-0000EC2D0000}"/>
    <cellStyle name="Normal 28 4 12 3 2" xfId="25375" xr:uid="{00000000-0005-0000-0000-0000ED2D0000}"/>
    <cellStyle name="Normal 28 4 12 4" xfId="7712" xr:uid="{00000000-0005-0000-0000-0000EE2D0000}"/>
    <cellStyle name="Normal 28 4 12 4 2" xfId="25376" xr:uid="{00000000-0005-0000-0000-0000EF2D0000}"/>
    <cellStyle name="Normal 28 4 12 5" xfId="7713" xr:uid="{00000000-0005-0000-0000-0000F02D0000}"/>
    <cellStyle name="Normal 28 4 12 5 2" xfId="25377" xr:uid="{00000000-0005-0000-0000-0000F12D0000}"/>
    <cellStyle name="Normal 28 4 12 6" xfId="7714" xr:uid="{00000000-0005-0000-0000-0000F22D0000}"/>
    <cellStyle name="Normal 28 4 12 6 2" xfId="25378" xr:uid="{00000000-0005-0000-0000-0000F32D0000}"/>
    <cellStyle name="Normal 28 4 12 7" xfId="7715" xr:uid="{00000000-0005-0000-0000-0000F42D0000}"/>
    <cellStyle name="Normal 28 4 12 7 2" xfId="25379" xr:uid="{00000000-0005-0000-0000-0000F52D0000}"/>
    <cellStyle name="Normal 28 4 12 8" xfId="7716" xr:uid="{00000000-0005-0000-0000-0000F62D0000}"/>
    <cellStyle name="Normal 28 4 12 8 2" xfId="25380" xr:uid="{00000000-0005-0000-0000-0000F72D0000}"/>
    <cellStyle name="Normal 28 4 12 9" xfId="7717" xr:uid="{00000000-0005-0000-0000-0000F82D0000}"/>
    <cellStyle name="Normal 28 4 12 9 2" xfId="25381" xr:uid="{00000000-0005-0000-0000-0000F92D0000}"/>
    <cellStyle name="Normal 28 4 13" xfId="7718" xr:uid="{00000000-0005-0000-0000-0000FA2D0000}"/>
    <cellStyle name="Normal 28 4 13 10" xfId="7719" xr:uid="{00000000-0005-0000-0000-0000FB2D0000}"/>
    <cellStyle name="Normal 28 4 13 10 2" xfId="25383" xr:uid="{00000000-0005-0000-0000-0000FC2D0000}"/>
    <cellStyle name="Normal 28 4 13 11" xfId="7720" xr:uid="{00000000-0005-0000-0000-0000FD2D0000}"/>
    <cellStyle name="Normal 28 4 13 11 2" xfId="25384" xr:uid="{00000000-0005-0000-0000-0000FE2D0000}"/>
    <cellStyle name="Normal 28 4 13 12" xfId="7721" xr:uid="{00000000-0005-0000-0000-0000FF2D0000}"/>
    <cellStyle name="Normal 28 4 13 12 2" xfId="25385" xr:uid="{00000000-0005-0000-0000-0000002E0000}"/>
    <cellStyle name="Normal 28 4 13 13" xfId="7722" xr:uid="{00000000-0005-0000-0000-0000012E0000}"/>
    <cellStyle name="Normal 28 4 13 13 2" xfId="25386" xr:uid="{00000000-0005-0000-0000-0000022E0000}"/>
    <cellStyle name="Normal 28 4 13 14" xfId="7723" xr:uid="{00000000-0005-0000-0000-0000032E0000}"/>
    <cellStyle name="Normal 28 4 13 14 2" xfId="25387" xr:uid="{00000000-0005-0000-0000-0000042E0000}"/>
    <cellStyle name="Normal 28 4 13 15" xfId="25382" xr:uid="{00000000-0005-0000-0000-0000052E0000}"/>
    <cellStyle name="Normal 28 4 13 2" xfId="7724" xr:uid="{00000000-0005-0000-0000-0000062E0000}"/>
    <cellStyle name="Normal 28 4 13 2 2" xfId="25388" xr:uid="{00000000-0005-0000-0000-0000072E0000}"/>
    <cellStyle name="Normal 28 4 13 3" xfId="7725" xr:uid="{00000000-0005-0000-0000-0000082E0000}"/>
    <cellStyle name="Normal 28 4 13 3 2" xfId="25389" xr:uid="{00000000-0005-0000-0000-0000092E0000}"/>
    <cellStyle name="Normal 28 4 13 4" xfId="7726" xr:uid="{00000000-0005-0000-0000-00000A2E0000}"/>
    <cellStyle name="Normal 28 4 13 4 2" xfId="25390" xr:uid="{00000000-0005-0000-0000-00000B2E0000}"/>
    <cellStyle name="Normal 28 4 13 5" xfId="7727" xr:uid="{00000000-0005-0000-0000-00000C2E0000}"/>
    <cellStyle name="Normal 28 4 13 5 2" xfId="25391" xr:uid="{00000000-0005-0000-0000-00000D2E0000}"/>
    <cellStyle name="Normal 28 4 13 6" xfId="7728" xr:uid="{00000000-0005-0000-0000-00000E2E0000}"/>
    <cellStyle name="Normal 28 4 13 6 2" xfId="25392" xr:uid="{00000000-0005-0000-0000-00000F2E0000}"/>
    <cellStyle name="Normal 28 4 13 7" xfId="7729" xr:uid="{00000000-0005-0000-0000-0000102E0000}"/>
    <cellStyle name="Normal 28 4 13 7 2" xfId="25393" xr:uid="{00000000-0005-0000-0000-0000112E0000}"/>
    <cellStyle name="Normal 28 4 13 8" xfId="7730" xr:uid="{00000000-0005-0000-0000-0000122E0000}"/>
    <cellStyle name="Normal 28 4 13 8 2" xfId="25394" xr:uid="{00000000-0005-0000-0000-0000132E0000}"/>
    <cellStyle name="Normal 28 4 13 9" xfId="7731" xr:uid="{00000000-0005-0000-0000-0000142E0000}"/>
    <cellStyle name="Normal 28 4 13 9 2" xfId="25395" xr:uid="{00000000-0005-0000-0000-0000152E0000}"/>
    <cellStyle name="Normal 28 4 14" xfId="7732" xr:uid="{00000000-0005-0000-0000-0000162E0000}"/>
    <cellStyle name="Normal 28 4 14 10" xfId="7733" xr:uid="{00000000-0005-0000-0000-0000172E0000}"/>
    <cellStyle name="Normal 28 4 14 10 2" xfId="25397" xr:uid="{00000000-0005-0000-0000-0000182E0000}"/>
    <cellStyle name="Normal 28 4 14 11" xfId="7734" xr:uid="{00000000-0005-0000-0000-0000192E0000}"/>
    <cellStyle name="Normal 28 4 14 11 2" xfId="25398" xr:uid="{00000000-0005-0000-0000-00001A2E0000}"/>
    <cellStyle name="Normal 28 4 14 12" xfId="7735" xr:uid="{00000000-0005-0000-0000-00001B2E0000}"/>
    <cellStyle name="Normal 28 4 14 12 2" xfId="25399" xr:uid="{00000000-0005-0000-0000-00001C2E0000}"/>
    <cellStyle name="Normal 28 4 14 13" xfId="7736" xr:uid="{00000000-0005-0000-0000-00001D2E0000}"/>
    <cellStyle name="Normal 28 4 14 13 2" xfId="25400" xr:uid="{00000000-0005-0000-0000-00001E2E0000}"/>
    <cellStyle name="Normal 28 4 14 14" xfId="7737" xr:uid="{00000000-0005-0000-0000-00001F2E0000}"/>
    <cellStyle name="Normal 28 4 14 14 2" xfId="25401" xr:uid="{00000000-0005-0000-0000-0000202E0000}"/>
    <cellStyle name="Normal 28 4 14 15" xfId="25396" xr:uid="{00000000-0005-0000-0000-0000212E0000}"/>
    <cellStyle name="Normal 28 4 14 2" xfId="7738" xr:uid="{00000000-0005-0000-0000-0000222E0000}"/>
    <cellStyle name="Normal 28 4 14 2 2" xfId="25402" xr:uid="{00000000-0005-0000-0000-0000232E0000}"/>
    <cellStyle name="Normal 28 4 14 3" xfId="7739" xr:uid="{00000000-0005-0000-0000-0000242E0000}"/>
    <cellStyle name="Normal 28 4 14 3 2" xfId="25403" xr:uid="{00000000-0005-0000-0000-0000252E0000}"/>
    <cellStyle name="Normal 28 4 14 4" xfId="7740" xr:uid="{00000000-0005-0000-0000-0000262E0000}"/>
    <cellStyle name="Normal 28 4 14 4 2" xfId="25404" xr:uid="{00000000-0005-0000-0000-0000272E0000}"/>
    <cellStyle name="Normal 28 4 14 5" xfId="7741" xr:uid="{00000000-0005-0000-0000-0000282E0000}"/>
    <cellStyle name="Normal 28 4 14 5 2" xfId="25405" xr:uid="{00000000-0005-0000-0000-0000292E0000}"/>
    <cellStyle name="Normal 28 4 14 6" xfId="7742" xr:uid="{00000000-0005-0000-0000-00002A2E0000}"/>
    <cellStyle name="Normal 28 4 14 6 2" xfId="25406" xr:uid="{00000000-0005-0000-0000-00002B2E0000}"/>
    <cellStyle name="Normal 28 4 14 7" xfId="7743" xr:uid="{00000000-0005-0000-0000-00002C2E0000}"/>
    <cellStyle name="Normal 28 4 14 7 2" xfId="25407" xr:uid="{00000000-0005-0000-0000-00002D2E0000}"/>
    <cellStyle name="Normal 28 4 14 8" xfId="7744" xr:uid="{00000000-0005-0000-0000-00002E2E0000}"/>
    <cellStyle name="Normal 28 4 14 8 2" xfId="25408" xr:uid="{00000000-0005-0000-0000-00002F2E0000}"/>
    <cellStyle name="Normal 28 4 14 9" xfId="7745" xr:uid="{00000000-0005-0000-0000-0000302E0000}"/>
    <cellStyle name="Normal 28 4 14 9 2" xfId="25409" xr:uid="{00000000-0005-0000-0000-0000312E0000}"/>
    <cellStyle name="Normal 28 4 15" xfId="7746" xr:uid="{00000000-0005-0000-0000-0000322E0000}"/>
    <cellStyle name="Normal 28 4 15 10" xfId="7747" xr:uid="{00000000-0005-0000-0000-0000332E0000}"/>
    <cellStyle name="Normal 28 4 15 10 2" xfId="25411" xr:uid="{00000000-0005-0000-0000-0000342E0000}"/>
    <cellStyle name="Normal 28 4 15 11" xfId="7748" xr:uid="{00000000-0005-0000-0000-0000352E0000}"/>
    <cellStyle name="Normal 28 4 15 11 2" xfId="25412" xr:uid="{00000000-0005-0000-0000-0000362E0000}"/>
    <cellStyle name="Normal 28 4 15 12" xfId="7749" xr:uid="{00000000-0005-0000-0000-0000372E0000}"/>
    <cellStyle name="Normal 28 4 15 12 2" xfId="25413" xr:uid="{00000000-0005-0000-0000-0000382E0000}"/>
    <cellStyle name="Normal 28 4 15 13" xfId="7750" xr:uid="{00000000-0005-0000-0000-0000392E0000}"/>
    <cellStyle name="Normal 28 4 15 13 2" xfId="25414" xr:uid="{00000000-0005-0000-0000-00003A2E0000}"/>
    <cellStyle name="Normal 28 4 15 14" xfId="7751" xr:uid="{00000000-0005-0000-0000-00003B2E0000}"/>
    <cellStyle name="Normal 28 4 15 14 2" xfId="25415" xr:uid="{00000000-0005-0000-0000-00003C2E0000}"/>
    <cellStyle name="Normal 28 4 15 15" xfId="25410" xr:uid="{00000000-0005-0000-0000-00003D2E0000}"/>
    <cellStyle name="Normal 28 4 15 2" xfId="7752" xr:uid="{00000000-0005-0000-0000-00003E2E0000}"/>
    <cellStyle name="Normal 28 4 15 2 2" xfId="25416" xr:uid="{00000000-0005-0000-0000-00003F2E0000}"/>
    <cellStyle name="Normal 28 4 15 3" xfId="7753" xr:uid="{00000000-0005-0000-0000-0000402E0000}"/>
    <cellStyle name="Normal 28 4 15 3 2" xfId="25417" xr:uid="{00000000-0005-0000-0000-0000412E0000}"/>
    <cellStyle name="Normal 28 4 15 4" xfId="7754" xr:uid="{00000000-0005-0000-0000-0000422E0000}"/>
    <cellStyle name="Normal 28 4 15 4 2" xfId="25418" xr:uid="{00000000-0005-0000-0000-0000432E0000}"/>
    <cellStyle name="Normal 28 4 15 5" xfId="7755" xr:uid="{00000000-0005-0000-0000-0000442E0000}"/>
    <cellStyle name="Normal 28 4 15 5 2" xfId="25419" xr:uid="{00000000-0005-0000-0000-0000452E0000}"/>
    <cellStyle name="Normal 28 4 15 6" xfId="7756" xr:uid="{00000000-0005-0000-0000-0000462E0000}"/>
    <cellStyle name="Normal 28 4 15 6 2" xfId="25420" xr:uid="{00000000-0005-0000-0000-0000472E0000}"/>
    <cellStyle name="Normal 28 4 15 7" xfId="7757" xr:uid="{00000000-0005-0000-0000-0000482E0000}"/>
    <cellStyle name="Normal 28 4 15 7 2" xfId="25421" xr:uid="{00000000-0005-0000-0000-0000492E0000}"/>
    <cellStyle name="Normal 28 4 15 8" xfId="7758" xr:uid="{00000000-0005-0000-0000-00004A2E0000}"/>
    <cellStyle name="Normal 28 4 15 8 2" xfId="25422" xr:uid="{00000000-0005-0000-0000-00004B2E0000}"/>
    <cellStyle name="Normal 28 4 15 9" xfId="7759" xr:uid="{00000000-0005-0000-0000-00004C2E0000}"/>
    <cellStyle name="Normal 28 4 15 9 2" xfId="25423" xr:uid="{00000000-0005-0000-0000-00004D2E0000}"/>
    <cellStyle name="Normal 28 4 16" xfId="7760" xr:uid="{00000000-0005-0000-0000-00004E2E0000}"/>
    <cellStyle name="Normal 28 4 16 2" xfId="25424" xr:uid="{00000000-0005-0000-0000-00004F2E0000}"/>
    <cellStyle name="Normal 28 4 17" xfId="7761" xr:uid="{00000000-0005-0000-0000-0000502E0000}"/>
    <cellStyle name="Normal 28 4 17 2" xfId="25425" xr:uid="{00000000-0005-0000-0000-0000512E0000}"/>
    <cellStyle name="Normal 28 4 18" xfId="7762" xr:uid="{00000000-0005-0000-0000-0000522E0000}"/>
    <cellStyle name="Normal 28 4 18 2" xfId="25426" xr:uid="{00000000-0005-0000-0000-0000532E0000}"/>
    <cellStyle name="Normal 28 4 19" xfId="7763" xr:uid="{00000000-0005-0000-0000-0000542E0000}"/>
    <cellStyle name="Normal 28 4 19 2" xfId="25427" xr:uid="{00000000-0005-0000-0000-0000552E0000}"/>
    <cellStyle name="Normal 28 4 2" xfId="7764" xr:uid="{00000000-0005-0000-0000-0000562E0000}"/>
    <cellStyle name="Normal 28 4 2 10" xfId="7765" xr:uid="{00000000-0005-0000-0000-0000572E0000}"/>
    <cellStyle name="Normal 28 4 2 10 2" xfId="25429" xr:uid="{00000000-0005-0000-0000-0000582E0000}"/>
    <cellStyle name="Normal 28 4 2 11" xfId="7766" xr:uid="{00000000-0005-0000-0000-0000592E0000}"/>
    <cellStyle name="Normal 28 4 2 11 2" xfId="25430" xr:uid="{00000000-0005-0000-0000-00005A2E0000}"/>
    <cellStyle name="Normal 28 4 2 12" xfId="7767" xr:uid="{00000000-0005-0000-0000-00005B2E0000}"/>
    <cellStyle name="Normal 28 4 2 12 2" xfId="25431" xr:uid="{00000000-0005-0000-0000-00005C2E0000}"/>
    <cellStyle name="Normal 28 4 2 13" xfId="7768" xr:uid="{00000000-0005-0000-0000-00005D2E0000}"/>
    <cellStyle name="Normal 28 4 2 13 2" xfId="25432" xr:uid="{00000000-0005-0000-0000-00005E2E0000}"/>
    <cellStyle name="Normal 28 4 2 14" xfId="7769" xr:uid="{00000000-0005-0000-0000-00005F2E0000}"/>
    <cellStyle name="Normal 28 4 2 14 2" xfId="25433" xr:uid="{00000000-0005-0000-0000-0000602E0000}"/>
    <cellStyle name="Normal 28 4 2 15" xfId="7770" xr:uid="{00000000-0005-0000-0000-0000612E0000}"/>
    <cellStyle name="Normal 28 4 2 15 2" xfId="25434" xr:uid="{00000000-0005-0000-0000-0000622E0000}"/>
    <cellStyle name="Normal 28 4 2 16" xfId="25428" xr:uid="{00000000-0005-0000-0000-0000632E0000}"/>
    <cellStyle name="Normal 28 4 2 2" xfId="7771" xr:uid="{00000000-0005-0000-0000-0000642E0000}"/>
    <cellStyle name="Normal 28 4 2 2 10" xfId="7772" xr:uid="{00000000-0005-0000-0000-0000652E0000}"/>
    <cellStyle name="Normal 28 4 2 2 10 2" xfId="25436" xr:uid="{00000000-0005-0000-0000-0000662E0000}"/>
    <cellStyle name="Normal 28 4 2 2 11" xfId="7773" xr:uid="{00000000-0005-0000-0000-0000672E0000}"/>
    <cellStyle name="Normal 28 4 2 2 11 2" xfId="25437" xr:uid="{00000000-0005-0000-0000-0000682E0000}"/>
    <cellStyle name="Normal 28 4 2 2 12" xfId="7774" xr:uid="{00000000-0005-0000-0000-0000692E0000}"/>
    <cellStyle name="Normal 28 4 2 2 12 2" xfId="25438" xr:uid="{00000000-0005-0000-0000-00006A2E0000}"/>
    <cellStyle name="Normal 28 4 2 2 13" xfId="7775" xr:uid="{00000000-0005-0000-0000-00006B2E0000}"/>
    <cellStyle name="Normal 28 4 2 2 13 2" xfId="25439" xr:uid="{00000000-0005-0000-0000-00006C2E0000}"/>
    <cellStyle name="Normal 28 4 2 2 14" xfId="7776" xr:uid="{00000000-0005-0000-0000-00006D2E0000}"/>
    <cellStyle name="Normal 28 4 2 2 14 2" xfId="25440" xr:uid="{00000000-0005-0000-0000-00006E2E0000}"/>
    <cellStyle name="Normal 28 4 2 2 15" xfId="25435" xr:uid="{00000000-0005-0000-0000-00006F2E0000}"/>
    <cellStyle name="Normal 28 4 2 2 2" xfId="7777" xr:uid="{00000000-0005-0000-0000-0000702E0000}"/>
    <cellStyle name="Normal 28 4 2 2 2 2" xfId="25441" xr:uid="{00000000-0005-0000-0000-0000712E0000}"/>
    <cellStyle name="Normal 28 4 2 2 3" xfId="7778" xr:uid="{00000000-0005-0000-0000-0000722E0000}"/>
    <cellStyle name="Normal 28 4 2 2 3 2" xfId="25442" xr:uid="{00000000-0005-0000-0000-0000732E0000}"/>
    <cellStyle name="Normal 28 4 2 2 4" xfId="7779" xr:uid="{00000000-0005-0000-0000-0000742E0000}"/>
    <cellStyle name="Normal 28 4 2 2 4 2" xfId="25443" xr:uid="{00000000-0005-0000-0000-0000752E0000}"/>
    <cellStyle name="Normal 28 4 2 2 5" xfId="7780" xr:uid="{00000000-0005-0000-0000-0000762E0000}"/>
    <cellStyle name="Normal 28 4 2 2 5 2" xfId="25444" xr:uid="{00000000-0005-0000-0000-0000772E0000}"/>
    <cellStyle name="Normal 28 4 2 2 6" xfId="7781" xr:uid="{00000000-0005-0000-0000-0000782E0000}"/>
    <cellStyle name="Normal 28 4 2 2 6 2" xfId="25445" xr:uid="{00000000-0005-0000-0000-0000792E0000}"/>
    <cellStyle name="Normal 28 4 2 2 7" xfId="7782" xr:uid="{00000000-0005-0000-0000-00007A2E0000}"/>
    <cellStyle name="Normal 28 4 2 2 7 2" xfId="25446" xr:uid="{00000000-0005-0000-0000-00007B2E0000}"/>
    <cellStyle name="Normal 28 4 2 2 8" xfId="7783" xr:uid="{00000000-0005-0000-0000-00007C2E0000}"/>
    <cellStyle name="Normal 28 4 2 2 8 2" xfId="25447" xr:uid="{00000000-0005-0000-0000-00007D2E0000}"/>
    <cellStyle name="Normal 28 4 2 2 9" xfId="7784" xr:uid="{00000000-0005-0000-0000-00007E2E0000}"/>
    <cellStyle name="Normal 28 4 2 2 9 2" xfId="25448" xr:uid="{00000000-0005-0000-0000-00007F2E0000}"/>
    <cellStyle name="Normal 28 4 2 3" xfId="7785" xr:uid="{00000000-0005-0000-0000-0000802E0000}"/>
    <cellStyle name="Normal 28 4 2 3 2" xfId="25449" xr:uid="{00000000-0005-0000-0000-0000812E0000}"/>
    <cellStyle name="Normal 28 4 2 4" xfId="7786" xr:uid="{00000000-0005-0000-0000-0000822E0000}"/>
    <cellStyle name="Normal 28 4 2 4 2" xfId="25450" xr:uid="{00000000-0005-0000-0000-0000832E0000}"/>
    <cellStyle name="Normal 28 4 2 5" xfId="7787" xr:uid="{00000000-0005-0000-0000-0000842E0000}"/>
    <cellStyle name="Normal 28 4 2 5 2" xfId="25451" xr:uid="{00000000-0005-0000-0000-0000852E0000}"/>
    <cellStyle name="Normal 28 4 2 6" xfId="7788" xr:uid="{00000000-0005-0000-0000-0000862E0000}"/>
    <cellStyle name="Normal 28 4 2 6 2" xfId="25452" xr:uid="{00000000-0005-0000-0000-0000872E0000}"/>
    <cellStyle name="Normal 28 4 2 7" xfId="7789" xr:uid="{00000000-0005-0000-0000-0000882E0000}"/>
    <cellStyle name="Normal 28 4 2 7 2" xfId="25453" xr:uid="{00000000-0005-0000-0000-0000892E0000}"/>
    <cellStyle name="Normal 28 4 2 8" xfId="7790" xr:uid="{00000000-0005-0000-0000-00008A2E0000}"/>
    <cellStyle name="Normal 28 4 2 8 2" xfId="25454" xr:uid="{00000000-0005-0000-0000-00008B2E0000}"/>
    <cellStyle name="Normal 28 4 2 9" xfId="7791" xr:uid="{00000000-0005-0000-0000-00008C2E0000}"/>
    <cellStyle name="Normal 28 4 2 9 2" xfId="25455" xr:uid="{00000000-0005-0000-0000-00008D2E0000}"/>
    <cellStyle name="Normal 28 4 20" xfId="7792" xr:uid="{00000000-0005-0000-0000-00008E2E0000}"/>
    <cellStyle name="Normal 28 4 20 2" xfId="25456" xr:uid="{00000000-0005-0000-0000-00008F2E0000}"/>
    <cellStyle name="Normal 28 4 21" xfId="7793" xr:uid="{00000000-0005-0000-0000-0000902E0000}"/>
    <cellStyle name="Normal 28 4 21 2" xfId="25457" xr:uid="{00000000-0005-0000-0000-0000912E0000}"/>
    <cellStyle name="Normal 28 4 22" xfId="7794" xr:uid="{00000000-0005-0000-0000-0000922E0000}"/>
    <cellStyle name="Normal 28 4 22 2" xfId="25458" xr:uid="{00000000-0005-0000-0000-0000932E0000}"/>
    <cellStyle name="Normal 28 4 23" xfId="7795" xr:uid="{00000000-0005-0000-0000-0000942E0000}"/>
    <cellStyle name="Normal 28 4 23 2" xfId="25459" xr:uid="{00000000-0005-0000-0000-0000952E0000}"/>
    <cellStyle name="Normal 28 4 24" xfId="7796" xr:uid="{00000000-0005-0000-0000-0000962E0000}"/>
    <cellStyle name="Normal 28 4 24 2" xfId="25460" xr:uid="{00000000-0005-0000-0000-0000972E0000}"/>
    <cellStyle name="Normal 28 4 25" xfId="7797" xr:uid="{00000000-0005-0000-0000-0000982E0000}"/>
    <cellStyle name="Normal 28 4 25 2" xfId="25461" xr:uid="{00000000-0005-0000-0000-0000992E0000}"/>
    <cellStyle name="Normal 28 4 26" xfId="7798" xr:uid="{00000000-0005-0000-0000-00009A2E0000}"/>
    <cellStyle name="Normal 28 4 26 2" xfId="25462" xr:uid="{00000000-0005-0000-0000-00009B2E0000}"/>
    <cellStyle name="Normal 28 4 27" xfId="7799" xr:uid="{00000000-0005-0000-0000-00009C2E0000}"/>
    <cellStyle name="Normal 28 4 27 2" xfId="25463" xr:uid="{00000000-0005-0000-0000-00009D2E0000}"/>
    <cellStyle name="Normal 28 4 28" xfId="7800" xr:uid="{00000000-0005-0000-0000-00009E2E0000}"/>
    <cellStyle name="Normal 28 4 28 2" xfId="25464" xr:uid="{00000000-0005-0000-0000-00009F2E0000}"/>
    <cellStyle name="Normal 28 4 29" xfId="25339" xr:uid="{00000000-0005-0000-0000-0000A02E0000}"/>
    <cellStyle name="Normal 28 4 3" xfId="7801" xr:uid="{00000000-0005-0000-0000-0000A12E0000}"/>
    <cellStyle name="Normal 28 4 3 10" xfId="7802" xr:uid="{00000000-0005-0000-0000-0000A22E0000}"/>
    <cellStyle name="Normal 28 4 3 10 2" xfId="25466" xr:uid="{00000000-0005-0000-0000-0000A32E0000}"/>
    <cellStyle name="Normal 28 4 3 11" xfId="7803" xr:uid="{00000000-0005-0000-0000-0000A42E0000}"/>
    <cellStyle name="Normal 28 4 3 11 2" xfId="25467" xr:uid="{00000000-0005-0000-0000-0000A52E0000}"/>
    <cellStyle name="Normal 28 4 3 12" xfId="7804" xr:uid="{00000000-0005-0000-0000-0000A62E0000}"/>
    <cellStyle name="Normal 28 4 3 12 2" xfId="25468" xr:uid="{00000000-0005-0000-0000-0000A72E0000}"/>
    <cellStyle name="Normal 28 4 3 13" xfId="7805" xr:uid="{00000000-0005-0000-0000-0000A82E0000}"/>
    <cellStyle name="Normal 28 4 3 13 2" xfId="25469" xr:uid="{00000000-0005-0000-0000-0000A92E0000}"/>
    <cellStyle name="Normal 28 4 3 14" xfId="7806" xr:uid="{00000000-0005-0000-0000-0000AA2E0000}"/>
    <cellStyle name="Normal 28 4 3 14 2" xfId="25470" xr:uid="{00000000-0005-0000-0000-0000AB2E0000}"/>
    <cellStyle name="Normal 28 4 3 15" xfId="7807" xr:uid="{00000000-0005-0000-0000-0000AC2E0000}"/>
    <cellStyle name="Normal 28 4 3 15 2" xfId="25471" xr:uid="{00000000-0005-0000-0000-0000AD2E0000}"/>
    <cellStyle name="Normal 28 4 3 16" xfId="25465" xr:uid="{00000000-0005-0000-0000-0000AE2E0000}"/>
    <cellStyle name="Normal 28 4 3 2" xfId="7808" xr:uid="{00000000-0005-0000-0000-0000AF2E0000}"/>
    <cellStyle name="Normal 28 4 3 2 10" xfId="7809" xr:uid="{00000000-0005-0000-0000-0000B02E0000}"/>
    <cellStyle name="Normal 28 4 3 2 10 2" xfId="25473" xr:uid="{00000000-0005-0000-0000-0000B12E0000}"/>
    <cellStyle name="Normal 28 4 3 2 11" xfId="7810" xr:uid="{00000000-0005-0000-0000-0000B22E0000}"/>
    <cellStyle name="Normal 28 4 3 2 11 2" xfId="25474" xr:uid="{00000000-0005-0000-0000-0000B32E0000}"/>
    <cellStyle name="Normal 28 4 3 2 12" xfId="7811" xr:uid="{00000000-0005-0000-0000-0000B42E0000}"/>
    <cellStyle name="Normal 28 4 3 2 12 2" xfId="25475" xr:uid="{00000000-0005-0000-0000-0000B52E0000}"/>
    <cellStyle name="Normal 28 4 3 2 13" xfId="7812" xr:uid="{00000000-0005-0000-0000-0000B62E0000}"/>
    <cellStyle name="Normal 28 4 3 2 13 2" xfId="25476" xr:uid="{00000000-0005-0000-0000-0000B72E0000}"/>
    <cellStyle name="Normal 28 4 3 2 14" xfId="7813" xr:uid="{00000000-0005-0000-0000-0000B82E0000}"/>
    <cellStyle name="Normal 28 4 3 2 14 2" xfId="25477" xr:uid="{00000000-0005-0000-0000-0000B92E0000}"/>
    <cellStyle name="Normal 28 4 3 2 15" xfId="25472" xr:uid="{00000000-0005-0000-0000-0000BA2E0000}"/>
    <cellStyle name="Normal 28 4 3 2 2" xfId="7814" xr:uid="{00000000-0005-0000-0000-0000BB2E0000}"/>
    <cellStyle name="Normal 28 4 3 2 2 2" xfId="25478" xr:uid="{00000000-0005-0000-0000-0000BC2E0000}"/>
    <cellStyle name="Normal 28 4 3 2 3" xfId="7815" xr:uid="{00000000-0005-0000-0000-0000BD2E0000}"/>
    <cellStyle name="Normal 28 4 3 2 3 2" xfId="25479" xr:uid="{00000000-0005-0000-0000-0000BE2E0000}"/>
    <cellStyle name="Normal 28 4 3 2 4" xfId="7816" xr:uid="{00000000-0005-0000-0000-0000BF2E0000}"/>
    <cellStyle name="Normal 28 4 3 2 4 2" xfId="25480" xr:uid="{00000000-0005-0000-0000-0000C02E0000}"/>
    <cellStyle name="Normal 28 4 3 2 5" xfId="7817" xr:uid="{00000000-0005-0000-0000-0000C12E0000}"/>
    <cellStyle name="Normal 28 4 3 2 5 2" xfId="25481" xr:uid="{00000000-0005-0000-0000-0000C22E0000}"/>
    <cellStyle name="Normal 28 4 3 2 6" xfId="7818" xr:uid="{00000000-0005-0000-0000-0000C32E0000}"/>
    <cellStyle name="Normal 28 4 3 2 6 2" xfId="25482" xr:uid="{00000000-0005-0000-0000-0000C42E0000}"/>
    <cellStyle name="Normal 28 4 3 2 7" xfId="7819" xr:uid="{00000000-0005-0000-0000-0000C52E0000}"/>
    <cellStyle name="Normal 28 4 3 2 7 2" xfId="25483" xr:uid="{00000000-0005-0000-0000-0000C62E0000}"/>
    <cellStyle name="Normal 28 4 3 2 8" xfId="7820" xr:uid="{00000000-0005-0000-0000-0000C72E0000}"/>
    <cellStyle name="Normal 28 4 3 2 8 2" xfId="25484" xr:uid="{00000000-0005-0000-0000-0000C82E0000}"/>
    <cellStyle name="Normal 28 4 3 2 9" xfId="7821" xr:uid="{00000000-0005-0000-0000-0000C92E0000}"/>
    <cellStyle name="Normal 28 4 3 2 9 2" xfId="25485" xr:uid="{00000000-0005-0000-0000-0000CA2E0000}"/>
    <cellStyle name="Normal 28 4 3 3" xfId="7822" xr:uid="{00000000-0005-0000-0000-0000CB2E0000}"/>
    <cellStyle name="Normal 28 4 3 3 2" xfId="25486" xr:uid="{00000000-0005-0000-0000-0000CC2E0000}"/>
    <cellStyle name="Normal 28 4 3 4" xfId="7823" xr:uid="{00000000-0005-0000-0000-0000CD2E0000}"/>
    <cellStyle name="Normal 28 4 3 4 2" xfId="25487" xr:uid="{00000000-0005-0000-0000-0000CE2E0000}"/>
    <cellStyle name="Normal 28 4 3 5" xfId="7824" xr:uid="{00000000-0005-0000-0000-0000CF2E0000}"/>
    <cellStyle name="Normal 28 4 3 5 2" xfId="25488" xr:uid="{00000000-0005-0000-0000-0000D02E0000}"/>
    <cellStyle name="Normal 28 4 3 6" xfId="7825" xr:uid="{00000000-0005-0000-0000-0000D12E0000}"/>
    <cellStyle name="Normal 28 4 3 6 2" xfId="25489" xr:uid="{00000000-0005-0000-0000-0000D22E0000}"/>
    <cellStyle name="Normal 28 4 3 7" xfId="7826" xr:uid="{00000000-0005-0000-0000-0000D32E0000}"/>
    <cellStyle name="Normal 28 4 3 7 2" xfId="25490" xr:uid="{00000000-0005-0000-0000-0000D42E0000}"/>
    <cellStyle name="Normal 28 4 3 8" xfId="7827" xr:uid="{00000000-0005-0000-0000-0000D52E0000}"/>
    <cellStyle name="Normal 28 4 3 8 2" xfId="25491" xr:uid="{00000000-0005-0000-0000-0000D62E0000}"/>
    <cellStyle name="Normal 28 4 3 9" xfId="7828" xr:uid="{00000000-0005-0000-0000-0000D72E0000}"/>
    <cellStyle name="Normal 28 4 3 9 2" xfId="25492" xr:uid="{00000000-0005-0000-0000-0000D82E0000}"/>
    <cellStyle name="Normal 28 4 4" xfId="7829" xr:uid="{00000000-0005-0000-0000-0000D92E0000}"/>
    <cellStyle name="Normal 28 4 4 10" xfId="7830" xr:uid="{00000000-0005-0000-0000-0000DA2E0000}"/>
    <cellStyle name="Normal 28 4 4 10 2" xfId="25494" xr:uid="{00000000-0005-0000-0000-0000DB2E0000}"/>
    <cellStyle name="Normal 28 4 4 11" xfId="7831" xr:uid="{00000000-0005-0000-0000-0000DC2E0000}"/>
    <cellStyle name="Normal 28 4 4 11 2" xfId="25495" xr:uid="{00000000-0005-0000-0000-0000DD2E0000}"/>
    <cellStyle name="Normal 28 4 4 12" xfId="7832" xr:uid="{00000000-0005-0000-0000-0000DE2E0000}"/>
    <cellStyle name="Normal 28 4 4 12 2" xfId="25496" xr:uid="{00000000-0005-0000-0000-0000DF2E0000}"/>
    <cellStyle name="Normal 28 4 4 13" xfId="7833" xr:uid="{00000000-0005-0000-0000-0000E02E0000}"/>
    <cellStyle name="Normal 28 4 4 13 2" xfId="25497" xr:uid="{00000000-0005-0000-0000-0000E12E0000}"/>
    <cellStyle name="Normal 28 4 4 14" xfId="7834" xr:uid="{00000000-0005-0000-0000-0000E22E0000}"/>
    <cellStyle name="Normal 28 4 4 14 2" xfId="25498" xr:uid="{00000000-0005-0000-0000-0000E32E0000}"/>
    <cellStyle name="Normal 28 4 4 15" xfId="7835" xr:uid="{00000000-0005-0000-0000-0000E42E0000}"/>
    <cellStyle name="Normal 28 4 4 15 2" xfId="25499" xr:uid="{00000000-0005-0000-0000-0000E52E0000}"/>
    <cellStyle name="Normal 28 4 4 16" xfId="25493" xr:uid="{00000000-0005-0000-0000-0000E62E0000}"/>
    <cellStyle name="Normal 28 4 4 2" xfId="7836" xr:uid="{00000000-0005-0000-0000-0000E72E0000}"/>
    <cellStyle name="Normal 28 4 4 2 10" xfId="7837" xr:uid="{00000000-0005-0000-0000-0000E82E0000}"/>
    <cellStyle name="Normal 28 4 4 2 10 2" xfId="25501" xr:uid="{00000000-0005-0000-0000-0000E92E0000}"/>
    <cellStyle name="Normal 28 4 4 2 11" xfId="7838" xr:uid="{00000000-0005-0000-0000-0000EA2E0000}"/>
    <cellStyle name="Normal 28 4 4 2 11 2" xfId="25502" xr:uid="{00000000-0005-0000-0000-0000EB2E0000}"/>
    <cellStyle name="Normal 28 4 4 2 12" xfId="7839" xr:uid="{00000000-0005-0000-0000-0000EC2E0000}"/>
    <cellStyle name="Normal 28 4 4 2 12 2" xfId="25503" xr:uid="{00000000-0005-0000-0000-0000ED2E0000}"/>
    <cellStyle name="Normal 28 4 4 2 13" xfId="7840" xr:uid="{00000000-0005-0000-0000-0000EE2E0000}"/>
    <cellStyle name="Normal 28 4 4 2 13 2" xfId="25504" xr:uid="{00000000-0005-0000-0000-0000EF2E0000}"/>
    <cellStyle name="Normal 28 4 4 2 14" xfId="7841" xr:uid="{00000000-0005-0000-0000-0000F02E0000}"/>
    <cellStyle name="Normal 28 4 4 2 14 2" xfId="25505" xr:uid="{00000000-0005-0000-0000-0000F12E0000}"/>
    <cellStyle name="Normal 28 4 4 2 15" xfId="25500" xr:uid="{00000000-0005-0000-0000-0000F22E0000}"/>
    <cellStyle name="Normal 28 4 4 2 2" xfId="7842" xr:uid="{00000000-0005-0000-0000-0000F32E0000}"/>
    <cellStyle name="Normal 28 4 4 2 2 2" xfId="25506" xr:uid="{00000000-0005-0000-0000-0000F42E0000}"/>
    <cellStyle name="Normal 28 4 4 2 3" xfId="7843" xr:uid="{00000000-0005-0000-0000-0000F52E0000}"/>
    <cellStyle name="Normal 28 4 4 2 3 2" xfId="25507" xr:uid="{00000000-0005-0000-0000-0000F62E0000}"/>
    <cellStyle name="Normal 28 4 4 2 4" xfId="7844" xr:uid="{00000000-0005-0000-0000-0000F72E0000}"/>
    <cellStyle name="Normal 28 4 4 2 4 2" xfId="25508" xr:uid="{00000000-0005-0000-0000-0000F82E0000}"/>
    <cellStyle name="Normal 28 4 4 2 5" xfId="7845" xr:uid="{00000000-0005-0000-0000-0000F92E0000}"/>
    <cellStyle name="Normal 28 4 4 2 5 2" xfId="25509" xr:uid="{00000000-0005-0000-0000-0000FA2E0000}"/>
    <cellStyle name="Normal 28 4 4 2 6" xfId="7846" xr:uid="{00000000-0005-0000-0000-0000FB2E0000}"/>
    <cellStyle name="Normal 28 4 4 2 6 2" xfId="25510" xr:uid="{00000000-0005-0000-0000-0000FC2E0000}"/>
    <cellStyle name="Normal 28 4 4 2 7" xfId="7847" xr:uid="{00000000-0005-0000-0000-0000FD2E0000}"/>
    <cellStyle name="Normal 28 4 4 2 7 2" xfId="25511" xr:uid="{00000000-0005-0000-0000-0000FE2E0000}"/>
    <cellStyle name="Normal 28 4 4 2 8" xfId="7848" xr:uid="{00000000-0005-0000-0000-0000FF2E0000}"/>
    <cellStyle name="Normal 28 4 4 2 8 2" xfId="25512" xr:uid="{00000000-0005-0000-0000-0000002F0000}"/>
    <cellStyle name="Normal 28 4 4 2 9" xfId="7849" xr:uid="{00000000-0005-0000-0000-0000012F0000}"/>
    <cellStyle name="Normal 28 4 4 2 9 2" xfId="25513" xr:uid="{00000000-0005-0000-0000-0000022F0000}"/>
    <cellStyle name="Normal 28 4 4 3" xfId="7850" xr:uid="{00000000-0005-0000-0000-0000032F0000}"/>
    <cellStyle name="Normal 28 4 4 3 2" xfId="25514" xr:uid="{00000000-0005-0000-0000-0000042F0000}"/>
    <cellStyle name="Normal 28 4 4 4" xfId="7851" xr:uid="{00000000-0005-0000-0000-0000052F0000}"/>
    <cellStyle name="Normal 28 4 4 4 2" xfId="25515" xr:uid="{00000000-0005-0000-0000-0000062F0000}"/>
    <cellStyle name="Normal 28 4 4 5" xfId="7852" xr:uid="{00000000-0005-0000-0000-0000072F0000}"/>
    <cellStyle name="Normal 28 4 4 5 2" xfId="25516" xr:uid="{00000000-0005-0000-0000-0000082F0000}"/>
    <cellStyle name="Normal 28 4 4 6" xfId="7853" xr:uid="{00000000-0005-0000-0000-0000092F0000}"/>
    <cellStyle name="Normal 28 4 4 6 2" xfId="25517" xr:uid="{00000000-0005-0000-0000-00000A2F0000}"/>
    <cellStyle name="Normal 28 4 4 7" xfId="7854" xr:uid="{00000000-0005-0000-0000-00000B2F0000}"/>
    <cellStyle name="Normal 28 4 4 7 2" xfId="25518" xr:uid="{00000000-0005-0000-0000-00000C2F0000}"/>
    <cellStyle name="Normal 28 4 4 8" xfId="7855" xr:uid="{00000000-0005-0000-0000-00000D2F0000}"/>
    <cellStyle name="Normal 28 4 4 8 2" xfId="25519" xr:uid="{00000000-0005-0000-0000-00000E2F0000}"/>
    <cellStyle name="Normal 28 4 4 9" xfId="7856" xr:uid="{00000000-0005-0000-0000-00000F2F0000}"/>
    <cellStyle name="Normal 28 4 4 9 2" xfId="25520" xr:uid="{00000000-0005-0000-0000-0000102F0000}"/>
    <cellStyle name="Normal 28 4 5" xfId="7857" xr:uid="{00000000-0005-0000-0000-0000112F0000}"/>
    <cellStyle name="Normal 28 4 5 10" xfId="7858" xr:uid="{00000000-0005-0000-0000-0000122F0000}"/>
    <cellStyle name="Normal 28 4 5 10 2" xfId="25522" xr:uid="{00000000-0005-0000-0000-0000132F0000}"/>
    <cellStyle name="Normal 28 4 5 11" xfId="7859" xr:uid="{00000000-0005-0000-0000-0000142F0000}"/>
    <cellStyle name="Normal 28 4 5 11 2" xfId="25523" xr:uid="{00000000-0005-0000-0000-0000152F0000}"/>
    <cellStyle name="Normal 28 4 5 12" xfId="7860" xr:uid="{00000000-0005-0000-0000-0000162F0000}"/>
    <cellStyle name="Normal 28 4 5 12 2" xfId="25524" xr:uid="{00000000-0005-0000-0000-0000172F0000}"/>
    <cellStyle name="Normal 28 4 5 13" xfId="7861" xr:uid="{00000000-0005-0000-0000-0000182F0000}"/>
    <cellStyle name="Normal 28 4 5 13 2" xfId="25525" xr:uid="{00000000-0005-0000-0000-0000192F0000}"/>
    <cellStyle name="Normal 28 4 5 14" xfId="7862" xr:uid="{00000000-0005-0000-0000-00001A2F0000}"/>
    <cellStyle name="Normal 28 4 5 14 2" xfId="25526" xr:uid="{00000000-0005-0000-0000-00001B2F0000}"/>
    <cellStyle name="Normal 28 4 5 15" xfId="25521" xr:uid="{00000000-0005-0000-0000-00001C2F0000}"/>
    <cellStyle name="Normal 28 4 5 2" xfId="7863" xr:uid="{00000000-0005-0000-0000-00001D2F0000}"/>
    <cellStyle name="Normal 28 4 5 2 2" xfId="25527" xr:uid="{00000000-0005-0000-0000-00001E2F0000}"/>
    <cellStyle name="Normal 28 4 5 3" xfId="7864" xr:uid="{00000000-0005-0000-0000-00001F2F0000}"/>
    <cellStyle name="Normal 28 4 5 3 2" xfId="25528" xr:uid="{00000000-0005-0000-0000-0000202F0000}"/>
    <cellStyle name="Normal 28 4 5 4" xfId="7865" xr:uid="{00000000-0005-0000-0000-0000212F0000}"/>
    <cellStyle name="Normal 28 4 5 4 2" xfId="25529" xr:uid="{00000000-0005-0000-0000-0000222F0000}"/>
    <cellStyle name="Normal 28 4 5 5" xfId="7866" xr:uid="{00000000-0005-0000-0000-0000232F0000}"/>
    <cellStyle name="Normal 28 4 5 5 2" xfId="25530" xr:uid="{00000000-0005-0000-0000-0000242F0000}"/>
    <cellStyle name="Normal 28 4 5 6" xfId="7867" xr:uid="{00000000-0005-0000-0000-0000252F0000}"/>
    <cellStyle name="Normal 28 4 5 6 2" xfId="25531" xr:uid="{00000000-0005-0000-0000-0000262F0000}"/>
    <cellStyle name="Normal 28 4 5 7" xfId="7868" xr:uid="{00000000-0005-0000-0000-0000272F0000}"/>
    <cellStyle name="Normal 28 4 5 7 2" xfId="25532" xr:uid="{00000000-0005-0000-0000-0000282F0000}"/>
    <cellStyle name="Normal 28 4 5 8" xfId="7869" xr:uid="{00000000-0005-0000-0000-0000292F0000}"/>
    <cellStyle name="Normal 28 4 5 8 2" xfId="25533" xr:uid="{00000000-0005-0000-0000-00002A2F0000}"/>
    <cellStyle name="Normal 28 4 5 9" xfId="7870" xr:uid="{00000000-0005-0000-0000-00002B2F0000}"/>
    <cellStyle name="Normal 28 4 5 9 2" xfId="25534" xr:uid="{00000000-0005-0000-0000-00002C2F0000}"/>
    <cellStyle name="Normal 28 4 6" xfId="7871" xr:uid="{00000000-0005-0000-0000-00002D2F0000}"/>
    <cellStyle name="Normal 28 4 6 10" xfId="7872" xr:uid="{00000000-0005-0000-0000-00002E2F0000}"/>
    <cellStyle name="Normal 28 4 6 10 2" xfId="25536" xr:uid="{00000000-0005-0000-0000-00002F2F0000}"/>
    <cellStyle name="Normal 28 4 6 11" xfId="7873" xr:uid="{00000000-0005-0000-0000-0000302F0000}"/>
    <cellStyle name="Normal 28 4 6 11 2" xfId="25537" xr:uid="{00000000-0005-0000-0000-0000312F0000}"/>
    <cellStyle name="Normal 28 4 6 12" xfId="7874" xr:uid="{00000000-0005-0000-0000-0000322F0000}"/>
    <cellStyle name="Normal 28 4 6 12 2" xfId="25538" xr:uid="{00000000-0005-0000-0000-0000332F0000}"/>
    <cellStyle name="Normal 28 4 6 13" xfId="7875" xr:uid="{00000000-0005-0000-0000-0000342F0000}"/>
    <cellStyle name="Normal 28 4 6 13 2" xfId="25539" xr:uid="{00000000-0005-0000-0000-0000352F0000}"/>
    <cellStyle name="Normal 28 4 6 14" xfId="7876" xr:uid="{00000000-0005-0000-0000-0000362F0000}"/>
    <cellStyle name="Normal 28 4 6 14 2" xfId="25540" xr:uid="{00000000-0005-0000-0000-0000372F0000}"/>
    <cellStyle name="Normal 28 4 6 15" xfId="25535" xr:uid="{00000000-0005-0000-0000-0000382F0000}"/>
    <cellStyle name="Normal 28 4 6 2" xfId="7877" xr:uid="{00000000-0005-0000-0000-0000392F0000}"/>
    <cellStyle name="Normal 28 4 6 2 2" xfId="25541" xr:uid="{00000000-0005-0000-0000-00003A2F0000}"/>
    <cellStyle name="Normal 28 4 6 3" xfId="7878" xr:uid="{00000000-0005-0000-0000-00003B2F0000}"/>
    <cellStyle name="Normal 28 4 6 3 2" xfId="25542" xr:uid="{00000000-0005-0000-0000-00003C2F0000}"/>
    <cellStyle name="Normal 28 4 6 4" xfId="7879" xr:uid="{00000000-0005-0000-0000-00003D2F0000}"/>
    <cellStyle name="Normal 28 4 6 4 2" xfId="25543" xr:uid="{00000000-0005-0000-0000-00003E2F0000}"/>
    <cellStyle name="Normal 28 4 6 5" xfId="7880" xr:uid="{00000000-0005-0000-0000-00003F2F0000}"/>
    <cellStyle name="Normal 28 4 6 5 2" xfId="25544" xr:uid="{00000000-0005-0000-0000-0000402F0000}"/>
    <cellStyle name="Normal 28 4 6 6" xfId="7881" xr:uid="{00000000-0005-0000-0000-0000412F0000}"/>
    <cellStyle name="Normal 28 4 6 6 2" xfId="25545" xr:uid="{00000000-0005-0000-0000-0000422F0000}"/>
    <cellStyle name="Normal 28 4 6 7" xfId="7882" xr:uid="{00000000-0005-0000-0000-0000432F0000}"/>
    <cellStyle name="Normal 28 4 6 7 2" xfId="25546" xr:uid="{00000000-0005-0000-0000-0000442F0000}"/>
    <cellStyle name="Normal 28 4 6 8" xfId="7883" xr:uid="{00000000-0005-0000-0000-0000452F0000}"/>
    <cellStyle name="Normal 28 4 6 8 2" xfId="25547" xr:uid="{00000000-0005-0000-0000-0000462F0000}"/>
    <cellStyle name="Normal 28 4 6 9" xfId="7884" xr:uid="{00000000-0005-0000-0000-0000472F0000}"/>
    <cellStyle name="Normal 28 4 6 9 2" xfId="25548" xr:uid="{00000000-0005-0000-0000-0000482F0000}"/>
    <cellStyle name="Normal 28 4 7" xfId="7885" xr:uid="{00000000-0005-0000-0000-0000492F0000}"/>
    <cellStyle name="Normal 28 4 7 10" xfId="7886" xr:uid="{00000000-0005-0000-0000-00004A2F0000}"/>
    <cellStyle name="Normal 28 4 7 10 2" xfId="25550" xr:uid="{00000000-0005-0000-0000-00004B2F0000}"/>
    <cellStyle name="Normal 28 4 7 11" xfId="7887" xr:uid="{00000000-0005-0000-0000-00004C2F0000}"/>
    <cellStyle name="Normal 28 4 7 11 2" xfId="25551" xr:uid="{00000000-0005-0000-0000-00004D2F0000}"/>
    <cellStyle name="Normal 28 4 7 12" xfId="7888" xr:uid="{00000000-0005-0000-0000-00004E2F0000}"/>
    <cellStyle name="Normal 28 4 7 12 2" xfId="25552" xr:uid="{00000000-0005-0000-0000-00004F2F0000}"/>
    <cellStyle name="Normal 28 4 7 13" xfId="7889" xr:uid="{00000000-0005-0000-0000-0000502F0000}"/>
    <cellStyle name="Normal 28 4 7 13 2" xfId="25553" xr:uid="{00000000-0005-0000-0000-0000512F0000}"/>
    <cellStyle name="Normal 28 4 7 14" xfId="7890" xr:uid="{00000000-0005-0000-0000-0000522F0000}"/>
    <cellStyle name="Normal 28 4 7 14 2" xfId="25554" xr:uid="{00000000-0005-0000-0000-0000532F0000}"/>
    <cellStyle name="Normal 28 4 7 15" xfId="25549" xr:uid="{00000000-0005-0000-0000-0000542F0000}"/>
    <cellStyle name="Normal 28 4 7 2" xfId="7891" xr:uid="{00000000-0005-0000-0000-0000552F0000}"/>
    <cellStyle name="Normal 28 4 7 2 2" xfId="25555" xr:uid="{00000000-0005-0000-0000-0000562F0000}"/>
    <cellStyle name="Normal 28 4 7 3" xfId="7892" xr:uid="{00000000-0005-0000-0000-0000572F0000}"/>
    <cellStyle name="Normal 28 4 7 3 2" xfId="25556" xr:uid="{00000000-0005-0000-0000-0000582F0000}"/>
    <cellStyle name="Normal 28 4 7 4" xfId="7893" xr:uid="{00000000-0005-0000-0000-0000592F0000}"/>
    <cellStyle name="Normal 28 4 7 4 2" xfId="25557" xr:uid="{00000000-0005-0000-0000-00005A2F0000}"/>
    <cellStyle name="Normal 28 4 7 5" xfId="7894" xr:uid="{00000000-0005-0000-0000-00005B2F0000}"/>
    <cellStyle name="Normal 28 4 7 5 2" xfId="25558" xr:uid="{00000000-0005-0000-0000-00005C2F0000}"/>
    <cellStyle name="Normal 28 4 7 6" xfId="7895" xr:uid="{00000000-0005-0000-0000-00005D2F0000}"/>
    <cellStyle name="Normal 28 4 7 6 2" xfId="25559" xr:uid="{00000000-0005-0000-0000-00005E2F0000}"/>
    <cellStyle name="Normal 28 4 7 7" xfId="7896" xr:uid="{00000000-0005-0000-0000-00005F2F0000}"/>
    <cellStyle name="Normal 28 4 7 7 2" xfId="25560" xr:uid="{00000000-0005-0000-0000-0000602F0000}"/>
    <cellStyle name="Normal 28 4 7 8" xfId="7897" xr:uid="{00000000-0005-0000-0000-0000612F0000}"/>
    <cellStyle name="Normal 28 4 7 8 2" xfId="25561" xr:uid="{00000000-0005-0000-0000-0000622F0000}"/>
    <cellStyle name="Normal 28 4 7 9" xfId="7898" xr:uid="{00000000-0005-0000-0000-0000632F0000}"/>
    <cellStyle name="Normal 28 4 7 9 2" xfId="25562" xr:uid="{00000000-0005-0000-0000-0000642F0000}"/>
    <cellStyle name="Normal 28 4 8" xfId="7899" xr:uid="{00000000-0005-0000-0000-0000652F0000}"/>
    <cellStyle name="Normal 28 4 8 10" xfId="7900" xr:uid="{00000000-0005-0000-0000-0000662F0000}"/>
    <cellStyle name="Normal 28 4 8 10 2" xfId="25564" xr:uid="{00000000-0005-0000-0000-0000672F0000}"/>
    <cellStyle name="Normal 28 4 8 11" xfId="7901" xr:uid="{00000000-0005-0000-0000-0000682F0000}"/>
    <cellStyle name="Normal 28 4 8 11 2" xfId="25565" xr:uid="{00000000-0005-0000-0000-0000692F0000}"/>
    <cellStyle name="Normal 28 4 8 12" xfId="7902" xr:uid="{00000000-0005-0000-0000-00006A2F0000}"/>
    <cellStyle name="Normal 28 4 8 12 2" xfId="25566" xr:uid="{00000000-0005-0000-0000-00006B2F0000}"/>
    <cellStyle name="Normal 28 4 8 13" xfId="7903" xr:uid="{00000000-0005-0000-0000-00006C2F0000}"/>
    <cellStyle name="Normal 28 4 8 13 2" xfId="25567" xr:uid="{00000000-0005-0000-0000-00006D2F0000}"/>
    <cellStyle name="Normal 28 4 8 14" xfId="7904" xr:uid="{00000000-0005-0000-0000-00006E2F0000}"/>
    <cellStyle name="Normal 28 4 8 14 2" xfId="25568" xr:uid="{00000000-0005-0000-0000-00006F2F0000}"/>
    <cellStyle name="Normal 28 4 8 15" xfId="25563" xr:uid="{00000000-0005-0000-0000-0000702F0000}"/>
    <cellStyle name="Normal 28 4 8 2" xfId="7905" xr:uid="{00000000-0005-0000-0000-0000712F0000}"/>
    <cellStyle name="Normal 28 4 8 2 2" xfId="25569" xr:uid="{00000000-0005-0000-0000-0000722F0000}"/>
    <cellStyle name="Normal 28 4 8 3" xfId="7906" xr:uid="{00000000-0005-0000-0000-0000732F0000}"/>
    <cellStyle name="Normal 28 4 8 3 2" xfId="25570" xr:uid="{00000000-0005-0000-0000-0000742F0000}"/>
    <cellStyle name="Normal 28 4 8 4" xfId="7907" xr:uid="{00000000-0005-0000-0000-0000752F0000}"/>
    <cellStyle name="Normal 28 4 8 4 2" xfId="25571" xr:uid="{00000000-0005-0000-0000-0000762F0000}"/>
    <cellStyle name="Normal 28 4 8 5" xfId="7908" xr:uid="{00000000-0005-0000-0000-0000772F0000}"/>
    <cellStyle name="Normal 28 4 8 5 2" xfId="25572" xr:uid="{00000000-0005-0000-0000-0000782F0000}"/>
    <cellStyle name="Normal 28 4 8 6" xfId="7909" xr:uid="{00000000-0005-0000-0000-0000792F0000}"/>
    <cellStyle name="Normal 28 4 8 6 2" xfId="25573" xr:uid="{00000000-0005-0000-0000-00007A2F0000}"/>
    <cellStyle name="Normal 28 4 8 7" xfId="7910" xr:uid="{00000000-0005-0000-0000-00007B2F0000}"/>
    <cellStyle name="Normal 28 4 8 7 2" xfId="25574" xr:uid="{00000000-0005-0000-0000-00007C2F0000}"/>
    <cellStyle name="Normal 28 4 8 8" xfId="7911" xr:uid="{00000000-0005-0000-0000-00007D2F0000}"/>
    <cellStyle name="Normal 28 4 8 8 2" xfId="25575" xr:uid="{00000000-0005-0000-0000-00007E2F0000}"/>
    <cellStyle name="Normal 28 4 8 9" xfId="7912" xr:uid="{00000000-0005-0000-0000-00007F2F0000}"/>
    <cellStyle name="Normal 28 4 8 9 2" xfId="25576" xr:uid="{00000000-0005-0000-0000-0000802F0000}"/>
    <cellStyle name="Normal 28 4 9" xfId="7913" xr:uid="{00000000-0005-0000-0000-0000812F0000}"/>
    <cellStyle name="Normal 28 4 9 10" xfId="7914" xr:uid="{00000000-0005-0000-0000-0000822F0000}"/>
    <cellStyle name="Normal 28 4 9 10 2" xfId="25578" xr:uid="{00000000-0005-0000-0000-0000832F0000}"/>
    <cellStyle name="Normal 28 4 9 11" xfId="7915" xr:uid="{00000000-0005-0000-0000-0000842F0000}"/>
    <cellStyle name="Normal 28 4 9 11 2" xfId="25579" xr:uid="{00000000-0005-0000-0000-0000852F0000}"/>
    <cellStyle name="Normal 28 4 9 12" xfId="7916" xr:uid="{00000000-0005-0000-0000-0000862F0000}"/>
    <cellStyle name="Normal 28 4 9 12 2" xfId="25580" xr:uid="{00000000-0005-0000-0000-0000872F0000}"/>
    <cellStyle name="Normal 28 4 9 13" xfId="7917" xr:uid="{00000000-0005-0000-0000-0000882F0000}"/>
    <cellStyle name="Normal 28 4 9 13 2" xfId="25581" xr:uid="{00000000-0005-0000-0000-0000892F0000}"/>
    <cellStyle name="Normal 28 4 9 14" xfId="7918" xr:uid="{00000000-0005-0000-0000-00008A2F0000}"/>
    <cellStyle name="Normal 28 4 9 14 2" xfId="25582" xr:uid="{00000000-0005-0000-0000-00008B2F0000}"/>
    <cellStyle name="Normal 28 4 9 15" xfId="25577" xr:uid="{00000000-0005-0000-0000-00008C2F0000}"/>
    <cellStyle name="Normal 28 4 9 2" xfId="7919" xr:uid="{00000000-0005-0000-0000-00008D2F0000}"/>
    <cellStyle name="Normal 28 4 9 2 2" xfId="25583" xr:uid="{00000000-0005-0000-0000-00008E2F0000}"/>
    <cellStyle name="Normal 28 4 9 3" xfId="7920" xr:uid="{00000000-0005-0000-0000-00008F2F0000}"/>
    <cellStyle name="Normal 28 4 9 3 2" xfId="25584" xr:uid="{00000000-0005-0000-0000-0000902F0000}"/>
    <cellStyle name="Normal 28 4 9 4" xfId="7921" xr:uid="{00000000-0005-0000-0000-0000912F0000}"/>
    <cellStyle name="Normal 28 4 9 4 2" xfId="25585" xr:uid="{00000000-0005-0000-0000-0000922F0000}"/>
    <cellStyle name="Normal 28 4 9 5" xfId="7922" xr:uid="{00000000-0005-0000-0000-0000932F0000}"/>
    <cellStyle name="Normal 28 4 9 5 2" xfId="25586" xr:uid="{00000000-0005-0000-0000-0000942F0000}"/>
    <cellStyle name="Normal 28 4 9 6" xfId="7923" xr:uid="{00000000-0005-0000-0000-0000952F0000}"/>
    <cellStyle name="Normal 28 4 9 6 2" xfId="25587" xr:uid="{00000000-0005-0000-0000-0000962F0000}"/>
    <cellStyle name="Normal 28 4 9 7" xfId="7924" xr:uid="{00000000-0005-0000-0000-0000972F0000}"/>
    <cellStyle name="Normal 28 4 9 7 2" xfId="25588" xr:uid="{00000000-0005-0000-0000-0000982F0000}"/>
    <cellStyle name="Normal 28 4 9 8" xfId="7925" xr:uid="{00000000-0005-0000-0000-0000992F0000}"/>
    <cellStyle name="Normal 28 4 9 8 2" xfId="25589" xr:uid="{00000000-0005-0000-0000-00009A2F0000}"/>
    <cellStyle name="Normal 28 4 9 9" xfId="7926" xr:uid="{00000000-0005-0000-0000-00009B2F0000}"/>
    <cellStyle name="Normal 28 4 9 9 2" xfId="25590" xr:uid="{00000000-0005-0000-0000-00009C2F0000}"/>
    <cellStyle name="Normal 28 5" xfId="7927" xr:uid="{00000000-0005-0000-0000-00009D2F0000}"/>
    <cellStyle name="Normal 28 6" xfId="7928" xr:uid="{00000000-0005-0000-0000-00009E2F0000}"/>
    <cellStyle name="Normal 28 7" xfId="7929" xr:uid="{00000000-0005-0000-0000-00009F2F0000}"/>
    <cellStyle name="Normal 29" xfId="434" xr:uid="{00000000-0005-0000-0000-0000A02F0000}"/>
    <cellStyle name="Normal 29 2" xfId="592" xr:uid="{00000000-0005-0000-0000-0000A12F0000}"/>
    <cellStyle name="Normal 29 2 2" xfId="7931" xr:uid="{00000000-0005-0000-0000-0000A22F0000}"/>
    <cellStyle name="Normal 29 3" xfId="7932" xr:uid="{00000000-0005-0000-0000-0000A32F0000}"/>
    <cellStyle name="Normal 29 4" xfId="7930" xr:uid="{00000000-0005-0000-0000-0000A42F0000}"/>
    <cellStyle name="Normal 3" xfId="52" xr:uid="{00000000-0005-0000-0000-0000A52F0000}"/>
    <cellStyle name="Normal 3 10" xfId="7933" xr:uid="{00000000-0005-0000-0000-0000A62F0000}"/>
    <cellStyle name="Normal 3 10 10" xfId="7934" xr:uid="{00000000-0005-0000-0000-0000A72F0000}"/>
    <cellStyle name="Normal 3 10 11" xfId="7935" xr:uid="{00000000-0005-0000-0000-0000A82F0000}"/>
    <cellStyle name="Normal 3 10 11 10" xfId="7936" xr:uid="{00000000-0005-0000-0000-0000A92F0000}"/>
    <cellStyle name="Normal 3 10 11 10 2" xfId="25592" xr:uid="{00000000-0005-0000-0000-0000AA2F0000}"/>
    <cellStyle name="Normal 3 10 11 11" xfId="7937" xr:uid="{00000000-0005-0000-0000-0000AB2F0000}"/>
    <cellStyle name="Normal 3 10 11 11 2" xfId="25593" xr:uid="{00000000-0005-0000-0000-0000AC2F0000}"/>
    <cellStyle name="Normal 3 10 11 12" xfId="7938" xr:uid="{00000000-0005-0000-0000-0000AD2F0000}"/>
    <cellStyle name="Normal 3 10 11 12 2" xfId="25594" xr:uid="{00000000-0005-0000-0000-0000AE2F0000}"/>
    <cellStyle name="Normal 3 10 11 13" xfId="7939" xr:uid="{00000000-0005-0000-0000-0000AF2F0000}"/>
    <cellStyle name="Normal 3 10 11 13 2" xfId="25595" xr:uid="{00000000-0005-0000-0000-0000B02F0000}"/>
    <cellStyle name="Normal 3 10 11 14" xfId="7940" xr:uid="{00000000-0005-0000-0000-0000B12F0000}"/>
    <cellStyle name="Normal 3 10 11 14 2" xfId="25596" xr:uid="{00000000-0005-0000-0000-0000B22F0000}"/>
    <cellStyle name="Normal 3 10 11 15" xfId="7941" xr:uid="{00000000-0005-0000-0000-0000B32F0000}"/>
    <cellStyle name="Normal 3 10 11 15 2" xfId="25597" xr:uid="{00000000-0005-0000-0000-0000B42F0000}"/>
    <cellStyle name="Normal 3 10 11 16" xfId="7942" xr:uid="{00000000-0005-0000-0000-0000B52F0000}"/>
    <cellStyle name="Normal 3 10 11 16 2" xfId="25598" xr:uid="{00000000-0005-0000-0000-0000B62F0000}"/>
    <cellStyle name="Normal 3 10 11 17" xfId="7943" xr:uid="{00000000-0005-0000-0000-0000B72F0000}"/>
    <cellStyle name="Normal 3 10 11 17 2" xfId="25599" xr:uid="{00000000-0005-0000-0000-0000B82F0000}"/>
    <cellStyle name="Normal 3 10 11 18" xfId="25591" xr:uid="{00000000-0005-0000-0000-0000B92F0000}"/>
    <cellStyle name="Normal 3 10 11 2" xfId="7944" xr:uid="{00000000-0005-0000-0000-0000BA2F0000}"/>
    <cellStyle name="Normal 3 10 11 3" xfId="7945" xr:uid="{00000000-0005-0000-0000-0000BB2F0000}"/>
    <cellStyle name="Normal 3 10 11 4" xfId="7946" xr:uid="{00000000-0005-0000-0000-0000BC2F0000}"/>
    <cellStyle name="Normal 3 10 11 5" xfId="7947" xr:uid="{00000000-0005-0000-0000-0000BD2F0000}"/>
    <cellStyle name="Normal 3 10 11 5 2" xfId="25600" xr:uid="{00000000-0005-0000-0000-0000BE2F0000}"/>
    <cellStyle name="Normal 3 10 11 6" xfId="7948" xr:uid="{00000000-0005-0000-0000-0000BF2F0000}"/>
    <cellStyle name="Normal 3 10 11 6 2" xfId="25601" xr:uid="{00000000-0005-0000-0000-0000C02F0000}"/>
    <cellStyle name="Normal 3 10 11 7" xfId="7949" xr:uid="{00000000-0005-0000-0000-0000C12F0000}"/>
    <cellStyle name="Normal 3 10 11 7 2" xfId="25602" xr:uid="{00000000-0005-0000-0000-0000C22F0000}"/>
    <cellStyle name="Normal 3 10 11 8" xfId="7950" xr:uid="{00000000-0005-0000-0000-0000C32F0000}"/>
    <cellStyle name="Normal 3 10 11 8 2" xfId="25603" xr:uid="{00000000-0005-0000-0000-0000C42F0000}"/>
    <cellStyle name="Normal 3 10 11 9" xfId="7951" xr:uid="{00000000-0005-0000-0000-0000C52F0000}"/>
    <cellStyle name="Normal 3 10 11 9 2" xfId="25604" xr:uid="{00000000-0005-0000-0000-0000C62F0000}"/>
    <cellStyle name="Normal 3 10 12" xfId="7952" xr:uid="{00000000-0005-0000-0000-0000C72F0000}"/>
    <cellStyle name="Normal 3 10 13" xfId="7953" xr:uid="{00000000-0005-0000-0000-0000C82F0000}"/>
    <cellStyle name="Normal 3 10 14" xfId="7954" xr:uid="{00000000-0005-0000-0000-0000C92F0000}"/>
    <cellStyle name="Normal 3 10 14 10" xfId="7955" xr:uid="{00000000-0005-0000-0000-0000CA2F0000}"/>
    <cellStyle name="Normal 3 10 14 10 2" xfId="25606" xr:uid="{00000000-0005-0000-0000-0000CB2F0000}"/>
    <cellStyle name="Normal 3 10 14 11" xfId="7956" xr:uid="{00000000-0005-0000-0000-0000CC2F0000}"/>
    <cellStyle name="Normal 3 10 14 11 2" xfId="25607" xr:uid="{00000000-0005-0000-0000-0000CD2F0000}"/>
    <cellStyle name="Normal 3 10 14 12" xfId="7957" xr:uid="{00000000-0005-0000-0000-0000CE2F0000}"/>
    <cellStyle name="Normal 3 10 14 12 2" xfId="25608" xr:uid="{00000000-0005-0000-0000-0000CF2F0000}"/>
    <cellStyle name="Normal 3 10 14 13" xfId="7958" xr:uid="{00000000-0005-0000-0000-0000D02F0000}"/>
    <cellStyle name="Normal 3 10 14 13 2" xfId="25609" xr:uid="{00000000-0005-0000-0000-0000D12F0000}"/>
    <cellStyle name="Normal 3 10 14 14" xfId="7959" xr:uid="{00000000-0005-0000-0000-0000D22F0000}"/>
    <cellStyle name="Normal 3 10 14 14 2" xfId="25610" xr:uid="{00000000-0005-0000-0000-0000D32F0000}"/>
    <cellStyle name="Normal 3 10 14 15" xfId="7960" xr:uid="{00000000-0005-0000-0000-0000D42F0000}"/>
    <cellStyle name="Normal 3 10 14 15 2" xfId="25611" xr:uid="{00000000-0005-0000-0000-0000D52F0000}"/>
    <cellStyle name="Normal 3 10 14 16" xfId="25605" xr:uid="{00000000-0005-0000-0000-0000D62F0000}"/>
    <cellStyle name="Normal 3 10 14 2" xfId="7961" xr:uid="{00000000-0005-0000-0000-0000D72F0000}"/>
    <cellStyle name="Normal 3 10 14 2 10" xfId="7962" xr:uid="{00000000-0005-0000-0000-0000D82F0000}"/>
    <cellStyle name="Normal 3 10 14 2 10 2" xfId="25613" xr:uid="{00000000-0005-0000-0000-0000D92F0000}"/>
    <cellStyle name="Normal 3 10 14 2 11" xfId="7963" xr:uid="{00000000-0005-0000-0000-0000DA2F0000}"/>
    <cellStyle name="Normal 3 10 14 2 11 2" xfId="25614" xr:uid="{00000000-0005-0000-0000-0000DB2F0000}"/>
    <cellStyle name="Normal 3 10 14 2 12" xfId="7964" xr:uid="{00000000-0005-0000-0000-0000DC2F0000}"/>
    <cellStyle name="Normal 3 10 14 2 12 2" xfId="25615" xr:uid="{00000000-0005-0000-0000-0000DD2F0000}"/>
    <cellStyle name="Normal 3 10 14 2 13" xfId="7965" xr:uid="{00000000-0005-0000-0000-0000DE2F0000}"/>
    <cellStyle name="Normal 3 10 14 2 13 2" xfId="25616" xr:uid="{00000000-0005-0000-0000-0000DF2F0000}"/>
    <cellStyle name="Normal 3 10 14 2 14" xfId="7966" xr:uid="{00000000-0005-0000-0000-0000E02F0000}"/>
    <cellStyle name="Normal 3 10 14 2 14 2" xfId="25617" xr:uid="{00000000-0005-0000-0000-0000E12F0000}"/>
    <cellStyle name="Normal 3 10 14 2 15" xfId="25612" xr:uid="{00000000-0005-0000-0000-0000E22F0000}"/>
    <cellStyle name="Normal 3 10 14 2 2" xfId="7967" xr:uid="{00000000-0005-0000-0000-0000E32F0000}"/>
    <cellStyle name="Normal 3 10 14 2 2 2" xfId="25618" xr:uid="{00000000-0005-0000-0000-0000E42F0000}"/>
    <cellStyle name="Normal 3 10 14 2 3" xfId="7968" xr:uid="{00000000-0005-0000-0000-0000E52F0000}"/>
    <cellStyle name="Normal 3 10 14 2 3 2" xfId="25619" xr:uid="{00000000-0005-0000-0000-0000E62F0000}"/>
    <cellStyle name="Normal 3 10 14 2 4" xfId="7969" xr:uid="{00000000-0005-0000-0000-0000E72F0000}"/>
    <cellStyle name="Normal 3 10 14 2 4 2" xfId="25620" xr:uid="{00000000-0005-0000-0000-0000E82F0000}"/>
    <cellStyle name="Normal 3 10 14 2 5" xfId="7970" xr:uid="{00000000-0005-0000-0000-0000E92F0000}"/>
    <cellStyle name="Normal 3 10 14 2 5 2" xfId="25621" xr:uid="{00000000-0005-0000-0000-0000EA2F0000}"/>
    <cellStyle name="Normal 3 10 14 2 6" xfId="7971" xr:uid="{00000000-0005-0000-0000-0000EB2F0000}"/>
    <cellStyle name="Normal 3 10 14 2 6 2" xfId="25622" xr:uid="{00000000-0005-0000-0000-0000EC2F0000}"/>
    <cellStyle name="Normal 3 10 14 2 7" xfId="7972" xr:uid="{00000000-0005-0000-0000-0000ED2F0000}"/>
    <cellStyle name="Normal 3 10 14 2 7 2" xfId="25623" xr:uid="{00000000-0005-0000-0000-0000EE2F0000}"/>
    <cellStyle name="Normal 3 10 14 2 8" xfId="7973" xr:uid="{00000000-0005-0000-0000-0000EF2F0000}"/>
    <cellStyle name="Normal 3 10 14 2 8 2" xfId="25624" xr:uid="{00000000-0005-0000-0000-0000F02F0000}"/>
    <cellStyle name="Normal 3 10 14 2 9" xfId="7974" xr:uid="{00000000-0005-0000-0000-0000F12F0000}"/>
    <cellStyle name="Normal 3 10 14 2 9 2" xfId="25625" xr:uid="{00000000-0005-0000-0000-0000F22F0000}"/>
    <cellStyle name="Normal 3 10 14 3" xfId="7975" xr:uid="{00000000-0005-0000-0000-0000F32F0000}"/>
    <cellStyle name="Normal 3 10 14 3 2" xfId="25626" xr:uid="{00000000-0005-0000-0000-0000F42F0000}"/>
    <cellStyle name="Normal 3 10 14 4" xfId="7976" xr:uid="{00000000-0005-0000-0000-0000F52F0000}"/>
    <cellStyle name="Normal 3 10 14 4 2" xfId="25627" xr:uid="{00000000-0005-0000-0000-0000F62F0000}"/>
    <cellStyle name="Normal 3 10 14 5" xfId="7977" xr:uid="{00000000-0005-0000-0000-0000F72F0000}"/>
    <cellStyle name="Normal 3 10 14 5 2" xfId="25628" xr:uid="{00000000-0005-0000-0000-0000F82F0000}"/>
    <cellStyle name="Normal 3 10 14 6" xfId="7978" xr:uid="{00000000-0005-0000-0000-0000F92F0000}"/>
    <cellStyle name="Normal 3 10 14 6 2" xfId="25629" xr:uid="{00000000-0005-0000-0000-0000FA2F0000}"/>
    <cellStyle name="Normal 3 10 14 7" xfId="7979" xr:uid="{00000000-0005-0000-0000-0000FB2F0000}"/>
    <cellStyle name="Normal 3 10 14 7 2" xfId="25630" xr:uid="{00000000-0005-0000-0000-0000FC2F0000}"/>
    <cellStyle name="Normal 3 10 14 8" xfId="7980" xr:uid="{00000000-0005-0000-0000-0000FD2F0000}"/>
    <cellStyle name="Normal 3 10 14 8 2" xfId="25631" xr:uid="{00000000-0005-0000-0000-0000FE2F0000}"/>
    <cellStyle name="Normal 3 10 14 9" xfId="7981" xr:uid="{00000000-0005-0000-0000-0000FF2F0000}"/>
    <cellStyle name="Normal 3 10 14 9 2" xfId="25632" xr:uid="{00000000-0005-0000-0000-000000300000}"/>
    <cellStyle name="Normal 3 10 15" xfId="7982" xr:uid="{00000000-0005-0000-0000-000001300000}"/>
    <cellStyle name="Normal 3 10 15 10" xfId="7983" xr:uid="{00000000-0005-0000-0000-000002300000}"/>
    <cellStyle name="Normal 3 10 15 10 2" xfId="25634" xr:uid="{00000000-0005-0000-0000-000003300000}"/>
    <cellStyle name="Normal 3 10 15 11" xfId="7984" xr:uid="{00000000-0005-0000-0000-000004300000}"/>
    <cellStyle name="Normal 3 10 15 11 2" xfId="25635" xr:uid="{00000000-0005-0000-0000-000005300000}"/>
    <cellStyle name="Normal 3 10 15 12" xfId="7985" xr:uid="{00000000-0005-0000-0000-000006300000}"/>
    <cellStyle name="Normal 3 10 15 12 2" xfId="25636" xr:uid="{00000000-0005-0000-0000-000007300000}"/>
    <cellStyle name="Normal 3 10 15 13" xfId="7986" xr:uid="{00000000-0005-0000-0000-000008300000}"/>
    <cellStyle name="Normal 3 10 15 13 2" xfId="25637" xr:uid="{00000000-0005-0000-0000-000009300000}"/>
    <cellStyle name="Normal 3 10 15 14" xfId="7987" xr:uid="{00000000-0005-0000-0000-00000A300000}"/>
    <cellStyle name="Normal 3 10 15 14 2" xfId="25638" xr:uid="{00000000-0005-0000-0000-00000B300000}"/>
    <cellStyle name="Normal 3 10 15 15" xfId="7988" xr:uid="{00000000-0005-0000-0000-00000C300000}"/>
    <cellStyle name="Normal 3 10 15 15 2" xfId="25639" xr:uid="{00000000-0005-0000-0000-00000D300000}"/>
    <cellStyle name="Normal 3 10 15 16" xfId="25633" xr:uid="{00000000-0005-0000-0000-00000E300000}"/>
    <cellStyle name="Normal 3 10 15 2" xfId="7989" xr:uid="{00000000-0005-0000-0000-00000F300000}"/>
    <cellStyle name="Normal 3 10 15 2 10" xfId="7990" xr:uid="{00000000-0005-0000-0000-000010300000}"/>
    <cellStyle name="Normal 3 10 15 2 10 2" xfId="25641" xr:uid="{00000000-0005-0000-0000-000011300000}"/>
    <cellStyle name="Normal 3 10 15 2 11" xfId="7991" xr:uid="{00000000-0005-0000-0000-000012300000}"/>
    <cellStyle name="Normal 3 10 15 2 11 2" xfId="25642" xr:uid="{00000000-0005-0000-0000-000013300000}"/>
    <cellStyle name="Normal 3 10 15 2 12" xfId="7992" xr:uid="{00000000-0005-0000-0000-000014300000}"/>
    <cellStyle name="Normal 3 10 15 2 12 2" xfId="25643" xr:uid="{00000000-0005-0000-0000-000015300000}"/>
    <cellStyle name="Normal 3 10 15 2 13" xfId="7993" xr:uid="{00000000-0005-0000-0000-000016300000}"/>
    <cellStyle name="Normal 3 10 15 2 13 2" xfId="25644" xr:uid="{00000000-0005-0000-0000-000017300000}"/>
    <cellStyle name="Normal 3 10 15 2 14" xfId="7994" xr:uid="{00000000-0005-0000-0000-000018300000}"/>
    <cellStyle name="Normal 3 10 15 2 14 2" xfId="25645" xr:uid="{00000000-0005-0000-0000-000019300000}"/>
    <cellStyle name="Normal 3 10 15 2 15" xfId="25640" xr:uid="{00000000-0005-0000-0000-00001A300000}"/>
    <cellStyle name="Normal 3 10 15 2 2" xfId="7995" xr:uid="{00000000-0005-0000-0000-00001B300000}"/>
    <cellStyle name="Normal 3 10 15 2 2 2" xfId="25646" xr:uid="{00000000-0005-0000-0000-00001C300000}"/>
    <cellStyle name="Normal 3 10 15 2 3" xfId="7996" xr:uid="{00000000-0005-0000-0000-00001D300000}"/>
    <cellStyle name="Normal 3 10 15 2 3 2" xfId="25647" xr:uid="{00000000-0005-0000-0000-00001E300000}"/>
    <cellStyle name="Normal 3 10 15 2 4" xfId="7997" xr:uid="{00000000-0005-0000-0000-00001F300000}"/>
    <cellStyle name="Normal 3 10 15 2 4 2" xfId="25648" xr:uid="{00000000-0005-0000-0000-000020300000}"/>
    <cellStyle name="Normal 3 10 15 2 5" xfId="7998" xr:uid="{00000000-0005-0000-0000-000021300000}"/>
    <cellStyle name="Normal 3 10 15 2 5 2" xfId="25649" xr:uid="{00000000-0005-0000-0000-000022300000}"/>
    <cellStyle name="Normal 3 10 15 2 6" xfId="7999" xr:uid="{00000000-0005-0000-0000-000023300000}"/>
    <cellStyle name="Normal 3 10 15 2 6 2" xfId="25650" xr:uid="{00000000-0005-0000-0000-000024300000}"/>
    <cellStyle name="Normal 3 10 15 2 7" xfId="8000" xr:uid="{00000000-0005-0000-0000-000025300000}"/>
    <cellStyle name="Normal 3 10 15 2 7 2" xfId="25651" xr:uid="{00000000-0005-0000-0000-000026300000}"/>
    <cellStyle name="Normal 3 10 15 2 8" xfId="8001" xr:uid="{00000000-0005-0000-0000-000027300000}"/>
    <cellStyle name="Normal 3 10 15 2 8 2" xfId="25652" xr:uid="{00000000-0005-0000-0000-000028300000}"/>
    <cellStyle name="Normal 3 10 15 2 9" xfId="8002" xr:uid="{00000000-0005-0000-0000-000029300000}"/>
    <cellStyle name="Normal 3 10 15 2 9 2" xfId="25653" xr:uid="{00000000-0005-0000-0000-00002A300000}"/>
    <cellStyle name="Normal 3 10 15 3" xfId="8003" xr:uid="{00000000-0005-0000-0000-00002B300000}"/>
    <cellStyle name="Normal 3 10 15 3 2" xfId="25654" xr:uid="{00000000-0005-0000-0000-00002C300000}"/>
    <cellStyle name="Normal 3 10 15 4" xfId="8004" xr:uid="{00000000-0005-0000-0000-00002D300000}"/>
    <cellStyle name="Normal 3 10 15 4 2" xfId="25655" xr:uid="{00000000-0005-0000-0000-00002E300000}"/>
    <cellStyle name="Normal 3 10 15 5" xfId="8005" xr:uid="{00000000-0005-0000-0000-00002F300000}"/>
    <cellStyle name="Normal 3 10 15 5 2" xfId="25656" xr:uid="{00000000-0005-0000-0000-000030300000}"/>
    <cellStyle name="Normal 3 10 15 6" xfId="8006" xr:uid="{00000000-0005-0000-0000-000031300000}"/>
    <cellStyle name="Normal 3 10 15 6 2" xfId="25657" xr:uid="{00000000-0005-0000-0000-000032300000}"/>
    <cellStyle name="Normal 3 10 15 7" xfId="8007" xr:uid="{00000000-0005-0000-0000-000033300000}"/>
    <cellStyle name="Normal 3 10 15 7 2" xfId="25658" xr:uid="{00000000-0005-0000-0000-000034300000}"/>
    <cellStyle name="Normal 3 10 15 8" xfId="8008" xr:uid="{00000000-0005-0000-0000-000035300000}"/>
    <cellStyle name="Normal 3 10 15 8 2" xfId="25659" xr:uid="{00000000-0005-0000-0000-000036300000}"/>
    <cellStyle name="Normal 3 10 15 9" xfId="8009" xr:uid="{00000000-0005-0000-0000-000037300000}"/>
    <cellStyle name="Normal 3 10 15 9 2" xfId="25660" xr:uid="{00000000-0005-0000-0000-000038300000}"/>
    <cellStyle name="Normal 3 10 16" xfId="8010" xr:uid="{00000000-0005-0000-0000-000039300000}"/>
    <cellStyle name="Normal 3 10 16 10" xfId="8011" xr:uid="{00000000-0005-0000-0000-00003A300000}"/>
    <cellStyle name="Normal 3 10 16 10 2" xfId="25662" xr:uid="{00000000-0005-0000-0000-00003B300000}"/>
    <cellStyle name="Normal 3 10 16 11" xfId="8012" xr:uid="{00000000-0005-0000-0000-00003C300000}"/>
    <cellStyle name="Normal 3 10 16 11 2" xfId="25663" xr:uid="{00000000-0005-0000-0000-00003D300000}"/>
    <cellStyle name="Normal 3 10 16 12" xfId="8013" xr:uid="{00000000-0005-0000-0000-00003E300000}"/>
    <cellStyle name="Normal 3 10 16 12 2" xfId="25664" xr:uid="{00000000-0005-0000-0000-00003F300000}"/>
    <cellStyle name="Normal 3 10 16 13" xfId="8014" xr:uid="{00000000-0005-0000-0000-000040300000}"/>
    <cellStyle name="Normal 3 10 16 13 2" xfId="25665" xr:uid="{00000000-0005-0000-0000-000041300000}"/>
    <cellStyle name="Normal 3 10 16 14" xfId="8015" xr:uid="{00000000-0005-0000-0000-000042300000}"/>
    <cellStyle name="Normal 3 10 16 14 2" xfId="25666" xr:uid="{00000000-0005-0000-0000-000043300000}"/>
    <cellStyle name="Normal 3 10 16 15" xfId="8016" xr:uid="{00000000-0005-0000-0000-000044300000}"/>
    <cellStyle name="Normal 3 10 16 15 2" xfId="25667" xr:uid="{00000000-0005-0000-0000-000045300000}"/>
    <cellStyle name="Normal 3 10 16 16" xfId="25661" xr:uid="{00000000-0005-0000-0000-000046300000}"/>
    <cellStyle name="Normal 3 10 16 2" xfId="8017" xr:uid="{00000000-0005-0000-0000-000047300000}"/>
    <cellStyle name="Normal 3 10 16 2 10" xfId="8018" xr:uid="{00000000-0005-0000-0000-000048300000}"/>
    <cellStyle name="Normal 3 10 16 2 10 2" xfId="25669" xr:uid="{00000000-0005-0000-0000-000049300000}"/>
    <cellStyle name="Normal 3 10 16 2 11" xfId="8019" xr:uid="{00000000-0005-0000-0000-00004A300000}"/>
    <cellStyle name="Normal 3 10 16 2 11 2" xfId="25670" xr:uid="{00000000-0005-0000-0000-00004B300000}"/>
    <cellStyle name="Normal 3 10 16 2 12" xfId="8020" xr:uid="{00000000-0005-0000-0000-00004C300000}"/>
    <cellStyle name="Normal 3 10 16 2 12 2" xfId="25671" xr:uid="{00000000-0005-0000-0000-00004D300000}"/>
    <cellStyle name="Normal 3 10 16 2 13" xfId="8021" xr:uid="{00000000-0005-0000-0000-00004E300000}"/>
    <cellStyle name="Normal 3 10 16 2 13 2" xfId="25672" xr:uid="{00000000-0005-0000-0000-00004F300000}"/>
    <cellStyle name="Normal 3 10 16 2 14" xfId="8022" xr:uid="{00000000-0005-0000-0000-000050300000}"/>
    <cellStyle name="Normal 3 10 16 2 14 2" xfId="25673" xr:uid="{00000000-0005-0000-0000-000051300000}"/>
    <cellStyle name="Normal 3 10 16 2 15" xfId="25668" xr:uid="{00000000-0005-0000-0000-000052300000}"/>
    <cellStyle name="Normal 3 10 16 2 2" xfId="8023" xr:uid="{00000000-0005-0000-0000-000053300000}"/>
    <cellStyle name="Normal 3 10 16 2 2 2" xfId="25674" xr:uid="{00000000-0005-0000-0000-000054300000}"/>
    <cellStyle name="Normal 3 10 16 2 3" xfId="8024" xr:uid="{00000000-0005-0000-0000-000055300000}"/>
    <cellStyle name="Normal 3 10 16 2 3 2" xfId="25675" xr:uid="{00000000-0005-0000-0000-000056300000}"/>
    <cellStyle name="Normal 3 10 16 2 4" xfId="8025" xr:uid="{00000000-0005-0000-0000-000057300000}"/>
    <cellStyle name="Normal 3 10 16 2 4 2" xfId="25676" xr:uid="{00000000-0005-0000-0000-000058300000}"/>
    <cellStyle name="Normal 3 10 16 2 5" xfId="8026" xr:uid="{00000000-0005-0000-0000-000059300000}"/>
    <cellStyle name="Normal 3 10 16 2 5 2" xfId="25677" xr:uid="{00000000-0005-0000-0000-00005A300000}"/>
    <cellStyle name="Normal 3 10 16 2 6" xfId="8027" xr:uid="{00000000-0005-0000-0000-00005B300000}"/>
    <cellStyle name="Normal 3 10 16 2 6 2" xfId="25678" xr:uid="{00000000-0005-0000-0000-00005C300000}"/>
    <cellStyle name="Normal 3 10 16 2 7" xfId="8028" xr:uid="{00000000-0005-0000-0000-00005D300000}"/>
    <cellStyle name="Normal 3 10 16 2 7 2" xfId="25679" xr:uid="{00000000-0005-0000-0000-00005E300000}"/>
    <cellStyle name="Normal 3 10 16 2 8" xfId="8029" xr:uid="{00000000-0005-0000-0000-00005F300000}"/>
    <cellStyle name="Normal 3 10 16 2 8 2" xfId="25680" xr:uid="{00000000-0005-0000-0000-000060300000}"/>
    <cellStyle name="Normal 3 10 16 2 9" xfId="8030" xr:uid="{00000000-0005-0000-0000-000061300000}"/>
    <cellStyle name="Normal 3 10 16 2 9 2" xfId="25681" xr:uid="{00000000-0005-0000-0000-000062300000}"/>
    <cellStyle name="Normal 3 10 16 3" xfId="8031" xr:uid="{00000000-0005-0000-0000-000063300000}"/>
    <cellStyle name="Normal 3 10 16 3 2" xfId="25682" xr:uid="{00000000-0005-0000-0000-000064300000}"/>
    <cellStyle name="Normal 3 10 16 4" xfId="8032" xr:uid="{00000000-0005-0000-0000-000065300000}"/>
    <cellStyle name="Normal 3 10 16 4 2" xfId="25683" xr:uid="{00000000-0005-0000-0000-000066300000}"/>
    <cellStyle name="Normal 3 10 16 5" xfId="8033" xr:uid="{00000000-0005-0000-0000-000067300000}"/>
    <cellStyle name="Normal 3 10 16 5 2" xfId="25684" xr:uid="{00000000-0005-0000-0000-000068300000}"/>
    <cellStyle name="Normal 3 10 16 6" xfId="8034" xr:uid="{00000000-0005-0000-0000-000069300000}"/>
    <cellStyle name="Normal 3 10 16 6 2" xfId="25685" xr:uid="{00000000-0005-0000-0000-00006A300000}"/>
    <cellStyle name="Normal 3 10 16 7" xfId="8035" xr:uid="{00000000-0005-0000-0000-00006B300000}"/>
    <cellStyle name="Normal 3 10 16 7 2" xfId="25686" xr:uid="{00000000-0005-0000-0000-00006C300000}"/>
    <cellStyle name="Normal 3 10 16 8" xfId="8036" xr:uid="{00000000-0005-0000-0000-00006D300000}"/>
    <cellStyle name="Normal 3 10 16 8 2" xfId="25687" xr:uid="{00000000-0005-0000-0000-00006E300000}"/>
    <cellStyle name="Normal 3 10 16 9" xfId="8037" xr:uid="{00000000-0005-0000-0000-00006F300000}"/>
    <cellStyle name="Normal 3 10 16 9 2" xfId="25688" xr:uid="{00000000-0005-0000-0000-000070300000}"/>
    <cellStyle name="Normal 3 10 17" xfId="8038" xr:uid="{00000000-0005-0000-0000-000071300000}"/>
    <cellStyle name="Normal 3 10 17 10" xfId="8039" xr:uid="{00000000-0005-0000-0000-000072300000}"/>
    <cellStyle name="Normal 3 10 17 10 2" xfId="25690" xr:uid="{00000000-0005-0000-0000-000073300000}"/>
    <cellStyle name="Normal 3 10 17 11" xfId="8040" xr:uid="{00000000-0005-0000-0000-000074300000}"/>
    <cellStyle name="Normal 3 10 17 11 2" xfId="25691" xr:uid="{00000000-0005-0000-0000-000075300000}"/>
    <cellStyle name="Normal 3 10 17 12" xfId="8041" xr:uid="{00000000-0005-0000-0000-000076300000}"/>
    <cellStyle name="Normal 3 10 17 12 2" xfId="25692" xr:uid="{00000000-0005-0000-0000-000077300000}"/>
    <cellStyle name="Normal 3 10 17 13" xfId="8042" xr:uid="{00000000-0005-0000-0000-000078300000}"/>
    <cellStyle name="Normal 3 10 17 13 2" xfId="25693" xr:uid="{00000000-0005-0000-0000-000079300000}"/>
    <cellStyle name="Normal 3 10 17 14" xfId="8043" xr:uid="{00000000-0005-0000-0000-00007A300000}"/>
    <cellStyle name="Normal 3 10 17 14 2" xfId="25694" xr:uid="{00000000-0005-0000-0000-00007B300000}"/>
    <cellStyle name="Normal 3 10 17 15" xfId="25689" xr:uid="{00000000-0005-0000-0000-00007C300000}"/>
    <cellStyle name="Normal 3 10 17 2" xfId="8044" xr:uid="{00000000-0005-0000-0000-00007D300000}"/>
    <cellStyle name="Normal 3 10 17 2 2" xfId="25695" xr:uid="{00000000-0005-0000-0000-00007E300000}"/>
    <cellStyle name="Normal 3 10 17 3" xfId="8045" xr:uid="{00000000-0005-0000-0000-00007F300000}"/>
    <cellStyle name="Normal 3 10 17 3 2" xfId="25696" xr:uid="{00000000-0005-0000-0000-000080300000}"/>
    <cellStyle name="Normal 3 10 17 4" xfId="8046" xr:uid="{00000000-0005-0000-0000-000081300000}"/>
    <cellStyle name="Normal 3 10 17 4 2" xfId="25697" xr:uid="{00000000-0005-0000-0000-000082300000}"/>
    <cellStyle name="Normal 3 10 17 5" xfId="8047" xr:uid="{00000000-0005-0000-0000-000083300000}"/>
    <cellStyle name="Normal 3 10 17 5 2" xfId="25698" xr:uid="{00000000-0005-0000-0000-000084300000}"/>
    <cellStyle name="Normal 3 10 17 6" xfId="8048" xr:uid="{00000000-0005-0000-0000-000085300000}"/>
    <cellStyle name="Normal 3 10 17 6 2" xfId="25699" xr:uid="{00000000-0005-0000-0000-000086300000}"/>
    <cellStyle name="Normal 3 10 17 7" xfId="8049" xr:uid="{00000000-0005-0000-0000-000087300000}"/>
    <cellStyle name="Normal 3 10 17 7 2" xfId="25700" xr:uid="{00000000-0005-0000-0000-000088300000}"/>
    <cellStyle name="Normal 3 10 17 8" xfId="8050" xr:uid="{00000000-0005-0000-0000-000089300000}"/>
    <cellStyle name="Normal 3 10 17 8 2" xfId="25701" xr:uid="{00000000-0005-0000-0000-00008A300000}"/>
    <cellStyle name="Normal 3 10 17 9" xfId="8051" xr:uid="{00000000-0005-0000-0000-00008B300000}"/>
    <cellStyle name="Normal 3 10 17 9 2" xfId="25702" xr:uid="{00000000-0005-0000-0000-00008C300000}"/>
    <cellStyle name="Normal 3 10 18" xfId="8052" xr:uid="{00000000-0005-0000-0000-00008D300000}"/>
    <cellStyle name="Normal 3 10 18 10" xfId="8053" xr:uid="{00000000-0005-0000-0000-00008E300000}"/>
    <cellStyle name="Normal 3 10 18 10 2" xfId="25704" xr:uid="{00000000-0005-0000-0000-00008F300000}"/>
    <cellStyle name="Normal 3 10 18 11" xfId="8054" xr:uid="{00000000-0005-0000-0000-000090300000}"/>
    <cellStyle name="Normal 3 10 18 11 2" xfId="25705" xr:uid="{00000000-0005-0000-0000-000091300000}"/>
    <cellStyle name="Normal 3 10 18 12" xfId="8055" xr:uid="{00000000-0005-0000-0000-000092300000}"/>
    <cellStyle name="Normal 3 10 18 12 2" xfId="25706" xr:uid="{00000000-0005-0000-0000-000093300000}"/>
    <cellStyle name="Normal 3 10 18 13" xfId="8056" xr:uid="{00000000-0005-0000-0000-000094300000}"/>
    <cellStyle name="Normal 3 10 18 13 2" xfId="25707" xr:uid="{00000000-0005-0000-0000-000095300000}"/>
    <cellStyle name="Normal 3 10 18 14" xfId="8057" xr:uid="{00000000-0005-0000-0000-000096300000}"/>
    <cellStyle name="Normal 3 10 18 14 2" xfId="25708" xr:uid="{00000000-0005-0000-0000-000097300000}"/>
    <cellStyle name="Normal 3 10 18 15" xfId="25703" xr:uid="{00000000-0005-0000-0000-000098300000}"/>
    <cellStyle name="Normal 3 10 18 2" xfId="8058" xr:uid="{00000000-0005-0000-0000-000099300000}"/>
    <cellStyle name="Normal 3 10 18 2 2" xfId="25709" xr:uid="{00000000-0005-0000-0000-00009A300000}"/>
    <cellStyle name="Normal 3 10 18 3" xfId="8059" xr:uid="{00000000-0005-0000-0000-00009B300000}"/>
    <cellStyle name="Normal 3 10 18 3 2" xfId="25710" xr:uid="{00000000-0005-0000-0000-00009C300000}"/>
    <cellStyle name="Normal 3 10 18 4" xfId="8060" xr:uid="{00000000-0005-0000-0000-00009D300000}"/>
    <cellStyle name="Normal 3 10 18 4 2" xfId="25711" xr:uid="{00000000-0005-0000-0000-00009E300000}"/>
    <cellStyle name="Normal 3 10 18 5" xfId="8061" xr:uid="{00000000-0005-0000-0000-00009F300000}"/>
    <cellStyle name="Normal 3 10 18 5 2" xfId="25712" xr:uid="{00000000-0005-0000-0000-0000A0300000}"/>
    <cellStyle name="Normal 3 10 18 6" xfId="8062" xr:uid="{00000000-0005-0000-0000-0000A1300000}"/>
    <cellStyle name="Normal 3 10 18 6 2" xfId="25713" xr:uid="{00000000-0005-0000-0000-0000A2300000}"/>
    <cellStyle name="Normal 3 10 18 7" xfId="8063" xr:uid="{00000000-0005-0000-0000-0000A3300000}"/>
    <cellStyle name="Normal 3 10 18 7 2" xfId="25714" xr:uid="{00000000-0005-0000-0000-0000A4300000}"/>
    <cellStyle name="Normal 3 10 18 8" xfId="8064" xr:uid="{00000000-0005-0000-0000-0000A5300000}"/>
    <cellStyle name="Normal 3 10 18 8 2" xfId="25715" xr:uid="{00000000-0005-0000-0000-0000A6300000}"/>
    <cellStyle name="Normal 3 10 18 9" xfId="8065" xr:uid="{00000000-0005-0000-0000-0000A7300000}"/>
    <cellStyle name="Normal 3 10 18 9 2" xfId="25716" xr:uid="{00000000-0005-0000-0000-0000A8300000}"/>
    <cellStyle name="Normal 3 10 19" xfId="8066" xr:uid="{00000000-0005-0000-0000-0000A9300000}"/>
    <cellStyle name="Normal 3 10 19 10" xfId="8067" xr:uid="{00000000-0005-0000-0000-0000AA300000}"/>
    <cellStyle name="Normal 3 10 19 10 2" xfId="25718" xr:uid="{00000000-0005-0000-0000-0000AB300000}"/>
    <cellStyle name="Normal 3 10 19 11" xfId="8068" xr:uid="{00000000-0005-0000-0000-0000AC300000}"/>
    <cellStyle name="Normal 3 10 19 11 2" xfId="25719" xr:uid="{00000000-0005-0000-0000-0000AD300000}"/>
    <cellStyle name="Normal 3 10 19 12" xfId="8069" xr:uid="{00000000-0005-0000-0000-0000AE300000}"/>
    <cellStyle name="Normal 3 10 19 12 2" xfId="25720" xr:uid="{00000000-0005-0000-0000-0000AF300000}"/>
    <cellStyle name="Normal 3 10 19 13" xfId="8070" xr:uid="{00000000-0005-0000-0000-0000B0300000}"/>
    <cellStyle name="Normal 3 10 19 13 2" xfId="25721" xr:uid="{00000000-0005-0000-0000-0000B1300000}"/>
    <cellStyle name="Normal 3 10 19 14" xfId="8071" xr:uid="{00000000-0005-0000-0000-0000B2300000}"/>
    <cellStyle name="Normal 3 10 19 14 2" xfId="25722" xr:uid="{00000000-0005-0000-0000-0000B3300000}"/>
    <cellStyle name="Normal 3 10 19 15" xfId="25717" xr:uid="{00000000-0005-0000-0000-0000B4300000}"/>
    <cellStyle name="Normal 3 10 19 2" xfId="8072" xr:uid="{00000000-0005-0000-0000-0000B5300000}"/>
    <cellStyle name="Normal 3 10 19 2 2" xfId="25723" xr:uid="{00000000-0005-0000-0000-0000B6300000}"/>
    <cellStyle name="Normal 3 10 19 3" xfId="8073" xr:uid="{00000000-0005-0000-0000-0000B7300000}"/>
    <cellStyle name="Normal 3 10 19 3 2" xfId="25724" xr:uid="{00000000-0005-0000-0000-0000B8300000}"/>
    <cellStyle name="Normal 3 10 19 4" xfId="8074" xr:uid="{00000000-0005-0000-0000-0000B9300000}"/>
    <cellStyle name="Normal 3 10 19 4 2" xfId="25725" xr:uid="{00000000-0005-0000-0000-0000BA300000}"/>
    <cellStyle name="Normal 3 10 19 5" xfId="8075" xr:uid="{00000000-0005-0000-0000-0000BB300000}"/>
    <cellStyle name="Normal 3 10 19 5 2" xfId="25726" xr:uid="{00000000-0005-0000-0000-0000BC300000}"/>
    <cellStyle name="Normal 3 10 19 6" xfId="8076" xr:uid="{00000000-0005-0000-0000-0000BD300000}"/>
    <cellStyle name="Normal 3 10 19 6 2" xfId="25727" xr:uid="{00000000-0005-0000-0000-0000BE300000}"/>
    <cellStyle name="Normal 3 10 19 7" xfId="8077" xr:uid="{00000000-0005-0000-0000-0000BF300000}"/>
    <cellStyle name="Normal 3 10 19 7 2" xfId="25728" xr:uid="{00000000-0005-0000-0000-0000C0300000}"/>
    <cellStyle name="Normal 3 10 19 8" xfId="8078" xr:uid="{00000000-0005-0000-0000-0000C1300000}"/>
    <cellStyle name="Normal 3 10 19 8 2" xfId="25729" xr:uid="{00000000-0005-0000-0000-0000C2300000}"/>
    <cellStyle name="Normal 3 10 19 9" xfId="8079" xr:uid="{00000000-0005-0000-0000-0000C3300000}"/>
    <cellStyle name="Normal 3 10 19 9 2" xfId="25730" xr:uid="{00000000-0005-0000-0000-0000C4300000}"/>
    <cellStyle name="Normal 3 10 2" xfId="8080" xr:uid="{00000000-0005-0000-0000-0000C5300000}"/>
    <cellStyle name="Normal 3 10 20" xfId="8081" xr:uid="{00000000-0005-0000-0000-0000C6300000}"/>
    <cellStyle name="Normal 3 10 20 10" xfId="8082" xr:uid="{00000000-0005-0000-0000-0000C7300000}"/>
    <cellStyle name="Normal 3 10 20 10 2" xfId="25732" xr:uid="{00000000-0005-0000-0000-0000C8300000}"/>
    <cellStyle name="Normal 3 10 20 11" xfId="8083" xr:uid="{00000000-0005-0000-0000-0000C9300000}"/>
    <cellStyle name="Normal 3 10 20 11 2" xfId="25733" xr:uid="{00000000-0005-0000-0000-0000CA300000}"/>
    <cellStyle name="Normal 3 10 20 12" xfId="8084" xr:uid="{00000000-0005-0000-0000-0000CB300000}"/>
    <cellStyle name="Normal 3 10 20 12 2" xfId="25734" xr:uid="{00000000-0005-0000-0000-0000CC300000}"/>
    <cellStyle name="Normal 3 10 20 13" xfId="8085" xr:uid="{00000000-0005-0000-0000-0000CD300000}"/>
    <cellStyle name="Normal 3 10 20 13 2" xfId="25735" xr:uid="{00000000-0005-0000-0000-0000CE300000}"/>
    <cellStyle name="Normal 3 10 20 14" xfId="8086" xr:uid="{00000000-0005-0000-0000-0000CF300000}"/>
    <cellStyle name="Normal 3 10 20 14 2" xfId="25736" xr:uid="{00000000-0005-0000-0000-0000D0300000}"/>
    <cellStyle name="Normal 3 10 20 15" xfId="25731" xr:uid="{00000000-0005-0000-0000-0000D1300000}"/>
    <cellStyle name="Normal 3 10 20 2" xfId="8087" xr:uid="{00000000-0005-0000-0000-0000D2300000}"/>
    <cellStyle name="Normal 3 10 20 2 2" xfId="25737" xr:uid="{00000000-0005-0000-0000-0000D3300000}"/>
    <cellStyle name="Normal 3 10 20 3" xfId="8088" xr:uid="{00000000-0005-0000-0000-0000D4300000}"/>
    <cellStyle name="Normal 3 10 20 3 2" xfId="25738" xr:uid="{00000000-0005-0000-0000-0000D5300000}"/>
    <cellStyle name="Normal 3 10 20 4" xfId="8089" xr:uid="{00000000-0005-0000-0000-0000D6300000}"/>
    <cellStyle name="Normal 3 10 20 4 2" xfId="25739" xr:uid="{00000000-0005-0000-0000-0000D7300000}"/>
    <cellStyle name="Normal 3 10 20 5" xfId="8090" xr:uid="{00000000-0005-0000-0000-0000D8300000}"/>
    <cellStyle name="Normal 3 10 20 5 2" xfId="25740" xr:uid="{00000000-0005-0000-0000-0000D9300000}"/>
    <cellStyle name="Normal 3 10 20 6" xfId="8091" xr:uid="{00000000-0005-0000-0000-0000DA300000}"/>
    <cellStyle name="Normal 3 10 20 6 2" xfId="25741" xr:uid="{00000000-0005-0000-0000-0000DB300000}"/>
    <cellStyle name="Normal 3 10 20 7" xfId="8092" xr:uid="{00000000-0005-0000-0000-0000DC300000}"/>
    <cellStyle name="Normal 3 10 20 7 2" xfId="25742" xr:uid="{00000000-0005-0000-0000-0000DD300000}"/>
    <cellStyle name="Normal 3 10 20 8" xfId="8093" xr:uid="{00000000-0005-0000-0000-0000DE300000}"/>
    <cellStyle name="Normal 3 10 20 8 2" xfId="25743" xr:uid="{00000000-0005-0000-0000-0000DF300000}"/>
    <cellStyle name="Normal 3 10 20 9" xfId="8094" xr:uid="{00000000-0005-0000-0000-0000E0300000}"/>
    <cellStyle name="Normal 3 10 20 9 2" xfId="25744" xr:uid="{00000000-0005-0000-0000-0000E1300000}"/>
    <cellStyle name="Normal 3 10 21" xfId="8095" xr:uid="{00000000-0005-0000-0000-0000E2300000}"/>
    <cellStyle name="Normal 3 10 21 10" xfId="8096" xr:uid="{00000000-0005-0000-0000-0000E3300000}"/>
    <cellStyle name="Normal 3 10 21 10 2" xfId="25746" xr:uid="{00000000-0005-0000-0000-0000E4300000}"/>
    <cellStyle name="Normal 3 10 21 11" xfId="8097" xr:uid="{00000000-0005-0000-0000-0000E5300000}"/>
    <cellStyle name="Normal 3 10 21 11 2" xfId="25747" xr:uid="{00000000-0005-0000-0000-0000E6300000}"/>
    <cellStyle name="Normal 3 10 21 12" xfId="8098" xr:uid="{00000000-0005-0000-0000-0000E7300000}"/>
    <cellStyle name="Normal 3 10 21 12 2" xfId="25748" xr:uid="{00000000-0005-0000-0000-0000E8300000}"/>
    <cellStyle name="Normal 3 10 21 13" xfId="8099" xr:uid="{00000000-0005-0000-0000-0000E9300000}"/>
    <cellStyle name="Normal 3 10 21 13 2" xfId="25749" xr:uid="{00000000-0005-0000-0000-0000EA300000}"/>
    <cellStyle name="Normal 3 10 21 14" xfId="8100" xr:uid="{00000000-0005-0000-0000-0000EB300000}"/>
    <cellStyle name="Normal 3 10 21 14 2" xfId="25750" xr:uid="{00000000-0005-0000-0000-0000EC300000}"/>
    <cellStyle name="Normal 3 10 21 15" xfId="25745" xr:uid="{00000000-0005-0000-0000-0000ED300000}"/>
    <cellStyle name="Normal 3 10 21 2" xfId="8101" xr:uid="{00000000-0005-0000-0000-0000EE300000}"/>
    <cellStyle name="Normal 3 10 21 2 2" xfId="25751" xr:uid="{00000000-0005-0000-0000-0000EF300000}"/>
    <cellStyle name="Normal 3 10 21 3" xfId="8102" xr:uid="{00000000-0005-0000-0000-0000F0300000}"/>
    <cellStyle name="Normal 3 10 21 3 2" xfId="25752" xr:uid="{00000000-0005-0000-0000-0000F1300000}"/>
    <cellStyle name="Normal 3 10 21 4" xfId="8103" xr:uid="{00000000-0005-0000-0000-0000F2300000}"/>
    <cellStyle name="Normal 3 10 21 4 2" xfId="25753" xr:uid="{00000000-0005-0000-0000-0000F3300000}"/>
    <cellStyle name="Normal 3 10 21 5" xfId="8104" xr:uid="{00000000-0005-0000-0000-0000F4300000}"/>
    <cellStyle name="Normal 3 10 21 5 2" xfId="25754" xr:uid="{00000000-0005-0000-0000-0000F5300000}"/>
    <cellStyle name="Normal 3 10 21 6" xfId="8105" xr:uid="{00000000-0005-0000-0000-0000F6300000}"/>
    <cellStyle name="Normal 3 10 21 6 2" xfId="25755" xr:uid="{00000000-0005-0000-0000-0000F7300000}"/>
    <cellStyle name="Normal 3 10 21 7" xfId="8106" xr:uid="{00000000-0005-0000-0000-0000F8300000}"/>
    <cellStyle name="Normal 3 10 21 7 2" xfId="25756" xr:uid="{00000000-0005-0000-0000-0000F9300000}"/>
    <cellStyle name="Normal 3 10 21 8" xfId="8107" xr:uid="{00000000-0005-0000-0000-0000FA300000}"/>
    <cellStyle name="Normal 3 10 21 8 2" xfId="25757" xr:uid="{00000000-0005-0000-0000-0000FB300000}"/>
    <cellStyle name="Normal 3 10 21 9" xfId="8108" xr:uid="{00000000-0005-0000-0000-0000FC300000}"/>
    <cellStyle name="Normal 3 10 21 9 2" xfId="25758" xr:uid="{00000000-0005-0000-0000-0000FD300000}"/>
    <cellStyle name="Normal 3 10 22" xfId="8109" xr:uid="{00000000-0005-0000-0000-0000FE300000}"/>
    <cellStyle name="Normal 3 10 22 10" xfId="8110" xr:uid="{00000000-0005-0000-0000-0000FF300000}"/>
    <cellStyle name="Normal 3 10 22 10 2" xfId="25760" xr:uid="{00000000-0005-0000-0000-000000310000}"/>
    <cellStyle name="Normal 3 10 22 11" xfId="8111" xr:uid="{00000000-0005-0000-0000-000001310000}"/>
    <cellStyle name="Normal 3 10 22 11 2" xfId="25761" xr:uid="{00000000-0005-0000-0000-000002310000}"/>
    <cellStyle name="Normal 3 10 22 12" xfId="8112" xr:uid="{00000000-0005-0000-0000-000003310000}"/>
    <cellStyle name="Normal 3 10 22 12 2" xfId="25762" xr:uid="{00000000-0005-0000-0000-000004310000}"/>
    <cellStyle name="Normal 3 10 22 13" xfId="8113" xr:uid="{00000000-0005-0000-0000-000005310000}"/>
    <cellStyle name="Normal 3 10 22 13 2" xfId="25763" xr:uid="{00000000-0005-0000-0000-000006310000}"/>
    <cellStyle name="Normal 3 10 22 14" xfId="8114" xr:uid="{00000000-0005-0000-0000-000007310000}"/>
    <cellStyle name="Normal 3 10 22 14 2" xfId="25764" xr:uid="{00000000-0005-0000-0000-000008310000}"/>
    <cellStyle name="Normal 3 10 22 15" xfId="25759" xr:uid="{00000000-0005-0000-0000-000009310000}"/>
    <cellStyle name="Normal 3 10 22 2" xfId="8115" xr:uid="{00000000-0005-0000-0000-00000A310000}"/>
    <cellStyle name="Normal 3 10 22 2 2" xfId="25765" xr:uid="{00000000-0005-0000-0000-00000B310000}"/>
    <cellStyle name="Normal 3 10 22 3" xfId="8116" xr:uid="{00000000-0005-0000-0000-00000C310000}"/>
    <cellStyle name="Normal 3 10 22 3 2" xfId="25766" xr:uid="{00000000-0005-0000-0000-00000D310000}"/>
    <cellStyle name="Normal 3 10 22 4" xfId="8117" xr:uid="{00000000-0005-0000-0000-00000E310000}"/>
    <cellStyle name="Normal 3 10 22 4 2" xfId="25767" xr:uid="{00000000-0005-0000-0000-00000F310000}"/>
    <cellStyle name="Normal 3 10 22 5" xfId="8118" xr:uid="{00000000-0005-0000-0000-000010310000}"/>
    <cellStyle name="Normal 3 10 22 5 2" xfId="25768" xr:uid="{00000000-0005-0000-0000-000011310000}"/>
    <cellStyle name="Normal 3 10 22 6" xfId="8119" xr:uid="{00000000-0005-0000-0000-000012310000}"/>
    <cellStyle name="Normal 3 10 22 6 2" xfId="25769" xr:uid="{00000000-0005-0000-0000-000013310000}"/>
    <cellStyle name="Normal 3 10 22 7" xfId="8120" xr:uid="{00000000-0005-0000-0000-000014310000}"/>
    <cellStyle name="Normal 3 10 22 7 2" xfId="25770" xr:uid="{00000000-0005-0000-0000-000015310000}"/>
    <cellStyle name="Normal 3 10 22 8" xfId="8121" xr:uid="{00000000-0005-0000-0000-000016310000}"/>
    <cellStyle name="Normal 3 10 22 8 2" xfId="25771" xr:uid="{00000000-0005-0000-0000-000017310000}"/>
    <cellStyle name="Normal 3 10 22 9" xfId="8122" xr:uid="{00000000-0005-0000-0000-000018310000}"/>
    <cellStyle name="Normal 3 10 22 9 2" xfId="25772" xr:uid="{00000000-0005-0000-0000-000019310000}"/>
    <cellStyle name="Normal 3 10 23" xfId="8123" xr:uid="{00000000-0005-0000-0000-00001A310000}"/>
    <cellStyle name="Normal 3 10 24" xfId="8124" xr:uid="{00000000-0005-0000-0000-00001B310000}"/>
    <cellStyle name="Normal 3 10 25" xfId="8125" xr:uid="{00000000-0005-0000-0000-00001C310000}"/>
    <cellStyle name="Normal 3 10 25 10" xfId="8126" xr:uid="{00000000-0005-0000-0000-00001D310000}"/>
    <cellStyle name="Normal 3 10 25 10 2" xfId="25774" xr:uid="{00000000-0005-0000-0000-00001E310000}"/>
    <cellStyle name="Normal 3 10 25 11" xfId="8127" xr:uid="{00000000-0005-0000-0000-00001F310000}"/>
    <cellStyle name="Normal 3 10 25 11 2" xfId="25775" xr:uid="{00000000-0005-0000-0000-000020310000}"/>
    <cellStyle name="Normal 3 10 25 12" xfId="8128" xr:uid="{00000000-0005-0000-0000-000021310000}"/>
    <cellStyle name="Normal 3 10 25 12 2" xfId="25776" xr:uid="{00000000-0005-0000-0000-000022310000}"/>
    <cellStyle name="Normal 3 10 25 13" xfId="8129" xr:uid="{00000000-0005-0000-0000-000023310000}"/>
    <cellStyle name="Normal 3 10 25 13 2" xfId="25777" xr:uid="{00000000-0005-0000-0000-000024310000}"/>
    <cellStyle name="Normal 3 10 25 14" xfId="8130" xr:uid="{00000000-0005-0000-0000-000025310000}"/>
    <cellStyle name="Normal 3 10 25 14 2" xfId="25778" xr:uid="{00000000-0005-0000-0000-000026310000}"/>
    <cellStyle name="Normal 3 10 25 15" xfId="25773" xr:uid="{00000000-0005-0000-0000-000027310000}"/>
    <cellStyle name="Normal 3 10 25 2" xfId="8131" xr:uid="{00000000-0005-0000-0000-000028310000}"/>
    <cellStyle name="Normal 3 10 25 2 2" xfId="25779" xr:uid="{00000000-0005-0000-0000-000029310000}"/>
    <cellStyle name="Normal 3 10 25 3" xfId="8132" xr:uid="{00000000-0005-0000-0000-00002A310000}"/>
    <cellStyle name="Normal 3 10 25 3 2" xfId="25780" xr:uid="{00000000-0005-0000-0000-00002B310000}"/>
    <cellStyle name="Normal 3 10 25 4" xfId="8133" xr:uid="{00000000-0005-0000-0000-00002C310000}"/>
    <cellStyle name="Normal 3 10 25 4 2" xfId="25781" xr:uid="{00000000-0005-0000-0000-00002D310000}"/>
    <cellStyle name="Normal 3 10 25 5" xfId="8134" xr:uid="{00000000-0005-0000-0000-00002E310000}"/>
    <cellStyle name="Normal 3 10 25 5 2" xfId="25782" xr:uid="{00000000-0005-0000-0000-00002F310000}"/>
    <cellStyle name="Normal 3 10 25 6" xfId="8135" xr:uid="{00000000-0005-0000-0000-000030310000}"/>
    <cellStyle name="Normal 3 10 25 6 2" xfId="25783" xr:uid="{00000000-0005-0000-0000-000031310000}"/>
    <cellStyle name="Normal 3 10 25 7" xfId="8136" xr:uid="{00000000-0005-0000-0000-000032310000}"/>
    <cellStyle name="Normal 3 10 25 7 2" xfId="25784" xr:uid="{00000000-0005-0000-0000-000033310000}"/>
    <cellStyle name="Normal 3 10 25 8" xfId="8137" xr:uid="{00000000-0005-0000-0000-000034310000}"/>
    <cellStyle name="Normal 3 10 25 8 2" xfId="25785" xr:uid="{00000000-0005-0000-0000-000035310000}"/>
    <cellStyle name="Normal 3 10 25 9" xfId="8138" xr:uid="{00000000-0005-0000-0000-000036310000}"/>
    <cellStyle name="Normal 3 10 25 9 2" xfId="25786" xr:uid="{00000000-0005-0000-0000-000037310000}"/>
    <cellStyle name="Normal 3 10 26" xfId="8139" xr:uid="{00000000-0005-0000-0000-000038310000}"/>
    <cellStyle name="Normal 3 10 26 10" xfId="8140" xr:uid="{00000000-0005-0000-0000-000039310000}"/>
    <cellStyle name="Normal 3 10 26 10 2" xfId="25788" xr:uid="{00000000-0005-0000-0000-00003A310000}"/>
    <cellStyle name="Normal 3 10 26 11" xfId="8141" xr:uid="{00000000-0005-0000-0000-00003B310000}"/>
    <cellStyle name="Normal 3 10 26 11 2" xfId="25789" xr:uid="{00000000-0005-0000-0000-00003C310000}"/>
    <cellStyle name="Normal 3 10 26 12" xfId="8142" xr:uid="{00000000-0005-0000-0000-00003D310000}"/>
    <cellStyle name="Normal 3 10 26 12 2" xfId="25790" xr:uid="{00000000-0005-0000-0000-00003E310000}"/>
    <cellStyle name="Normal 3 10 26 13" xfId="8143" xr:uid="{00000000-0005-0000-0000-00003F310000}"/>
    <cellStyle name="Normal 3 10 26 13 2" xfId="25791" xr:uid="{00000000-0005-0000-0000-000040310000}"/>
    <cellStyle name="Normal 3 10 26 14" xfId="8144" xr:uid="{00000000-0005-0000-0000-000041310000}"/>
    <cellStyle name="Normal 3 10 26 14 2" xfId="25792" xr:uid="{00000000-0005-0000-0000-000042310000}"/>
    <cellStyle name="Normal 3 10 26 15" xfId="25787" xr:uid="{00000000-0005-0000-0000-000043310000}"/>
    <cellStyle name="Normal 3 10 26 2" xfId="8145" xr:uid="{00000000-0005-0000-0000-000044310000}"/>
    <cellStyle name="Normal 3 10 26 2 2" xfId="25793" xr:uid="{00000000-0005-0000-0000-000045310000}"/>
    <cellStyle name="Normal 3 10 26 3" xfId="8146" xr:uid="{00000000-0005-0000-0000-000046310000}"/>
    <cellStyle name="Normal 3 10 26 3 2" xfId="25794" xr:uid="{00000000-0005-0000-0000-000047310000}"/>
    <cellStyle name="Normal 3 10 26 4" xfId="8147" xr:uid="{00000000-0005-0000-0000-000048310000}"/>
    <cellStyle name="Normal 3 10 26 4 2" xfId="25795" xr:uid="{00000000-0005-0000-0000-000049310000}"/>
    <cellStyle name="Normal 3 10 26 5" xfId="8148" xr:uid="{00000000-0005-0000-0000-00004A310000}"/>
    <cellStyle name="Normal 3 10 26 5 2" xfId="25796" xr:uid="{00000000-0005-0000-0000-00004B310000}"/>
    <cellStyle name="Normal 3 10 26 6" xfId="8149" xr:uid="{00000000-0005-0000-0000-00004C310000}"/>
    <cellStyle name="Normal 3 10 26 6 2" xfId="25797" xr:uid="{00000000-0005-0000-0000-00004D310000}"/>
    <cellStyle name="Normal 3 10 26 7" xfId="8150" xr:uid="{00000000-0005-0000-0000-00004E310000}"/>
    <cellStyle name="Normal 3 10 26 7 2" xfId="25798" xr:uid="{00000000-0005-0000-0000-00004F310000}"/>
    <cellStyle name="Normal 3 10 26 8" xfId="8151" xr:uid="{00000000-0005-0000-0000-000050310000}"/>
    <cellStyle name="Normal 3 10 26 8 2" xfId="25799" xr:uid="{00000000-0005-0000-0000-000051310000}"/>
    <cellStyle name="Normal 3 10 26 9" xfId="8152" xr:uid="{00000000-0005-0000-0000-000052310000}"/>
    <cellStyle name="Normal 3 10 26 9 2" xfId="25800" xr:uid="{00000000-0005-0000-0000-000053310000}"/>
    <cellStyle name="Normal 3 10 3" xfId="8153" xr:uid="{00000000-0005-0000-0000-000054310000}"/>
    <cellStyle name="Normal 3 10 4" xfId="8154" xr:uid="{00000000-0005-0000-0000-000055310000}"/>
    <cellStyle name="Normal 3 10 5" xfId="8155" xr:uid="{00000000-0005-0000-0000-000056310000}"/>
    <cellStyle name="Normal 3 10 6" xfId="8156" xr:uid="{00000000-0005-0000-0000-000057310000}"/>
    <cellStyle name="Normal 3 10 7" xfId="8157" xr:uid="{00000000-0005-0000-0000-000058310000}"/>
    <cellStyle name="Normal 3 10 8" xfId="8158" xr:uid="{00000000-0005-0000-0000-000059310000}"/>
    <cellStyle name="Normal 3 10 9" xfId="8159" xr:uid="{00000000-0005-0000-0000-00005A310000}"/>
    <cellStyle name="Normal 3 11" xfId="8160" xr:uid="{00000000-0005-0000-0000-00005B310000}"/>
    <cellStyle name="Normal 3 11 10" xfId="8161" xr:uid="{00000000-0005-0000-0000-00005C310000}"/>
    <cellStyle name="Normal 3 11 11" xfId="8162" xr:uid="{00000000-0005-0000-0000-00005D310000}"/>
    <cellStyle name="Normal 3 11 11 10" xfId="8163" xr:uid="{00000000-0005-0000-0000-00005E310000}"/>
    <cellStyle name="Normal 3 11 11 10 2" xfId="25802" xr:uid="{00000000-0005-0000-0000-00005F310000}"/>
    <cellStyle name="Normal 3 11 11 11" xfId="8164" xr:uid="{00000000-0005-0000-0000-000060310000}"/>
    <cellStyle name="Normal 3 11 11 11 2" xfId="25803" xr:uid="{00000000-0005-0000-0000-000061310000}"/>
    <cellStyle name="Normal 3 11 11 12" xfId="8165" xr:uid="{00000000-0005-0000-0000-000062310000}"/>
    <cellStyle name="Normal 3 11 11 12 2" xfId="25804" xr:uid="{00000000-0005-0000-0000-000063310000}"/>
    <cellStyle name="Normal 3 11 11 13" xfId="8166" xr:uid="{00000000-0005-0000-0000-000064310000}"/>
    <cellStyle name="Normal 3 11 11 13 2" xfId="25805" xr:uid="{00000000-0005-0000-0000-000065310000}"/>
    <cellStyle name="Normal 3 11 11 14" xfId="8167" xr:uid="{00000000-0005-0000-0000-000066310000}"/>
    <cellStyle name="Normal 3 11 11 14 2" xfId="25806" xr:uid="{00000000-0005-0000-0000-000067310000}"/>
    <cellStyle name="Normal 3 11 11 15" xfId="8168" xr:uid="{00000000-0005-0000-0000-000068310000}"/>
    <cellStyle name="Normal 3 11 11 15 2" xfId="25807" xr:uid="{00000000-0005-0000-0000-000069310000}"/>
    <cellStyle name="Normal 3 11 11 16" xfId="8169" xr:uid="{00000000-0005-0000-0000-00006A310000}"/>
    <cellStyle name="Normal 3 11 11 16 2" xfId="25808" xr:uid="{00000000-0005-0000-0000-00006B310000}"/>
    <cellStyle name="Normal 3 11 11 17" xfId="8170" xr:uid="{00000000-0005-0000-0000-00006C310000}"/>
    <cellStyle name="Normal 3 11 11 17 2" xfId="25809" xr:uid="{00000000-0005-0000-0000-00006D310000}"/>
    <cellStyle name="Normal 3 11 11 18" xfId="25801" xr:uid="{00000000-0005-0000-0000-00006E310000}"/>
    <cellStyle name="Normal 3 11 11 2" xfId="8171" xr:uid="{00000000-0005-0000-0000-00006F310000}"/>
    <cellStyle name="Normal 3 11 11 3" xfId="8172" xr:uid="{00000000-0005-0000-0000-000070310000}"/>
    <cellStyle name="Normal 3 11 11 4" xfId="8173" xr:uid="{00000000-0005-0000-0000-000071310000}"/>
    <cellStyle name="Normal 3 11 11 5" xfId="8174" xr:uid="{00000000-0005-0000-0000-000072310000}"/>
    <cellStyle name="Normal 3 11 11 5 2" xfId="25810" xr:uid="{00000000-0005-0000-0000-000073310000}"/>
    <cellStyle name="Normal 3 11 11 6" xfId="8175" xr:uid="{00000000-0005-0000-0000-000074310000}"/>
    <cellStyle name="Normal 3 11 11 6 2" xfId="25811" xr:uid="{00000000-0005-0000-0000-000075310000}"/>
    <cellStyle name="Normal 3 11 11 7" xfId="8176" xr:uid="{00000000-0005-0000-0000-000076310000}"/>
    <cellStyle name="Normal 3 11 11 7 2" xfId="25812" xr:uid="{00000000-0005-0000-0000-000077310000}"/>
    <cellStyle name="Normal 3 11 11 8" xfId="8177" xr:uid="{00000000-0005-0000-0000-000078310000}"/>
    <cellStyle name="Normal 3 11 11 8 2" xfId="25813" xr:uid="{00000000-0005-0000-0000-000079310000}"/>
    <cellStyle name="Normal 3 11 11 9" xfId="8178" xr:uid="{00000000-0005-0000-0000-00007A310000}"/>
    <cellStyle name="Normal 3 11 11 9 2" xfId="25814" xr:uid="{00000000-0005-0000-0000-00007B310000}"/>
    <cellStyle name="Normal 3 11 12" xfId="8179" xr:uid="{00000000-0005-0000-0000-00007C310000}"/>
    <cellStyle name="Normal 3 11 13" xfId="8180" xr:uid="{00000000-0005-0000-0000-00007D310000}"/>
    <cellStyle name="Normal 3 11 14" xfId="8181" xr:uid="{00000000-0005-0000-0000-00007E310000}"/>
    <cellStyle name="Normal 3 11 14 10" xfId="8182" xr:uid="{00000000-0005-0000-0000-00007F310000}"/>
    <cellStyle name="Normal 3 11 14 10 2" xfId="25816" xr:uid="{00000000-0005-0000-0000-000080310000}"/>
    <cellStyle name="Normal 3 11 14 11" xfId="8183" xr:uid="{00000000-0005-0000-0000-000081310000}"/>
    <cellStyle name="Normal 3 11 14 11 2" xfId="25817" xr:uid="{00000000-0005-0000-0000-000082310000}"/>
    <cellStyle name="Normal 3 11 14 12" xfId="8184" xr:uid="{00000000-0005-0000-0000-000083310000}"/>
    <cellStyle name="Normal 3 11 14 12 2" xfId="25818" xr:uid="{00000000-0005-0000-0000-000084310000}"/>
    <cellStyle name="Normal 3 11 14 13" xfId="8185" xr:uid="{00000000-0005-0000-0000-000085310000}"/>
    <cellStyle name="Normal 3 11 14 13 2" xfId="25819" xr:uid="{00000000-0005-0000-0000-000086310000}"/>
    <cellStyle name="Normal 3 11 14 14" xfId="8186" xr:uid="{00000000-0005-0000-0000-000087310000}"/>
    <cellStyle name="Normal 3 11 14 14 2" xfId="25820" xr:uid="{00000000-0005-0000-0000-000088310000}"/>
    <cellStyle name="Normal 3 11 14 15" xfId="8187" xr:uid="{00000000-0005-0000-0000-000089310000}"/>
    <cellStyle name="Normal 3 11 14 15 2" xfId="25821" xr:uid="{00000000-0005-0000-0000-00008A310000}"/>
    <cellStyle name="Normal 3 11 14 16" xfId="25815" xr:uid="{00000000-0005-0000-0000-00008B310000}"/>
    <cellStyle name="Normal 3 11 14 2" xfId="8188" xr:uid="{00000000-0005-0000-0000-00008C310000}"/>
    <cellStyle name="Normal 3 11 14 2 10" xfId="8189" xr:uid="{00000000-0005-0000-0000-00008D310000}"/>
    <cellStyle name="Normal 3 11 14 2 10 2" xfId="25823" xr:uid="{00000000-0005-0000-0000-00008E310000}"/>
    <cellStyle name="Normal 3 11 14 2 11" xfId="8190" xr:uid="{00000000-0005-0000-0000-00008F310000}"/>
    <cellStyle name="Normal 3 11 14 2 11 2" xfId="25824" xr:uid="{00000000-0005-0000-0000-000090310000}"/>
    <cellStyle name="Normal 3 11 14 2 12" xfId="8191" xr:uid="{00000000-0005-0000-0000-000091310000}"/>
    <cellStyle name="Normal 3 11 14 2 12 2" xfId="25825" xr:uid="{00000000-0005-0000-0000-000092310000}"/>
    <cellStyle name="Normal 3 11 14 2 13" xfId="8192" xr:uid="{00000000-0005-0000-0000-000093310000}"/>
    <cellStyle name="Normal 3 11 14 2 13 2" xfId="25826" xr:uid="{00000000-0005-0000-0000-000094310000}"/>
    <cellStyle name="Normal 3 11 14 2 14" xfId="8193" xr:uid="{00000000-0005-0000-0000-000095310000}"/>
    <cellStyle name="Normal 3 11 14 2 14 2" xfId="25827" xr:uid="{00000000-0005-0000-0000-000096310000}"/>
    <cellStyle name="Normal 3 11 14 2 15" xfId="25822" xr:uid="{00000000-0005-0000-0000-000097310000}"/>
    <cellStyle name="Normal 3 11 14 2 2" xfId="8194" xr:uid="{00000000-0005-0000-0000-000098310000}"/>
    <cellStyle name="Normal 3 11 14 2 2 2" xfId="25828" xr:uid="{00000000-0005-0000-0000-000099310000}"/>
    <cellStyle name="Normal 3 11 14 2 3" xfId="8195" xr:uid="{00000000-0005-0000-0000-00009A310000}"/>
    <cellStyle name="Normal 3 11 14 2 3 2" xfId="25829" xr:uid="{00000000-0005-0000-0000-00009B310000}"/>
    <cellStyle name="Normal 3 11 14 2 4" xfId="8196" xr:uid="{00000000-0005-0000-0000-00009C310000}"/>
    <cellStyle name="Normal 3 11 14 2 4 2" xfId="25830" xr:uid="{00000000-0005-0000-0000-00009D310000}"/>
    <cellStyle name="Normal 3 11 14 2 5" xfId="8197" xr:uid="{00000000-0005-0000-0000-00009E310000}"/>
    <cellStyle name="Normal 3 11 14 2 5 2" xfId="25831" xr:uid="{00000000-0005-0000-0000-00009F310000}"/>
    <cellStyle name="Normal 3 11 14 2 6" xfId="8198" xr:uid="{00000000-0005-0000-0000-0000A0310000}"/>
    <cellStyle name="Normal 3 11 14 2 6 2" xfId="25832" xr:uid="{00000000-0005-0000-0000-0000A1310000}"/>
    <cellStyle name="Normal 3 11 14 2 7" xfId="8199" xr:uid="{00000000-0005-0000-0000-0000A2310000}"/>
    <cellStyle name="Normal 3 11 14 2 7 2" xfId="25833" xr:uid="{00000000-0005-0000-0000-0000A3310000}"/>
    <cellStyle name="Normal 3 11 14 2 8" xfId="8200" xr:uid="{00000000-0005-0000-0000-0000A4310000}"/>
    <cellStyle name="Normal 3 11 14 2 8 2" xfId="25834" xr:uid="{00000000-0005-0000-0000-0000A5310000}"/>
    <cellStyle name="Normal 3 11 14 2 9" xfId="8201" xr:uid="{00000000-0005-0000-0000-0000A6310000}"/>
    <cellStyle name="Normal 3 11 14 2 9 2" xfId="25835" xr:uid="{00000000-0005-0000-0000-0000A7310000}"/>
    <cellStyle name="Normal 3 11 14 3" xfId="8202" xr:uid="{00000000-0005-0000-0000-0000A8310000}"/>
    <cellStyle name="Normal 3 11 14 3 2" xfId="25836" xr:uid="{00000000-0005-0000-0000-0000A9310000}"/>
    <cellStyle name="Normal 3 11 14 4" xfId="8203" xr:uid="{00000000-0005-0000-0000-0000AA310000}"/>
    <cellStyle name="Normal 3 11 14 4 2" xfId="25837" xr:uid="{00000000-0005-0000-0000-0000AB310000}"/>
    <cellStyle name="Normal 3 11 14 5" xfId="8204" xr:uid="{00000000-0005-0000-0000-0000AC310000}"/>
    <cellStyle name="Normal 3 11 14 5 2" xfId="25838" xr:uid="{00000000-0005-0000-0000-0000AD310000}"/>
    <cellStyle name="Normal 3 11 14 6" xfId="8205" xr:uid="{00000000-0005-0000-0000-0000AE310000}"/>
    <cellStyle name="Normal 3 11 14 6 2" xfId="25839" xr:uid="{00000000-0005-0000-0000-0000AF310000}"/>
    <cellStyle name="Normal 3 11 14 7" xfId="8206" xr:uid="{00000000-0005-0000-0000-0000B0310000}"/>
    <cellStyle name="Normal 3 11 14 7 2" xfId="25840" xr:uid="{00000000-0005-0000-0000-0000B1310000}"/>
    <cellStyle name="Normal 3 11 14 8" xfId="8207" xr:uid="{00000000-0005-0000-0000-0000B2310000}"/>
    <cellStyle name="Normal 3 11 14 8 2" xfId="25841" xr:uid="{00000000-0005-0000-0000-0000B3310000}"/>
    <cellStyle name="Normal 3 11 14 9" xfId="8208" xr:uid="{00000000-0005-0000-0000-0000B4310000}"/>
    <cellStyle name="Normal 3 11 14 9 2" xfId="25842" xr:uid="{00000000-0005-0000-0000-0000B5310000}"/>
    <cellStyle name="Normal 3 11 15" xfId="8209" xr:uid="{00000000-0005-0000-0000-0000B6310000}"/>
    <cellStyle name="Normal 3 11 15 10" xfId="8210" xr:uid="{00000000-0005-0000-0000-0000B7310000}"/>
    <cellStyle name="Normal 3 11 15 10 2" xfId="25844" xr:uid="{00000000-0005-0000-0000-0000B8310000}"/>
    <cellStyle name="Normal 3 11 15 11" xfId="8211" xr:uid="{00000000-0005-0000-0000-0000B9310000}"/>
    <cellStyle name="Normal 3 11 15 11 2" xfId="25845" xr:uid="{00000000-0005-0000-0000-0000BA310000}"/>
    <cellStyle name="Normal 3 11 15 12" xfId="8212" xr:uid="{00000000-0005-0000-0000-0000BB310000}"/>
    <cellStyle name="Normal 3 11 15 12 2" xfId="25846" xr:uid="{00000000-0005-0000-0000-0000BC310000}"/>
    <cellStyle name="Normal 3 11 15 13" xfId="8213" xr:uid="{00000000-0005-0000-0000-0000BD310000}"/>
    <cellStyle name="Normal 3 11 15 13 2" xfId="25847" xr:uid="{00000000-0005-0000-0000-0000BE310000}"/>
    <cellStyle name="Normal 3 11 15 14" xfId="8214" xr:uid="{00000000-0005-0000-0000-0000BF310000}"/>
    <cellStyle name="Normal 3 11 15 14 2" xfId="25848" xr:uid="{00000000-0005-0000-0000-0000C0310000}"/>
    <cellStyle name="Normal 3 11 15 15" xfId="8215" xr:uid="{00000000-0005-0000-0000-0000C1310000}"/>
    <cellStyle name="Normal 3 11 15 15 2" xfId="25849" xr:uid="{00000000-0005-0000-0000-0000C2310000}"/>
    <cellStyle name="Normal 3 11 15 16" xfId="25843" xr:uid="{00000000-0005-0000-0000-0000C3310000}"/>
    <cellStyle name="Normal 3 11 15 2" xfId="8216" xr:uid="{00000000-0005-0000-0000-0000C4310000}"/>
    <cellStyle name="Normal 3 11 15 2 10" xfId="8217" xr:uid="{00000000-0005-0000-0000-0000C5310000}"/>
    <cellStyle name="Normal 3 11 15 2 10 2" xfId="25851" xr:uid="{00000000-0005-0000-0000-0000C6310000}"/>
    <cellStyle name="Normal 3 11 15 2 11" xfId="8218" xr:uid="{00000000-0005-0000-0000-0000C7310000}"/>
    <cellStyle name="Normal 3 11 15 2 11 2" xfId="25852" xr:uid="{00000000-0005-0000-0000-0000C8310000}"/>
    <cellStyle name="Normal 3 11 15 2 12" xfId="8219" xr:uid="{00000000-0005-0000-0000-0000C9310000}"/>
    <cellStyle name="Normal 3 11 15 2 12 2" xfId="25853" xr:uid="{00000000-0005-0000-0000-0000CA310000}"/>
    <cellStyle name="Normal 3 11 15 2 13" xfId="8220" xr:uid="{00000000-0005-0000-0000-0000CB310000}"/>
    <cellStyle name="Normal 3 11 15 2 13 2" xfId="25854" xr:uid="{00000000-0005-0000-0000-0000CC310000}"/>
    <cellStyle name="Normal 3 11 15 2 14" xfId="8221" xr:uid="{00000000-0005-0000-0000-0000CD310000}"/>
    <cellStyle name="Normal 3 11 15 2 14 2" xfId="25855" xr:uid="{00000000-0005-0000-0000-0000CE310000}"/>
    <cellStyle name="Normal 3 11 15 2 15" xfId="25850" xr:uid="{00000000-0005-0000-0000-0000CF310000}"/>
    <cellStyle name="Normal 3 11 15 2 2" xfId="8222" xr:uid="{00000000-0005-0000-0000-0000D0310000}"/>
    <cellStyle name="Normal 3 11 15 2 2 2" xfId="25856" xr:uid="{00000000-0005-0000-0000-0000D1310000}"/>
    <cellStyle name="Normal 3 11 15 2 3" xfId="8223" xr:uid="{00000000-0005-0000-0000-0000D2310000}"/>
    <cellStyle name="Normal 3 11 15 2 3 2" xfId="25857" xr:uid="{00000000-0005-0000-0000-0000D3310000}"/>
    <cellStyle name="Normal 3 11 15 2 4" xfId="8224" xr:uid="{00000000-0005-0000-0000-0000D4310000}"/>
    <cellStyle name="Normal 3 11 15 2 4 2" xfId="25858" xr:uid="{00000000-0005-0000-0000-0000D5310000}"/>
    <cellStyle name="Normal 3 11 15 2 5" xfId="8225" xr:uid="{00000000-0005-0000-0000-0000D6310000}"/>
    <cellStyle name="Normal 3 11 15 2 5 2" xfId="25859" xr:uid="{00000000-0005-0000-0000-0000D7310000}"/>
    <cellStyle name="Normal 3 11 15 2 6" xfId="8226" xr:uid="{00000000-0005-0000-0000-0000D8310000}"/>
    <cellStyle name="Normal 3 11 15 2 6 2" xfId="25860" xr:uid="{00000000-0005-0000-0000-0000D9310000}"/>
    <cellStyle name="Normal 3 11 15 2 7" xfId="8227" xr:uid="{00000000-0005-0000-0000-0000DA310000}"/>
    <cellStyle name="Normal 3 11 15 2 7 2" xfId="25861" xr:uid="{00000000-0005-0000-0000-0000DB310000}"/>
    <cellStyle name="Normal 3 11 15 2 8" xfId="8228" xr:uid="{00000000-0005-0000-0000-0000DC310000}"/>
    <cellStyle name="Normal 3 11 15 2 8 2" xfId="25862" xr:uid="{00000000-0005-0000-0000-0000DD310000}"/>
    <cellStyle name="Normal 3 11 15 2 9" xfId="8229" xr:uid="{00000000-0005-0000-0000-0000DE310000}"/>
    <cellStyle name="Normal 3 11 15 2 9 2" xfId="25863" xr:uid="{00000000-0005-0000-0000-0000DF310000}"/>
    <cellStyle name="Normal 3 11 15 3" xfId="8230" xr:uid="{00000000-0005-0000-0000-0000E0310000}"/>
    <cellStyle name="Normal 3 11 15 3 2" xfId="25864" xr:uid="{00000000-0005-0000-0000-0000E1310000}"/>
    <cellStyle name="Normal 3 11 15 4" xfId="8231" xr:uid="{00000000-0005-0000-0000-0000E2310000}"/>
    <cellStyle name="Normal 3 11 15 4 2" xfId="25865" xr:uid="{00000000-0005-0000-0000-0000E3310000}"/>
    <cellStyle name="Normal 3 11 15 5" xfId="8232" xr:uid="{00000000-0005-0000-0000-0000E4310000}"/>
    <cellStyle name="Normal 3 11 15 5 2" xfId="25866" xr:uid="{00000000-0005-0000-0000-0000E5310000}"/>
    <cellStyle name="Normal 3 11 15 6" xfId="8233" xr:uid="{00000000-0005-0000-0000-0000E6310000}"/>
    <cellStyle name="Normal 3 11 15 6 2" xfId="25867" xr:uid="{00000000-0005-0000-0000-0000E7310000}"/>
    <cellStyle name="Normal 3 11 15 7" xfId="8234" xr:uid="{00000000-0005-0000-0000-0000E8310000}"/>
    <cellStyle name="Normal 3 11 15 7 2" xfId="25868" xr:uid="{00000000-0005-0000-0000-0000E9310000}"/>
    <cellStyle name="Normal 3 11 15 8" xfId="8235" xr:uid="{00000000-0005-0000-0000-0000EA310000}"/>
    <cellStyle name="Normal 3 11 15 8 2" xfId="25869" xr:uid="{00000000-0005-0000-0000-0000EB310000}"/>
    <cellStyle name="Normal 3 11 15 9" xfId="8236" xr:uid="{00000000-0005-0000-0000-0000EC310000}"/>
    <cellStyle name="Normal 3 11 15 9 2" xfId="25870" xr:uid="{00000000-0005-0000-0000-0000ED310000}"/>
    <cellStyle name="Normal 3 11 16" xfId="8237" xr:uid="{00000000-0005-0000-0000-0000EE310000}"/>
    <cellStyle name="Normal 3 11 16 10" xfId="8238" xr:uid="{00000000-0005-0000-0000-0000EF310000}"/>
    <cellStyle name="Normal 3 11 16 10 2" xfId="25872" xr:uid="{00000000-0005-0000-0000-0000F0310000}"/>
    <cellStyle name="Normal 3 11 16 11" xfId="8239" xr:uid="{00000000-0005-0000-0000-0000F1310000}"/>
    <cellStyle name="Normal 3 11 16 11 2" xfId="25873" xr:uid="{00000000-0005-0000-0000-0000F2310000}"/>
    <cellStyle name="Normal 3 11 16 12" xfId="8240" xr:uid="{00000000-0005-0000-0000-0000F3310000}"/>
    <cellStyle name="Normal 3 11 16 12 2" xfId="25874" xr:uid="{00000000-0005-0000-0000-0000F4310000}"/>
    <cellStyle name="Normal 3 11 16 13" xfId="8241" xr:uid="{00000000-0005-0000-0000-0000F5310000}"/>
    <cellStyle name="Normal 3 11 16 13 2" xfId="25875" xr:uid="{00000000-0005-0000-0000-0000F6310000}"/>
    <cellStyle name="Normal 3 11 16 14" xfId="8242" xr:uid="{00000000-0005-0000-0000-0000F7310000}"/>
    <cellStyle name="Normal 3 11 16 14 2" xfId="25876" xr:uid="{00000000-0005-0000-0000-0000F8310000}"/>
    <cellStyle name="Normal 3 11 16 15" xfId="8243" xr:uid="{00000000-0005-0000-0000-0000F9310000}"/>
    <cellStyle name="Normal 3 11 16 15 2" xfId="25877" xr:uid="{00000000-0005-0000-0000-0000FA310000}"/>
    <cellStyle name="Normal 3 11 16 16" xfId="25871" xr:uid="{00000000-0005-0000-0000-0000FB310000}"/>
    <cellStyle name="Normal 3 11 16 2" xfId="8244" xr:uid="{00000000-0005-0000-0000-0000FC310000}"/>
    <cellStyle name="Normal 3 11 16 2 10" xfId="8245" xr:uid="{00000000-0005-0000-0000-0000FD310000}"/>
    <cellStyle name="Normal 3 11 16 2 10 2" xfId="25879" xr:uid="{00000000-0005-0000-0000-0000FE310000}"/>
    <cellStyle name="Normal 3 11 16 2 11" xfId="8246" xr:uid="{00000000-0005-0000-0000-0000FF310000}"/>
    <cellStyle name="Normal 3 11 16 2 11 2" xfId="25880" xr:uid="{00000000-0005-0000-0000-000000320000}"/>
    <cellStyle name="Normal 3 11 16 2 12" xfId="8247" xr:uid="{00000000-0005-0000-0000-000001320000}"/>
    <cellStyle name="Normal 3 11 16 2 12 2" xfId="25881" xr:uid="{00000000-0005-0000-0000-000002320000}"/>
    <cellStyle name="Normal 3 11 16 2 13" xfId="8248" xr:uid="{00000000-0005-0000-0000-000003320000}"/>
    <cellStyle name="Normal 3 11 16 2 13 2" xfId="25882" xr:uid="{00000000-0005-0000-0000-000004320000}"/>
    <cellStyle name="Normal 3 11 16 2 14" xfId="8249" xr:uid="{00000000-0005-0000-0000-000005320000}"/>
    <cellStyle name="Normal 3 11 16 2 14 2" xfId="25883" xr:uid="{00000000-0005-0000-0000-000006320000}"/>
    <cellStyle name="Normal 3 11 16 2 15" xfId="25878" xr:uid="{00000000-0005-0000-0000-000007320000}"/>
    <cellStyle name="Normal 3 11 16 2 2" xfId="8250" xr:uid="{00000000-0005-0000-0000-000008320000}"/>
    <cellStyle name="Normal 3 11 16 2 2 2" xfId="25884" xr:uid="{00000000-0005-0000-0000-000009320000}"/>
    <cellStyle name="Normal 3 11 16 2 3" xfId="8251" xr:uid="{00000000-0005-0000-0000-00000A320000}"/>
    <cellStyle name="Normal 3 11 16 2 3 2" xfId="25885" xr:uid="{00000000-0005-0000-0000-00000B320000}"/>
    <cellStyle name="Normal 3 11 16 2 4" xfId="8252" xr:uid="{00000000-0005-0000-0000-00000C320000}"/>
    <cellStyle name="Normal 3 11 16 2 4 2" xfId="25886" xr:uid="{00000000-0005-0000-0000-00000D320000}"/>
    <cellStyle name="Normal 3 11 16 2 5" xfId="8253" xr:uid="{00000000-0005-0000-0000-00000E320000}"/>
    <cellStyle name="Normal 3 11 16 2 5 2" xfId="25887" xr:uid="{00000000-0005-0000-0000-00000F320000}"/>
    <cellStyle name="Normal 3 11 16 2 6" xfId="8254" xr:uid="{00000000-0005-0000-0000-000010320000}"/>
    <cellStyle name="Normal 3 11 16 2 6 2" xfId="25888" xr:uid="{00000000-0005-0000-0000-000011320000}"/>
    <cellStyle name="Normal 3 11 16 2 7" xfId="8255" xr:uid="{00000000-0005-0000-0000-000012320000}"/>
    <cellStyle name="Normal 3 11 16 2 7 2" xfId="25889" xr:uid="{00000000-0005-0000-0000-000013320000}"/>
    <cellStyle name="Normal 3 11 16 2 8" xfId="8256" xr:uid="{00000000-0005-0000-0000-000014320000}"/>
    <cellStyle name="Normal 3 11 16 2 8 2" xfId="25890" xr:uid="{00000000-0005-0000-0000-000015320000}"/>
    <cellStyle name="Normal 3 11 16 2 9" xfId="8257" xr:uid="{00000000-0005-0000-0000-000016320000}"/>
    <cellStyle name="Normal 3 11 16 2 9 2" xfId="25891" xr:uid="{00000000-0005-0000-0000-000017320000}"/>
    <cellStyle name="Normal 3 11 16 3" xfId="8258" xr:uid="{00000000-0005-0000-0000-000018320000}"/>
    <cellStyle name="Normal 3 11 16 3 2" xfId="25892" xr:uid="{00000000-0005-0000-0000-000019320000}"/>
    <cellStyle name="Normal 3 11 16 4" xfId="8259" xr:uid="{00000000-0005-0000-0000-00001A320000}"/>
    <cellStyle name="Normal 3 11 16 4 2" xfId="25893" xr:uid="{00000000-0005-0000-0000-00001B320000}"/>
    <cellStyle name="Normal 3 11 16 5" xfId="8260" xr:uid="{00000000-0005-0000-0000-00001C320000}"/>
    <cellStyle name="Normal 3 11 16 5 2" xfId="25894" xr:uid="{00000000-0005-0000-0000-00001D320000}"/>
    <cellStyle name="Normal 3 11 16 6" xfId="8261" xr:uid="{00000000-0005-0000-0000-00001E320000}"/>
    <cellStyle name="Normal 3 11 16 6 2" xfId="25895" xr:uid="{00000000-0005-0000-0000-00001F320000}"/>
    <cellStyle name="Normal 3 11 16 7" xfId="8262" xr:uid="{00000000-0005-0000-0000-000020320000}"/>
    <cellStyle name="Normal 3 11 16 7 2" xfId="25896" xr:uid="{00000000-0005-0000-0000-000021320000}"/>
    <cellStyle name="Normal 3 11 16 8" xfId="8263" xr:uid="{00000000-0005-0000-0000-000022320000}"/>
    <cellStyle name="Normal 3 11 16 8 2" xfId="25897" xr:uid="{00000000-0005-0000-0000-000023320000}"/>
    <cellStyle name="Normal 3 11 16 9" xfId="8264" xr:uid="{00000000-0005-0000-0000-000024320000}"/>
    <cellStyle name="Normal 3 11 16 9 2" xfId="25898" xr:uid="{00000000-0005-0000-0000-000025320000}"/>
    <cellStyle name="Normal 3 11 17" xfId="8265" xr:uid="{00000000-0005-0000-0000-000026320000}"/>
    <cellStyle name="Normal 3 11 17 10" xfId="8266" xr:uid="{00000000-0005-0000-0000-000027320000}"/>
    <cellStyle name="Normal 3 11 17 10 2" xfId="25900" xr:uid="{00000000-0005-0000-0000-000028320000}"/>
    <cellStyle name="Normal 3 11 17 11" xfId="8267" xr:uid="{00000000-0005-0000-0000-000029320000}"/>
    <cellStyle name="Normal 3 11 17 11 2" xfId="25901" xr:uid="{00000000-0005-0000-0000-00002A320000}"/>
    <cellStyle name="Normal 3 11 17 12" xfId="8268" xr:uid="{00000000-0005-0000-0000-00002B320000}"/>
    <cellStyle name="Normal 3 11 17 12 2" xfId="25902" xr:uid="{00000000-0005-0000-0000-00002C320000}"/>
    <cellStyle name="Normal 3 11 17 13" xfId="8269" xr:uid="{00000000-0005-0000-0000-00002D320000}"/>
    <cellStyle name="Normal 3 11 17 13 2" xfId="25903" xr:uid="{00000000-0005-0000-0000-00002E320000}"/>
    <cellStyle name="Normal 3 11 17 14" xfId="8270" xr:uid="{00000000-0005-0000-0000-00002F320000}"/>
    <cellStyle name="Normal 3 11 17 14 2" xfId="25904" xr:uid="{00000000-0005-0000-0000-000030320000}"/>
    <cellStyle name="Normal 3 11 17 15" xfId="25899" xr:uid="{00000000-0005-0000-0000-000031320000}"/>
    <cellStyle name="Normal 3 11 17 2" xfId="8271" xr:uid="{00000000-0005-0000-0000-000032320000}"/>
    <cellStyle name="Normal 3 11 17 2 2" xfId="25905" xr:uid="{00000000-0005-0000-0000-000033320000}"/>
    <cellStyle name="Normal 3 11 17 3" xfId="8272" xr:uid="{00000000-0005-0000-0000-000034320000}"/>
    <cellStyle name="Normal 3 11 17 3 2" xfId="25906" xr:uid="{00000000-0005-0000-0000-000035320000}"/>
    <cellStyle name="Normal 3 11 17 4" xfId="8273" xr:uid="{00000000-0005-0000-0000-000036320000}"/>
    <cellStyle name="Normal 3 11 17 4 2" xfId="25907" xr:uid="{00000000-0005-0000-0000-000037320000}"/>
    <cellStyle name="Normal 3 11 17 5" xfId="8274" xr:uid="{00000000-0005-0000-0000-000038320000}"/>
    <cellStyle name="Normal 3 11 17 5 2" xfId="25908" xr:uid="{00000000-0005-0000-0000-000039320000}"/>
    <cellStyle name="Normal 3 11 17 6" xfId="8275" xr:uid="{00000000-0005-0000-0000-00003A320000}"/>
    <cellStyle name="Normal 3 11 17 6 2" xfId="25909" xr:uid="{00000000-0005-0000-0000-00003B320000}"/>
    <cellStyle name="Normal 3 11 17 7" xfId="8276" xr:uid="{00000000-0005-0000-0000-00003C320000}"/>
    <cellStyle name="Normal 3 11 17 7 2" xfId="25910" xr:uid="{00000000-0005-0000-0000-00003D320000}"/>
    <cellStyle name="Normal 3 11 17 8" xfId="8277" xr:uid="{00000000-0005-0000-0000-00003E320000}"/>
    <cellStyle name="Normal 3 11 17 8 2" xfId="25911" xr:uid="{00000000-0005-0000-0000-00003F320000}"/>
    <cellStyle name="Normal 3 11 17 9" xfId="8278" xr:uid="{00000000-0005-0000-0000-000040320000}"/>
    <cellStyle name="Normal 3 11 17 9 2" xfId="25912" xr:uid="{00000000-0005-0000-0000-000041320000}"/>
    <cellStyle name="Normal 3 11 18" xfId="8279" xr:uid="{00000000-0005-0000-0000-000042320000}"/>
    <cellStyle name="Normal 3 11 18 10" xfId="8280" xr:uid="{00000000-0005-0000-0000-000043320000}"/>
    <cellStyle name="Normal 3 11 18 10 2" xfId="25914" xr:uid="{00000000-0005-0000-0000-000044320000}"/>
    <cellStyle name="Normal 3 11 18 11" xfId="8281" xr:uid="{00000000-0005-0000-0000-000045320000}"/>
    <cellStyle name="Normal 3 11 18 11 2" xfId="25915" xr:uid="{00000000-0005-0000-0000-000046320000}"/>
    <cellStyle name="Normal 3 11 18 12" xfId="8282" xr:uid="{00000000-0005-0000-0000-000047320000}"/>
    <cellStyle name="Normal 3 11 18 12 2" xfId="25916" xr:uid="{00000000-0005-0000-0000-000048320000}"/>
    <cellStyle name="Normal 3 11 18 13" xfId="8283" xr:uid="{00000000-0005-0000-0000-000049320000}"/>
    <cellStyle name="Normal 3 11 18 13 2" xfId="25917" xr:uid="{00000000-0005-0000-0000-00004A320000}"/>
    <cellStyle name="Normal 3 11 18 14" xfId="8284" xr:uid="{00000000-0005-0000-0000-00004B320000}"/>
    <cellStyle name="Normal 3 11 18 14 2" xfId="25918" xr:uid="{00000000-0005-0000-0000-00004C320000}"/>
    <cellStyle name="Normal 3 11 18 15" xfId="25913" xr:uid="{00000000-0005-0000-0000-00004D320000}"/>
    <cellStyle name="Normal 3 11 18 2" xfId="8285" xr:uid="{00000000-0005-0000-0000-00004E320000}"/>
    <cellStyle name="Normal 3 11 18 2 2" xfId="25919" xr:uid="{00000000-0005-0000-0000-00004F320000}"/>
    <cellStyle name="Normal 3 11 18 3" xfId="8286" xr:uid="{00000000-0005-0000-0000-000050320000}"/>
    <cellStyle name="Normal 3 11 18 3 2" xfId="25920" xr:uid="{00000000-0005-0000-0000-000051320000}"/>
    <cellStyle name="Normal 3 11 18 4" xfId="8287" xr:uid="{00000000-0005-0000-0000-000052320000}"/>
    <cellStyle name="Normal 3 11 18 4 2" xfId="25921" xr:uid="{00000000-0005-0000-0000-000053320000}"/>
    <cellStyle name="Normal 3 11 18 5" xfId="8288" xr:uid="{00000000-0005-0000-0000-000054320000}"/>
    <cellStyle name="Normal 3 11 18 5 2" xfId="25922" xr:uid="{00000000-0005-0000-0000-000055320000}"/>
    <cellStyle name="Normal 3 11 18 6" xfId="8289" xr:uid="{00000000-0005-0000-0000-000056320000}"/>
    <cellStyle name="Normal 3 11 18 6 2" xfId="25923" xr:uid="{00000000-0005-0000-0000-000057320000}"/>
    <cellStyle name="Normal 3 11 18 7" xfId="8290" xr:uid="{00000000-0005-0000-0000-000058320000}"/>
    <cellStyle name="Normal 3 11 18 7 2" xfId="25924" xr:uid="{00000000-0005-0000-0000-000059320000}"/>
    <cellStyle name="Normal 3 11 18 8" xfId="8291" xr:uid="{00000000-0005-0000-0000-00005A320000}"/>
    <cellStyle name="Normal 3 11 18 8 2" xfId="25925" xr:uid="{00000000-0005-0000-0000-00005B320000}"/>
    <cellStyle name="Normal 3 11 18 9" xfId="8292" xr:uid="{00000000-0005-0000-0000-00005C320000}"/>
    <cellStyle name="Normal 3 11 18 9 2" xfId="25926" xr:uid="{00000000-0005-0000-0000-00005D320000}"/>
    <cellStyle name="Normal 3 11 19" xfId="8293" xr:uid="{00000000-0005-0000-0000-00005E320000}"/>
    <cellStyle name="Normal 3 11 19 10" xfId="8294" xr:uid="{00000000-0005-0000-0000-00005F320000}"/>
    <cellStyle name="Normal 3 11 19 10 2" xfId="25928" xr:uid="{00000000-0005-0000-0000-000060320000}"/>
    <cellStyle name="Normal 3 11 19 11" xfId="8295" xr:uid="{00000000-0005-0000-0000-000061320000}"/>
    <cellStyle name="Normal 3 11 19 11 2" xfId="25929" xr:uid="{00000000-0005-0000-0000-000062320000}"/>
    <cellStyle name="Normal 3 11 19 12" xfId="8296" xr:uid="{00000000-0005-0000-0000-000063320000}"/>
    <cellStyle name="Normal 3 11 19 12 2" xfId="25930" xr:uid="{00000000-0005-0000-0000-000064320000}"/>
    <cellStyle name="Normal 3 11 19 13" xfId="8297" xr:uid="{00000000-0005-0000-0000-000065320000}"/>
    <cellStyle name="Normal 3 11 19 13 2" xfId="25931" xr:uid="{00000000-0005-0000-0000-000066320000}"/>
    <cellStyle name="Normal 3 11 19 14" xfId="8298" xr:uid="{00000000-0005-0000-0000-000067320000}"/>
    <cellStyle name="Normal 3 11 19 14 2" xfId="25932" xr:uid="{00000000-0005-0000-0000-000068320000}"/>
    <cellStyle name="Normal 3 11 19 15" xfId="25927" xr:uid="{00000000-0005-0000-0000-000069320000}"/>
    <cellStyle name="Normal 3 11 19 2" xfId="8299" xr:uid="{00000000-0005-0000-0000-00006A320000}"/>
    <cellStyle name="Normal 3 11 19 2 2" xfId="25933" xr:uid="{00000000-0005-0000-0000-00006B320000}"/>
    <cellStyle name="Normal 3 11 19 3" xfId="8300" xr:uid="{00000000-0005-0000-0000-00006C320000}"/>
    <cellStyle name="Normal 3 11 19 3 2" xfId="25934" xr:uid="{00000000-0005-0000-0000-00006D320000}"/>
    <cellStyle name="Normal 3 11 19 4" xfId="8301" xr:uid="{00000000-0005-0000-0000-00006E320000}"/>
    <cellStyle name="Normal 3 11 19 4 2" xfId="25935" xr:uid="{00000000-0005-0000-0000-00006F320000}"/>
    <cellStyle name="Normal 3 11 19 5" xfId="8302" xr:uid="{00000000-0005-0000-0000-000070320000}"/>
    <cellStyle name="Normal 3 11 19 5 2" xfId="25936" xr:uid="{00000000-0005-0000-0000-000071320000}"/>
    <cellStyle name="Normal 3 11 19 6" xfId="8303" xr:uid="{00000000-0005-0000-0000-000072320000}"/>
    <cellStyle name="Normal 3 11 19 6 2" xfId="25937" xr:uid="{00000000-0005-0000-0000-000073320000}"/>
    <cellStyle name="Normal 3 11 19 7" xfId="8304" xr:uid="{00000000-0005-0000-0000-000074320000}"/>
    <cellStyle name="Normal 3 11 19 7 2" xfId="25938" xr:uid="{00000000-0005-0000-0000-000075320000}"/>
    <cellStyle name="Normal 3 11 19 8" xfId="8305" xr:uid="{00000000-0005-0000-0000-000076320000}"/>
    <cellStyle name="Normal 3 11 19 8 2" xfId="25939" xr:uid="{00000000-0005-0000-0000-000077320000}"/>
    <cellStyle name="Normal 3 11 19 9" xfId="8306" xr:uid="{00000000-0005-0000-0000-000078320000}"/>
    <cellStyle name="Normal 3 11 19 9 2" xfId="25940" xr:uid="{00000000-0005-0000-0000-000079320000}"/>
    <cellStyle name="Normal 3 11 2" xfId="8307" xr:uid="{00000000-0005-0000-0000-00007A320000}"/>
    <cellStyle name="Normal 3 11 20" xfId="8308" xr:uid="{00000000-0005-0000-0000-00007B320000}"/>
    <cellStyle name="Normal 3 11 20 10" xfId="8309" xr:uid="{00000000-0005-0000-0000-00007C320000}"/>
    <cellStyle name="Normal 3 11 20 10 2" xfId="25942" xr:uid="{00000000-0005-0000-0000-00007D320000}"/>
    <cellStyle name="Normal 3 11 20 11" xfId="8310" xr:uid="{00000000-0005-0000-0000-00007E320000}"/>
    <cellStyle name="Normal 3 11 20 11 2" xfId="25943" xr:uid="{00000000-0005-0000-0000-00007F320000}"/>
    <cellStyle name="Normal 3 11 20 12" xfId="8311" xr:uid="{00000000-0005-0000-0000-000080320000}"/>
    <cellStyle name="Normal 3 11 20 12 2" xfId="25944" xr:uid="{00000000-0005-0000-0000-000081320000}"/>
    <cellStyle name="Normal 3 11 20 13" xfId="8312" xr:uid="{00000000-0005-0000-0000-000082320000}"/>
    <cellStyle name="Normal 3 11 20 13 2" xfId="25945" xr:uid="{00000000-0005-0000-0000-000083320000}"/>
    <cellStyle name="Normal 3 11 20 14" xfId="8313" xr:uid="{00000000-0005-0000-0000-000084320000}"/>
    <cellStyle name="Normal 3 11 20 14 2" xfId="25946" xr:uid="{00000000-0005-0000-0000-000085320000}"/>
    <cellStyle name="Normal 3 11 20 15" xfId="25941" xr:uid="{00000000-0005-0000-0000-000086320000}"/>
    <cellStyle name="Normal 3 11 20 2" xfId="8314" xr:uid="{00000000-0005-0000-0000-000087320000}"/>
    <cellStyle name="Normal 3 11 20 2 2" xfId="25947" xr:uid="{00000000-0005-0000-0000-000088320000}"/>
    <cellStyle name="Normal 3 11 20 3" xfId="8315" xr:uid="{00000000-0005-0000-0000-000089320000}"/>
    <cellStyle name="Normal 3 11 20 3 2" xfId="25948" xr:uid="{00000000-0005-0000-0000-00008A320000}"/>
    <cellStyle name="Normal 3 11 20 4" xfId="8316" xr:uid="{00000000-0005-0000-0000-00008B320000}"/>
    <cellStyle name="Normal 3 11 20 4 2" xfId="25949" xr:uid="{00000000-0005-0000-0000-00008C320000}"/>
    <cellStyle name="Normal 3 11 20 5" xfId="8317" xr:uid="{00000000-0005-0000-0000-00008D320000}"/>
    <cellStyle name="Normal 3 11 20 5 2" xfId="25950" xr:uid="{00000000-0005-0000-0000-00008E320000}"/>
    <cellStyle name="Normal 3 11 20 6" xfId="8318" xr:uid="{00000000-0005-0000-0000-00008F320000}"/>
    <cellStyle name="Normal 3 11 20 6 2" xfId="25951" xr:uid="{00000000-0005-0000-0000-000090320000}"/>
    <cellStyle name="Normal 3 11 20 7" xfId="8319" xr:uid="{00000000-0005-0000-0000-000091320000}"/>
    <cellStyle name="Normal 3 11 20 7 2" xfId="25952" xr:uid="{00000000-0005-0000-0000-000092320000}"/>
    <cellStyle name="Normal 3 11 20 8" xfId="8320" xr:uid="{00000000-0005-0000-0000-000093320000}"/>
    <cellStyle name="Normal 3 11 20 8 2" xfId="25953" xr:uid="{00000000-0005-0000-0000-000094320000}"/>
    <cellStyle name="Normal 3 11 20 9" xfId="8321" xr:uid="{00000000-0005-0000-0000-000095320000}"/>
    <cellStyle name="Normal 3 11 20 9 2" xfId="25954" xr:uid="{00000000-0005-0000-0000-000096320000}"/>
    <cellStyle name="Normal 3 11 21" xfId="8322" xr:uid="{00000000-0005-0000-0000-000097320000}"/>
    <cellStyle name="Normal 3 11 21 10" xfId="8323" xr:uid="{00000000-0005-0000-0000-000098320000}"/>
    <cellStyle name="Normal 3 11 21 10 2" xfId="25956" xr:uid="{00000000-0005-0000-0000-000099320000}"/>
    <cellStyle name="Normal 3 11 21 11" xfId="8324" xr:uid="{00000000-0005-0000-0000-00009A320000}"/>
    <cellStyle name="Normal 3 11 21 11 2" xfId="25957" xr:uid="{00000000-0005-0000-0000-00009B320000}"/>
    <cellStyle name="Normal 3 11 21 12" xfId="8325" xr:uid="{00000000-0005-0000-0000-00009C320000}"/>
    <cellStyle name="Normal 3 11 21 12 2" xfId="25958" xr:uid="{00000000-0005-0000-0000-00009D320000}"/>
    <cellStyle name="Normal 3 11 21 13" xfId="8326" xr:uid="{00000000-0005-0000-0000-00009E320000}"/>
    <cellStyle name="Normal 3 11 21 13 2" xfId="25959" xr:uid="{00000000-0005-0000-0000-00009F320000}"/>
    <cellStyle name="Normal 3 11 21 14" xfId="8327" xr:uid="{00000000-0005-0000-0000-0000A0320000}"/>
    <cellStyle name="Normal 3 11 21 14 2" xfId="25960" xr:uid="{00000000-0005-0000-0000-0000A1320000}"/>
    <cellStyle name="Normal 3 11 21 15" xfId="25955" xr:uid="{00000000-0005-0000-0000-0000A2320000}"/>
    <cellStyle name="Normal 3 11 21 2" xfId="8328" xr:uid="{00000000-0005-0000-0000-0000A3320000}"/>
    <cellStyle name="Normal 3 11 21 2 2" xfId="25961" xr:uid="{00000000-0005-0000-0000-0000A4320000}"/>
    <cellStyle name="Normal 3 11 21 3" xfId="8329" xr:uid="{00000000-0005-0000-0000-0000A5320000}"/>
    <cellStyle name="Normal 3 11 21 3 2" xfId="25962" xr:uid="{00000000-0005-0000-0000-0000A6320000}"/>
    <cellStyle name="Normal 3 11 21 4" xfId="8330" xr:uid="{00000000-0005-0000-0000-0000A7320000}"/>
    <cellStyle name="Normal 3 11 21 4 2" xfId="25963" xr:uid="{00000000-0005-0000-0000-0000A8320000}"/>
    <cellStyle name="Normal 3 11 21 5" xfId="8331" xr:uid="{00000000-0005-0000-0000-0000A9320000}"/>
    <cellStyle name="Normal 3 11 21 5 2" xfId="25964" xr:uid="{00000000-0005-0000-0000-0000AA320000}"/>
    <cellStyle name="Normal 3 11 21 6" xfId="8332" xr:uid="{00000000-0005-0000-0000-0000AB320000}"/>
    <cellStyle name="Normal 3 11 21 6 2" xfId="25965" xr:uid="{00000000-0005-0000-0000-0000AC320000}"/>
    <cellStyle name="Normal 3 11 21 7" xfId="8333" xr:uid="{00000000-0005-0000-0000-0000AD320000}"/>
    <cellStyle name="Normal 3 11 21 7 2" xfId="25966" xr:uid="{00000000-0005-0000-0000-0000AE320000}"/>
    <cellStyle name="Normal 3 11 21 8" xfId="8334" xr:uid="{00000000-0005-0000-0000-0000AF320000}"/>
    <cellStyle name="Normal 3 11 21 8 2" xfId="25967" xr:uid="{00000000-0005-0000-0000-0000B0320000}"/>
    <cellStyle name="Normal 3 11 21 9" xfId="8335" xr:uid="{00000000-0005-0000-0000-0000B1320000}"/>
    <cellStyle name="Normal 3 11 21 9 2" xfId="25968" xr:uid="{00000000-0005-0000-0000-0000B2320000}"/>
    <cellStyle name="Normal 3 11 22" xfId="8336" xr:uid="{00000000-0005-0000-0000-0000B3320000}"/>
    <cellStyle name="Normal 3 11 22 10" xfId="8337" xr:uid="{00000000-0005-0000-0000-0000B4320000}"/>
    <cellStyle name="Normal 3 11 22 10 2" xfId="25970" xr:uid="{00000000-0005-0000-0000-0000B5320000}"/>
    <cellStyle name="Normal 3 11 22 11" xfId="8338" xr:uid="{00000000-0005-0000-0000-0000B6320000}"/>
    <cellStyle name="Normal 3 11 22 11 2" xfId="25971" xr:uid="{00000000-0005-0000-0000-0000B7320000}"/>
    <cellStyle name="Normal 3 11 22 12" xfId="8339" xr:uid="{00000000-0005-0000-0000-0000B8320000}"/>
    <cellStyle name="Normal 3 11 22 12 2" xfId="25972" xr:uid="{00000000-0005-0000-0000-0000B9320000}"/>
    <cellStyle name="Normal 3 11 22 13" xfId="8340" xr:uid="{00000000-0005-0000-0000-0000BA320000}"/>
    <cellStyle name="Normal 3 11 22 13 2" xfId="25973" xr:uid="{00000000-0005-0000-0000-0000BB320000}"/>
    <cellStyle name="Normal 3 11 22 14" xfId="8341" xr:uid="{00000000-0005-0000-0000-0000BC320000}"/>
    <cellStyle name="Normal 3 11 22 14 2" xfId="25974" xr:uid="{00000000-0005-0000-0000-0000BD320000}"/>
    <cellStyle name="Normal 3 11 22 15" xfId="25969" xr:uid="{00000000-0005-0000-0000-0000BE320000}"/>
    <cellStyle name="Normal 3 11 22 2" xfId="8342" xr:uid="{00000000-0005-0000-0000-0000BF320000}"/>
    <cellStyle name="Normal 3 11 22 2 2" xfId="25975" xr:uid="{00000000-0005-0000-0000-0000C0320000}"/>
    <cellStyle name="Normal 3 11 22 3" xfId="8343" xr:uid="{00000000-0005-0000-0000-0000C1320000}"/>
    <cellStyle name="Normal 3 11 22 3 2" xfId="25976" xr:uid="{00000000-0005-0000-0000-0000C2320000}"/>
    <cellStyle name="Normal 3 11 22 4" xfId="8344" xr:uid="{00000000-0005-0000-0000-0000C3320000}"/>
    <cellStyle name="Normal 3 11 22 4 2" xfId="25977" xr:uid="{00000000-0005-0000-0000-0000C4320000}"/>
    <cellStyle name="Normal 3 11 22 5" xfId="8345" xr:uid="{00000000-0005-0000-0000-0000C5320000}"/>
    <cellStyle name="Normal 3 11 22 5 2" xfId="25978" xr:uid="{00000000-0005-0000-0000-0000C6320000}"/>
    <cellStyle name="Normal 3 11 22 6" xfId="8346" xr:uid="{00000000-0005-0000-0000-0000C7320000}"/>
    <cellStyle name="Normal 3 11 22 6 2" xfId="25979" xr:uid="{00000000-0005-0000-0000-0000C8320000}"/>
    <cellStyle name="Normal 3 11 22 7" xfId="8347" xr:uid="{00000000-0005-0000-0000-0000C9320000}"/>
    <cellStyle name="Normal 3 11 22 7 2" xfId="25980" xr:uid="{00000000-0005-0000-0000-0000CA320000}"/>
    <cellStyle name="Normal 3 11 22 8" xfId="8348" xr:uid="{00000000-0005-0000-0000-0000CB320000}"/>
    <cellStyle name="Normal 3 11 22 8 2" xfId="25981" xr:uid="{00000000-0005-0000-0000-0000CC320000}"/>
    <cellStyle name="Normal 3 11 22 9" xfId="8349" xr:uid="{00000000-0005-0000-0000-0000CD320000}"/>
    <cellStyle name="Normal 3 11 22 9 2" xfId="25982" xr:uid="{00000000-0005-0000-0000-0000CE320000}"/>
    <cellStyle name="Normal 3 11 23" xfId="8350" xr:uid="{00000000-0005-0000-0000-0000CF320000}"/>
    <cellStyle name="Normal 3 11 24" xfId="8351" xr:uid="{00000000-0005-0000-0000-0000D0320000}"/>
    <cellStyle name="Normal 3 11 25" xfId="8352" xr:uid="{00000000-0005-0000-0000-0000D1320000}"/>
    <cellStyle name="Normal 3 11 25 10" xfId="8353" xr:uid="{00000000-0005-0000-0000-0000D2320000}"/>
    <cellStyle name="Normal 3 11 25 10 2" xfId="25984" xr:uid="{00000000-0005-0000-0000-0000D3320000}"/>
    <cellStyle name="Normal 3 11 25 11" xfId="8354" xr:uid="{00000000-0005-0000-0000-0000D4320000}"/>
    <cellStyle name="Normal 3 11 25 11 2" xfId="25985" xr:uid="{00000000-0005-0000-0000-0000D5320000}"/>
    <cellStyle name="Normal 3 11 25 12" xfId="8355" xr:uid="{00000000-0005-0000-0000-0000D6320000}"/>
    <cellStyle name="Normal 3 11 25 12 2" xfId="25986" xr:uid="{00000000-0005-0000-0000-0000D7320000}"/>
    <cellStyle name="Normal 3 11 25 13" xfId="8356" xr:uid="{00000000-0005-0000-0000-0000D8320000}"/>
    <cellStyle name="Normal 3 11 25 13 2" xfId="25987" xr:uid="{00000000-0005-0000-0000-0000D9320000}"/>
    <cellStyle name="Normal 3 11 25 14" xfId="8357" xr:uid="{00000000-0005-0000-0000-0000DA320000}"/>
    <cellStyle name="Normal 3 11 25 14 2" xfId="25988" xr:uid="{00000000-0005-0000-0000-0000DB320000}"/>
    <cellStyle name="Normal 3 11 25 15" xfId="25983" xr:uid="{00000000-0005-0000-0000-0000DC320000}"/>
    <cellStyle name="Normal 3 11 25 2" xfId="8358" xr:uid="{00000000-0005-0000-0000-0000DD320000}"/>
    <cellStyle name="Normal 3 11 25 2 2" xfId="25989" xr:uid="{00000000-0005-0000-0000-0000DE320000}"/>
    <cellStyle name="Normal 3 11 25 3" xfId="8359" xr:uid="{00000000-0005-0000-0000-0000DF320000}"/>
    <cellStyle name="Normal 3 11 25 3 2" xfId="25990" xr:uid="{00000000-0005-0000-0000-0000E0320000}"/>
    <cellStyle name="Normal 3 11 25 4" xfId="8360" xr:uid="{00000000-0005-0000-0000-0000E1320000}"/>
    <cellStyle name="Normal 3 11 25 4 2" xfId="25991" xr:uid="{00000000-0005-0000-0000-0000E2320000}"/>
    <cellStyle name="Normal 3 11 25 5" xfId="8361" xr:uid="{00000000-0005-0000-0000-0000E3320000}"/>
    <cellStyle name="Normal 3 11 25 5 2" xfId="25992" xr:uid="{00000000-0005-0000-0000-0000E4320000}"/>
    <cellStyle name="Normal 3 11 25 6" xfId="8362" xr:uid="{00000000-0005-0000-0000-0000E5320000}"/>
    <cellStyle name="Normal 3 11 25 6 2" xfId="25993" xr:uid="{00000000-0005-0000-0000-0000E6320000}"/>
    <cellStyle name="Normal 3 11 25 7" xfId="8363" xr:uid="{00000000-0005-0000-0000-0000E7320000}"/>
    <cellStyle name="Normal 3 11 25 7 2" xfId="25994" xr:uid="{00000000-0005-0000-0000-0000E8320000}"/>
    <cellStyle name="Normal 3 11 25 8" xfId="8364" xr:uid="{00000000-0005-0000-0000-0000E9320000}"/>
    <cellStyle name="Normal 3 11 25 8 2" xfId="25995" xr:uid="{00000000-0005-0000-0000-0000EA320000}"/>
    <cellStyle name="Normal 3 11 25 9" xfId="8365" xr:uid="{00000000-0005-0000-0000-0000EB320000}"/>
    <cellStyle name="Normal 3 11 25 9 2" xfId="25996" xr:uid="{00000000-0005-0000-0000-0000EC320000}"/>
    <cellStyle name="Normal 3 11 26" xfId="8366" xr:uid="{00000000-0005-0000-0000-0000ED320000}"/>
    <cellStyle name="Normal 3 11 26 10" xfId="8367" xr:uid="{00000000-0005-0000-0000-0000EE320000}"/>
    <cellStyle name="Normal 3 11 26 10 2" xfId="25998" xr:uid="{00000000-0005-0000-0000-0000EF320000}"/>
    <cellStyle name="Normal 3 11 26 11" xfId="8368" xr:uid="{00000000-0005-0000-0000-0000F0320000}"/>
    <cellStyle name="Normal 3 11 26 11 2" xfId="25999" xr:uid="{00000000-0005-0000-0000-0000F1320000}"/>
    <cellStyle name="Normal 3 11 26 12" xfId="8369" xr:uid="{00000000-0005-0000-0000-0000F2320000}"/>
    <cellStyle name="Normal 3 11 26 12 2" xfId="26000" xr:uid="{00000000-0005-0000-0000-0000F3320000}"/>
    <cellStyle name="Normal 3 11 26 13" xfId="8370" xr:uid="{00000000-0005-0000-0000-0000F4320000}"/>
    <cellStyle name="Normal 3 11 26 13 2" xfId="26001" xr:uid="{00000000-0005-0000-0000-0000F5320000}"/>
    <cellStyle name="Normal 3 11 26 14" xfId="8371" xr:uid="{00000000-0005-0000-0000-0000F6320000}"/>
    <cellStyle name="Normal 3 11 26 14 2" xfId="26002" xr:uid="{00000000-0005-0000-0000-0000F7320000}"/>
    <cellStyle name="Normal 3 11 26 15" xfId="25997" xr:uid="{00000000-0005-0000-0000-0000F8320000}"/>
    <cellStyle name="Normal 3 11 26 2" xfId="8372" xr:uid="{00000000-0005-0000-0000-0000F9320000}"/>
    <cellStyle name="Normal 3 11 26 2 2" xfId="26003" xr:uid="{00000000-0005-0000-0000-0000FA320000}"/>
    <cellStyle name="Normal 3 11 26 3" xfId="8373" xr:uid="{00000000-0005-0000-0000-0000FB320000}"/>
    <cellStyle name="Normal 3 11 26 3 2" xfId="26004" xr:uid="{00000000-0005-0000-0000-0000FC320000}"/>
    <cellStyle name="Normal 3 11 26 4" xfId="8374" xr:uid="{00000000-0005-0000-0000-0000FD320000}"/>
    <cellStyle name="Normal 3 11 26 4 2" xfId="26005" xr:uid="{00000000-0005-0000-0000-0000FE320000}"/>
    <cellStyle name="Normal 3 11 26 5" xfId="8375" xr:uid="{00000000-0005-0000-0000-0000FF320000}"/>
    <cellStyle name="Normal 3 11 26 5 2" xfId="26006" xr:uid="{00000000-0005-0000-0000-000000330000}"/>
    <cellStyle name="Normal 3 11 26 6" xfId="8376" xr:uid="{00000000-0005-0000-0000-000001330000}"/>
    <cellStyle name="Normal 3 11 26 6 2" xfId="26007" xr:uid="{00000000-0005-0000-0000-000002330000}"/>
    <cellStyle name="Normal 3 11 26 7" xfId="8377" xr:uid="{00000000-0005-0000-0000-000003330000}"/>
    <cellStyle name="Normal 3 11 26 7 2" xfId="26008" xr:uid="{00000000-0005-0000-0000-000004330000}"/>
    <cellStyle name="Normal 3 11 26 8" xfId="8378" xr:uid="{00000000-0005-0000-0000-000005330000}"/>
    <cellStyle name="Normal 3 11 26 8 2" xfId="26009" xr:uid="{00000000-0005-0000-0000-000006330000}"/>
    <cellStyle name="Normal 3 11 26 9" xfId="8379" xr:uid="{00000000-0005-0000-0000-000007330000}"/>
    <cellStyle name="Normal 3 11 26 9 2" xfId="26010" xr:uid="{00000000-0005-0000-0000-000008330000}"/>
    <cellStyle name="Normal 3 11 3" xfId="8380" xr:uid="{00000000-0005-0000-0000-000009330000}"/>
    <cellStyle name="Normal 3 11 4" xfId="8381" xr:uid="{00000000-0005-0000-0000-00000A330000}"/>
    <cellStyle name="Normal 3 11 5" xfId="8382" xr:uid="{00000000-0005-0000-0000-00000B330000}"/>
    <cellStyle name="Normal 3 11 6" xfId="8383" xr:uid="{00000000-0005-0000-0000-00000C330000}"/>
    <cellStyle name="Normal 3 11 7" xfId="8384" xr:uid="{00000000-0005-0000-0000-00000D330000}"/>
    <cellStyle name="Normal 3 11 8" xfId="8385" xr:uid="{00000000-0005-0000-0000-00000E330000}"/>
    <cellStyle name="Normal 3 11 9" xfId="8386" xr:uid="{00000000-0005-0000-0000-00000F330000}"/>
    <cellStyle name="Normal 3 12" xfId="8387" xr:uid="{00000000-0005-0000-0000-000010330000}"/>
    <cellStyle name="Normal 3 12 10" xfId="8388" xr:uid="{00000000-0005-0000-0000-000011330000}"/>
    <cellStyle name="Normal 3 12 10 10" xfId="8389" xr:uid="{00000000-0005-0000-0000-000012330000}"/>
    <cellStyle name="Normal 3 12 10 10 2" xfId="26012" xr:uid="{00000000-0005-0000-0000-000013330000}"/>
    <cellStyle name="Normal 3 12 10 11" xfId="8390" xr:uid="{00000000-0005-0000-0000-000014330000}"/>
    <cellStyle name="Normal 3 12 10 11 2" xfId="26013" xr:uid="{00000000-0005-0000-0000-000015330000}"/>
    <cellStyle name="Normal 3 12 10 12" xfId="8391" xr:uid="{00000000-0005-0000-0000-000016330000}"/>
    <cellStyle name="Normal 3 12 10 12 2" xfId="26014" xr:uid="{00000000-0005-0000-0000-000017330000}"/>
    <cellStyle name="Normal 3 12 10 13" xfId="8392" xr:uid="{00000000-0005-0000-0000-000018330000}"/>
    <cellStyle name="Normal 3 12 10 13 2" xfId="26015" xr:uid="{00000000-0005-0000-0000-000019330000}"/>
    <cellStyle name="Normal 3 12 10 14" xfId="8393" xr:uid="{00000000-0005-0000-0000-00001A330000}"/>
    <cellStyle name="Normal 3 12 10 14 2" xfId="26016" xr:uid="{00000000-0005-0000-0000-00001B330000}"/>
    <cellStyle name="Normal 3 12 10 15" xfId="26011" xr:uid="{00000000-0005-0000-0000-00001C330000}"/>
    <cellStyle name="Normal 3 12 10 2" xfId="8394" xr:uid="{00000000-0005-0000-0000-00001D330000}"/>
    <cellStyle name="Normal 3 12 10 2 2" xfId="26017" xr:uid="{00000000-0005-0000-0000-00001E330000}"/>
    <cellStyle name="Normal 3 12 10 3" xfId="8395" xr:uid="{00000000-0005-0000-0000-00001F330000}"/>
    <cellStyle name="Normal 3 12 10 3 2" xfId="26018" xr:uid="{00000000-0005-0000-0000-000020330000}"/>
    <cellStyle name="Normal 3 12 10 4" xfId="8396" xr:uid="{00000000-0005-0000-0000-000021330000}"/>
    <cellStyle name="Normal 3 12 10 4 2" xfId="26019" xr:uid="{00000000-0005-0000-0000-000022330000}"/>
    <cellStyle name="Normal 3 12 10 5" xfId="8397" xr:uid="{00000000-0005-0000-0000-000023330000}"/>
    <cellStyle name="Normal 3 12 10 5 2" xfId="26020" xr:uid="{00000000-0005-0000-0000-000024330000}"/>
    <cellStyle name="Normal 3 12 10 6" xfId="8398" xr:uid="{00000000-0005-0000-0000-000025330000}"/>
    <cellStyle name="Normal 3 12 10 6 2" xfId="26021" xr:uid="{00000000-0005-0000-0000-000026330000}"/>
    <cellStyle name="Normal 3 12 10 7" xfId="8399" xr:uid="{00000000-0005-0000-0000-000027330000}"/>
    <cellStyle name="Normal 3 12 10 7 2" xfId="26022" xr:uid="{00000000-0005-0000-0000-000028330000}"/>
    <cellStyle name="Normal 3 12 10 8" xfId="8400" xr:uid="{00000000-0005-0000-0000-000029330000}"/>
    <cellStyle name="Normal 3 12 10 8 2" xfId="26023" xr:uid="{00000000-0005-0000-0000-00002A330000}"/>
    <cellStyle name="Normal 3 12 10 9" xfId="8401" xr:uid="{00000000-0005-0000-0000-00002B330000}"/>
    <cellStyle name="Normal 3 12 10 9 2" xfId="26024" xr:uid="{00000000-0005-0000-0000-00002C330000}"/>
    <cellStyle name="Normal 3 12 11" xfId="8402" xr:uid="{00000000-0005-0000-0000-00002D330000}"/>
    <cellStyle name="Normal 3 12 11 10" xfId="8403" xr:uid="{00000000-0005-0000-0000-00002E330000}"/>
    <cellStyle name="Normal 3 12 11 10 2" xfId="26026" xr:uid="{00000000-0005-0000-0000-00002F330000}"/>
    <cellStyle name="Normal 3 12 11 11" xfId="8404" xr:uid="{00000000-0005-0000-0000-000030330000}"/>
    <cellStyle name="Normal 3 12 11 11 2" xfId="26027" xr:uid="{00000000-0005-0000-0000-000031330000}"/>
    <cellStyle name="Normal 3 12 11 12" xfId="8405" xr:uid="{00000000-0005-0000-0000-000032330000}"/>
    <cellStyle name="Normal 3 12 11 12 2" xfId="26028" xr:uid="{00000000-0005-0000-0000-000033330000}"/>
    <cellStyle name="Normal 3 12 11 13" xfId="8406" xr:uid="{00000000-0005-0000-0000-000034330000}"/>
    <cellStyle name="Normal 3 12 11 13 2" xfId="26029" xr:uid="{00000000-0005-0000-0000-000035330000}"/>
    <cellStyle name="Normal 3 12 11 14" xfId="8407" xr:uid="{00000000-0005-0000-0000-000036330000}"/>
    <cellStyle name="Normal 3 12 11 14 2" xfId="26030" xr:uid="{00000000-0005-0000-0000-000037330000}"/>
    <cellStyle name="Normal 3 12 11 15" xfId="26025" xr:uid="{00000000-0005-0000-0000-000038330000}"/>
    <cellStyle name="Normal 3 12 11 2" xfId="8408" xr:uid="{00000000-0005-0000-0000-000039330000}"/>
    <cellStyle name="Normal 3 12 11 2 2" xfId="26031" xr:uid="{00000000-0005-0000-0000-00003A330000}"/>
    <cellStyle name="Normal 3 12 11 3" xfId="8409" xr:uid="{00000000-0005-0000-0000-00003B330000}"/>
    <cellStyle name="Normal 3 12 11 3 2" xfId="26032" xr:uid="{00000000-0005-0000-0000-00003C330000}"/>
    <cellStyle name="Normal 3 12 11 4" xfId="8410" xr:uid="{00000000-0005-0000-0000-00003D330000}"/>
    <cellStyle name="Normal 3 12 11 4 2" xfId="26033" xr:uid="{00000000-0005-0000-0000-00003E330000}"/>
    <cellStyle name="Normal 3 12 11 5" xfId="8411" xr:uid="{00000000-0005-0000-0000-00003F330000}"/>
    <cellStyle name="Normal 3 12 11 5 2" xfId="26034" xr:uid="{00000000-0005-0000-0000-000040330000}"/>
    <cellStyle name="Normal 3 12 11 6" xfId="8412" xr:uid="{00000000-0005-0000-0000-000041330000}"/>
    <cellStyle name="Normal 3 12 11 6 2" xfId="26035" xr:uid="{00000000-0005-0000-0000-000042330000}"/>
    <cellStyle name="Normal 3 12 11 7" xfId="8413" xr:uid="{00000000-0005-0000-0000-000043330000}"/>
    <cellStyle name="Normal 3 12 11 7 2" xfId="26036" xr:uid="{00000000-0005-0000-0000-000044330000}"/>
    <cellStyle name="Normal 3 12 11 8" xfId="8414" xr:uid="{00000000-0005-0000-0000-000045330000}"/>
    <cellStyle name="Normal 3 12 11 8 2" xfId="26037" xr:uid="{00000000-0005-0000-0000-000046330000}"/>
    <cellStyle name="Normal 3 12 11 9" xfId="8415" xr:uid="{00000000-0005-0000-0000-000047330000}"/>
    <cellStyle name="Normal 3 12 11 9 2" xfId="26038" xr:uid="{00000000-0005-0000-0000-000048330000}"/>
    <cellStyle name="Normal 3 12 12" xfId="8416" xr:uid="{00000000-0005-0000-0000-000049330000}"/>
    <cellStyle name="Normal 3 12 12 10" xfId="8417" xr:uid="{00000000-0005-0000-0000-00004A330000}"/>
    <cellStyle name="Normal 3 12 12 10 2" xfId="26040" xr:uid="{00000000-0005-0000-0000-00004B330000}"/>
    <cellStyle name="Normal 3 12 12 11" xfId="8418" xr:uid="{00000000-0005-0000-0000-00004C330000}"/>
    <cellStyle name="Normal 3 12 12 11 2" xfId="26041" xr:uid="{00000000-0005-0000-0000-00004D330000}"/>
    <cellStyle name="Normal 3 12 12 12" xfId="8419" xr:uid="{00000000-0005-0000-0000-00004E330000}"/>
    <cellStyle name="Normal 3 12 12 12 2" xfId="26042" xr:uid="{00000000-0005-0000-0000-00004F330000}"/>
    <cellStyle name="Normal 3 12 12 13" xfId="8420" xr:uid="{00000000-0005-0000-0000-000050330000}"/>
    <cellStyle name="Normal 3 12 12 13 2" xfId="26043" xr:uid="{00000000-0005-0000-0000-000051330000}"/>
    <cellStyle name="Normal 3 12 12 14" xfId="8421" xr:uid="{00000000-0005-0000-0000-000052330000}"/>
    <cellStyle name="Normal 3 12 12 14 2" xfId="26044" xr:uid="{00000000-0005-0000-0000-000053330000}"/>
    <cellStyle name="Normal 3 12 12 15" xfId="26039" xr:uid="{00000000-0005-0000-0000-000054330000}"/>
    <cellStyle name="Normal 3 12 12 2" xfId="8422" xr:uid="{00000000-0005-0000-0000-000055330000}"/>
    <cellStyle name="Normal 3 12 12 2 2" xfId="26045" xr:uid="{00000000-0005-0000-0000-000056330000}"/>
    <cellStyle name="Normal 3 12 12 3" xfId="8423" xr:uid="{00000000-0005-0000-0000-000057330000}"/>
    <cellStyle name="Normal 3 12 12 3 2" xfId="26046" xr:uid="{00000000-0005-0000-0000-000058330000}"/>
    <cellStyle name="Normal 3 12 12 4" xfId="8424" xr:uid="{00000000-0005-0000-0000-000059330000}"/>
    <cellStyle name="Normal 3 12 12 4 2" xfId="26047" xr:uid="{00000000-0005-0000-0000-00005A330000}"/>
    <cellStyle name="Normal 3 12 12 5" xfId="8425" xr:uid="{00000000-0005-0000-0000-00005B330000}"/>
    <cellStyle name="Normal 3 12 12 5 2" xfId="26048" xr:uid="{00000000-0005-0000-0000-00005C330000}"/>
    <cellStyle name="Normal 3 12 12 6" xfId="8426" xr:uid="{00000000-0005-0000-0000-00005D330000}"/>
    <cellStyle name="Normal 3 12 12 6 2" xfId="26049" xr:uid="{00000000-0005-0000-0000-00005E330000}"/>
    <cellStyle name="Normal 3 12 12 7" xfId="8427" xr:uid="{00000000-0005-0000-0000-00005F330000}"/>
    <cellStyle name="Normal 3 12 12 7 2" xfId="26050" xr:uid="{00000000-0005-0000-0000-000060330000}"/>
    <cellStyle name="Normal 3 12 12 8" xfId="8428" xr:uid="{00000000-0005-0000-0000-000061330000}"/>
    <cellStyle name="Normal 3 12 12 8 2" xfId="26051" xr:uid="{00000000-0005-0000-0000-000062330000}"/>
    <cellStyle name="Normal 3 12 12 9" xfId="8429" xr:uid="{00000000-0005-0000-0000-000063330000}"/>
    <cellStyle name="Normal 3 12 12 9 2" xfId="26052" xr:uid="{00000000-0005-0000-0000-000064330000}"/>
    <cellStyle name="Normal 3 12 13" xfId="8430" xr:uid="{00000000-0005-0000-0000-000065330000}"/>
    <cellStyle name="Normal 3 12 13 10" xfId="8431" xr:uid="{00000000-0005-0000-0000-000066330000}"/>
    <cellStyle name="Normal 3 12 13 10 2" xfId="26054" xr:uid="{00000000-0005-0000-0000-000067330000}"/>
    <cellStyle name="Normal 3 12 13 11" xfId="8432" xr:uid="{00000000-0005-0000-0000-000068330000}"/>
    <cellStyle name="Normal 3 12 13 11 2" xfId="26055" xr:uid="{00000000-0005-0000-0000-000069330000}"/>
    <cellStyle name="Normal 3 12 13 12" xfId="8433" xr:uid="{00000000-0005-0000-0000-00006A330000}"/>
    <cellStyle name="Normal 3 12 13 12 2" xfId="26056" xr:uid="{00000000-0005-0000-0000-00006B330000}"/>
    <cellStyle name="Normal 3 12 13 13" xfId="8434" xr:uid="{00000000-0005-0000-0000-00006C330000}"/>
    <cellStyle name="Normal 3 12 13 13 2" xfId="26057" xr:uid="{00000000-0005-0000-0000-00006D330000}"/>
    <cellStyle name="Normal 3 12 13 14" xfId="8435" xr:uid="{00000000-0005-0000-0000-00006E330000}"/>
    <cellStyle name="Normal 3 12 13 14 2" xfId="26058" xr:uid="{00000000-0005-0000-0000-00006F330000}"/>
    <cellStyle name="Normal 3 12 13 15" xfId="26053" xr:uid="{00000000-0005-0000-0000-000070330000}"/>
    <cellStyle name="Normal 3 12 13 2" xfId="8436" xr:uid="{00000000-0005-0000-0000-000071330000}"/>
    <cellStyle name="Normal 3 12 13 2 2" xfId="26059" xr:uid="{00000000-0005-0000-0000-000072330000}"/>
    <cellStyle name="Normal 3 12 13 3" xfId="8437" xr:uid="{00000000-0005-0000-0000-000073330000}"/>
    <cellStyle name="Normal 3 12 13 3 2" xfId="26060" xr:uid="{00000000-0005-0000-0000-000074330000}"/>
    <cellStyle name="Normal 3 12 13 4" xfId="8438" xr:uid="{00000000-0005-0000-0000-000075330000}"/>
    <cellStyle name="Normal 3 12 13 4 2" xfId="26061" xr:uid="{00000000-0005-0000-0000-000076330000}"/>
    <cellStyle name="Normal 3 12 13 5" xfId="8439" xr:uid="{00000000-0005-0000-0000-000077330000}"/>
    <cellStyle name="Normal 3 12 13 5 2" xfId="26062" xr:uid="{00000000-0005-0000-0000-000078330000}"/>
    <cellStyle name="Normal 3 12 13 6" xfId="8440" xr:uid="{00000000-0005-0000-0000-000079330000}"/>
    <cellStyle name="Normal 3 12 13 6 2" xfId="26063" xr:uid="{00000000-0005-0000-0000-00007A330000}"/>
    <cellStyle name="Normal 3 12 13 7" xfId="8441" xr:uid="{00000000-0005-0000-0000-00007B330000}"/>
    <cellStyle name="Normal 3 12 13 7 2" xfId="26064" xr:uid="{00000000-0005-0000-0000-00007C330000}"/>
    <cellStyle name="Normal 3 12 13 8" xfId="8442" xr:uid="{00000000-0005-0000-0000-00007D330000}"/>
    <cellStyle name="Normal 3 12 13 8 2" xfId="26065" xr:uid="{00000000-0005-0000-0000-00007E330000}"/>
    <cellStyle name="Normal 3 12 13 9" xfId="8443" xr:uid="{00000000-0005-0000-0000-00007F330000}"/>
    <cellStyle name="Normal 3 12 13 9 2" xfId="26066" xr:uid="{00000000-0005-0000-0000-000080330000}"/>
    <cellStyle name="Normal 3 12 14" xfId="8444" xr:uid="{00000000-0005-0000-0000-000081330000}"/>
    <cellStyle name="Normal 3 12 14 10" xfId="8445" xr:uid="{00000000-0005-0000-0000-000082330000}"/>
    <cellStyle name="Normal 3 12 14 10 2" xfId="26068" xr:uid="{00000000-0005-0000-0000-000083330000}"/>
    <cellStyle name="Normal 3 12 14 11" xfId="8446" xr:uid="{00000000-0005-0000-0000-000084330000}"/>
    <cellStyle name="Normal 3 12 14 11 2" xfId="26069" xr:uid="{00000000-0005-0000-0000-000085330000}"/>
    <cellStyle name="Normal 3 12 14 12" xfId="8447" xr:uid="{00000000-0005-0000-0000-000086330000}"/>
    <cellStyle name="Normal 3 12 14 12 2" xfId="26070" xr:uid="{00000000-0005-0000-0000-000087330000}"/>
    <cellStyle name="Normal 3 12 14 13" xfId="8448" xr:uid="{00000000-0005-0000-0000-000088330000}"/>
    <cellStyle name="Normal 3 12 14 13 2" xfId="26071" xr:uid="{00000000-0005-0000-0000-000089330000}"/>
    <cellStyle name="Normal 3 12 14 14" xfId="8449" xr:uid="{00000000-0005-0000-0000-00008A330000}"/>
    <cellStyle name="Normal 3 12 14 14 2" xfId="26072" xr:uid="{00000000-0005-0000-0000-00008B330000}"/>
    <cellStyle name="Normal 3 12 14 15" xfId="26067" xr:uid="{00000000-0005-0000-0000-00008C330000}"/>
    <cellStyle name="Normal 3 12 14 2" xfId="8450" xr:uid="{00000000-0005-0000-0000-00008D330000}"/>
    <cellStyle name="Normal 3 12 14 2 2" xfId="26073" xr:uid="{00000000-0005-0000-0000-00008E330000}"/>
    <cellStyle name="Normal 3 12 14 3" xfId="8451" xr:uid="{00000000-0005-0000-0000-00008F330000}"/>
    <cellStyle name="Normal 3 12 14 3 2" xfId="26074" xr:uid="{00000000-0005-0000-0000-000090330000}"/>
    <cellStyle name="Normal 3 12 14 4" xfId="8452" xr:uid="{00000000-0005-0000-0000-000091330000}"/>
    <cellStyle name="Normal 3 12 14 4 2" xfId="26075" xr:uid="{00000000-0005-0000-0000-000092330000}"/>
    <cellStyle name="Normal 3 12 14 5" xfId="8453" xr:uid="{00000000-0005-0000-0000-000093330000}"/>
    <cellStyle name="Normal 3 12 14 5 2" xfId="26076" xr:uid="{00000000-0005-0000-0000-000094330000}"/>
    <cellStyle name="Normal 3 12 14 6" xfId="8454" xr:uid="{00000000-0005-0000-0000-000095330000}"/>
    <cellStyle name="Normal 3 12 14 6 2" xfId="26077" xr:uid="{00000000-0005-0000-0000-000096330000}"/>
    <cellStyle name="Normal 3 12 14 7" xfId="8455" xr:uid="{00000000-0005-0000-0000-000097330000}"/>
    <cellStyle name="Normal 3 12 14 7 2" xfId="26078" xr:uid="{00000000-0005-0000-0000-000098330000}"/>
    <cellStyle name="Normal 3 12 14 8" xfId="8456" xr:uid="{00000000-0005-0000-0000-000099330000}"/>
    <cellStyle name="Normal 3 12 14 8 2" xfId="26079" xr:uid="{00000000-0005-0000-0000-00009A330000}"/>
    <cellStyle name="Normal 3 12 14 9" xfId="8457" xr:uid="{00000000-0005-0000-0000-00009B330000}"/>
    <cellStyle name="Normal 3 12 14 9 2" xfId="26080" xr:uid="{00000000-0005-0000-0000-00009C330000}"/>
    <cellStyle name="Normal 3 12 15" xfId="8458" xr:uid="{00000000-0005-0000-0000-00009D330000}"/>
    <cellStyle name="Normal 3 12 16" xfId="8459" xr:uid="{00000000-0005-0000-0000-00009E330000}"/>
    <cellStyle name="Normal 3 12 17" xfId="8460" xr:uid="{00000000-0005-0000-0000-00009F330000}"/>
    <cellStyle name="Normal 3 12 17 10" xfId="8461" xr:uid="{00000000-0005-0000-0000-0000A0330000}"/>
    <cellStyle name="Normal 3 12 17 10 2" xfId="26082" xr:uid="{00000000-0005-0000-0000-0000A1330000}"/>
    <cellStyle name="Normal 3 12 17 11" xfId="8462" xr:uid="{00000000-0005-0000-0000-0000A2330000}"/>
    <cellStyle name="Normal 3 12 17 11 2" xfId="26083" xr:uid="{00000000-0005-0000-0000-0000A3330000}"/>
    <cellStyle name="Normal 3 12 17 12" xfId="8463" xr:uid="{00000000-0005-0000-0000-0000A4330000}"/>
    <cellStyle name="Normal 3 12 17 12 2" xfId="26084" xr:uid="{00000000-0005-0000-0000-0000A5330000}"/>
    <cellStyle name="Normal 3 12 17 13" xfId="8464" xr:uid="{00000000-0005-0000-0000-0000A6330000}"/>
    <cellStyle name="Normal 3 12 17 13 2" xfId="26085" xr:uid="{00000000-0005-0000-0000-0000A7330000}"/>
    <cellStyle name="Normal 3 12 17 14" xfId="8465" xr:uid="{00000000-0005-0000-0000-0000A8330000}"/>
    <cellStyle name="Normal 3 12 17 14 2" xfId="26086" xr:uid="{00000000-0005-0000-0000-0000A9330000}"/>
    <cellStyle name="Normal 3 12 17 15" xfId="26081" xr:uid="{00000000-0005-0000-0000-0000AA330000}"/>
    <cellStyle name="Normal 3 12 17 2" xfId="8466" xr:uid="{00000000-0005-0000-0000-0000AB330000}"/>
    <cellStyle name="Normal 3 12 17 2 2" xfId="26087" xr:uid="{00000000-0005-0000-0000-0000AC330000}"/>
    <cellStyle name="Normal 3 12 17 3" xfId="8467" xr:uid="{00000000-0005-0000-0000-0000AD330000}"/>
    <cellStyle name="Normal 3 12 17 3 2" xfId="26088" xr:uid="{00000000-0005-0000-0000-0000AE330000}"/>
    <cellStyle name="Normal 3 12 17 4" xfId="8468" xr:uid="{00000000-0005-0000-0000-0000AF330000}"/>
    <cellStyle name="Normal 3 12 17 4 2" xfId="26089" xr:uid="{00000000-0005-0000-0000-0000B0330000}"/>
    <cellStyle name="Normal 3 12 17 5" xfId="8469" xr:uid="{00000000-0005-0000-0000-0000B1330000}"/>
    <cellStyle name="Normal 3 12 17 5 2" xfId="26090" xr:uid="{00000000-0005-0000-0000-0000B2330000}"/>
    <cellStyle name="Normal 3 12 17 6" xfId="8470" xr:uid="{00000000-0005-0000-0000-0000B3330000}"/>
    <cellStyle name="Normal 3 12 17 6 2" xfId="26091" xr:uid="{00000000-0005-0000-0000-0000B4330000}"/>
    <cellStyle name="Normal 3 12 17 7" xfId="8471" xr:uid="{00000000-0005-0000-0000-0000B5330000}"/>
    <cellStyle name="Normal 3 12 17 7 2" xfId="26092" xr:uid="{00000000-0005-0000-0000-0000B6330000}"/>
    <cellStyle name="Normal 3 12 17 8" xfId="8472" xr:uid="{00000000-0005-0000-0000-0000B7330000}"/>
    <cellStyle name="Normal 3 12 17 8 2" xfId="26093" xr:uid="{00000000-0005-0000-0000-0000B8330000}"/>
    <cellStyle name="Normal 3 12 17 9" xfId="8473" xr:uid="{00000000-0005-0000-0000-0000B9330000}"/>
    <cellStyle name="Normal 3 12 17 9 2" xfId="26094" xr:uid="{00000000-0005-0000-0000-0000BA330000}"/>
    <cellStyle name="Normal 3 12 18" xfId="8474" xr:uid="{00000000-0005-0000-0000-0000BB330000}"/>
    <cellStyle name="Normal 3 12 18 10" xfId="8475" xr:uid="{00000000-0005-0000-0000-0000BC330000}"/>
    <cellStyle name="Normal 3 12 18 10 2" xfId="26096" xr:uid="{00000000-0005-0000-0000-0000BD330000}"/>
    <cellStyle name="Normal 3 12 18 11" xfId="8476" xr:uid="{00000000-0005-0000-0000-0000BE330000}"/>
    <cellStyle name="Normal 3 12 18 11 2" xfId="26097" xr:uid="{00000000-0005-0000-0000-0000BF330000}"/>
    <cellStyle name="Normal 3 12 18 12" xfId="8477" xr:uid="{00000000-0005-0000-0000-0000C0330000}"/>
    <cellStyle name="Normal 3 12 18 12 2" xfId="26098" xr:uid="{00000000-0005-0000-0000-0000C1330000}"/>
    <cellStyle name="Normal 3 12 18 13" xfId="8478" xr:uid="{00000000-0005-0000-0000-0000C2330000}"/>
    <cellStyle name="Normal 3 12 18 13 2" xfId="26099" xr:uid="{00000000-0005-0000-0000-0000C3330000}"/>
    <cellStyle name="Normal 3 12 18 14" xfId="8479" xr:uid="{00000000-0005-0000-0000-0000C4330000}"/>
    <cellStyle name="Normal 3 12 18 14 2" xfId="26100" xr:uid="{00000000-0005-0000-0000-0000C5330000}"/>
    <cellStyle name="Normal 3 12 18 15" xfId="26095" xr:uid="{00000000-0005-0000-0000-0000C6330000}"/>
    <cellStyle name="Normal 3 12 18 2" xfId="8480" xr:uid="{00000000-0005-0000-0000-0000C7330000}"/>
    <cellStyle name="Normal 3 12 18 2 2" xfId="26101" xr:uid="{00000000-0005-0000-0000-0000C8330000}"/>
    <cellStyle name="Normal 3 12 18 3" xfId="8481" xr:uid="{00000000-0005-0000-0000-0000C9330000}"/>
    <cellStyle name="Normal 3 12 18 3 2" xfId="26102" xr:uid="{00000000-0005-0000-0000-0000CA330000}"/>
    <cellStyle name="Normal 3 12 18 4" xfId="8482" xr:uid="{00000000-0005-0000-0000-0000CB330000}"/>
    <cellStyle name="Normal 3 12 18 4 2" xfId="26103" xr:uid="{00000000-0005-0000-0000-0000CC330000}"/>
    <cellStyle name="Normal 3 12 18 5" xfId="8483" xr:uid="{00000000-0005-0000-0000-0000CD330000}"/>
    <cellStyle name="Normal 3 12 18 5 2" xfId="26104" xr:uid="{00000000-0005-0000-0000-0000CE330000}"/>
    <cellStyle name="Normal 3 12 18 6" xfId="8484" xr:uid="{00000000-0005-0000-0000-0000CF330000}"/>
    <cellStyle name="Normal 3 12 18 6 2" xfId="26105" xr:uid="{00000000-0005-0000-0000-0000D0330000}"/>
    <cellStyle name="Normal 3 12 18 7" xfId="8485" xr:uid="{00000000-0005-0000-0000-0000D1330000}"/>
    <cellStyle name="Normal 3 12 18 7 2" xfId="26106" xr:uid="{00000000-0005-0000-0000-0000D2330000}"/>
    <cellStyle name="Normal 3 12 18 8" xfId="8486" xr:uid="{00000000-0005-0000-0000-0000D3330000}"/>
    <cellStyle name="Normal 3 12 18 8 2" xfId="26107" xr:uid="{00000000-0005-0000-0000-0000D4330000}"/>
    <cellStyle name="Normal 3 12 18 9" xfId="8487" xr:uid="{00000000-0005-0000-0000-0000D5330000}"/>
    <cellStyle name="Normal 3 12 18 9 2" xfId="26108" xr:uid="{00000000-0005-0000-0000-0000D6330000}"/>
    <cellStyle name="Normal 3 12 2" xfId="8488" xr:uid="{00000000-0005-0000-0000-0000D7330000}"/>
    <cellStyle name="Normal 3 12 2 10" xfId="8489" xr:uid="{00000000-0005-0000-0000-0000D8330000}"/>
    <cellStyle name="Normal 3 12 2 10 2" xfId="26110" xr:uid="{00000000-0005-0000-0000-0000D9330000}"/>
    <cellStyle name="Normal 3 12 2 11" xfId="8490" xr:uid="{00000000-0005-0000-0000-0000DA330000}"/>
    <cellStyle name="Normal 3 12 2 11 2" xfId="26111" xr:uid="{00000000-0005-0000-0000-0000DB330000}"/>
    <cellStyle name="Normal 3 12 2 12" xfId="8491" xr:uid="{00000000-0005-0000-0000-0000DC330000}"/>
    <cellStyle name="Normal 3 12 2 12 2" xfId="26112" xr:uid="{00000000-0005-0000-0000-0000DD330000}"/>
    <cellStyle name="Normal 3 12 2 13" xfId="8492" xr:uid="{00000000-0005-0000-0000-0000DE330000}"/>
    <cellStyle name="Normal 3 12 2 13 2" xfId="26113" xr:uid="{00000000-0005-0000-0000-0000DF330000}"/>
    <cellStyle name="Normal 3 12 2 14" xfId="8493" xr:uid="{00000000-0005-0000-0000-0000E0330000}"/>
    <cellStyle name="Normal 3 12 2 14 2" xfId="26114" xr:uid="{00000000-0005-0000-0000-0000E1330000}"/>
    <cellStyle name="Normal 3 12 2 15" xfId="8494" xr:uid="{00000000-0005-0000-0000-0000E2330000}"/>
    <cellStyle name="Normal 3 12 2 15 2" xfId="26115" xr:uid="{00000000-0005-0000-0000-0000E3330000}"/>
    <cellStyle name="Normal 3 12 2 16" xfId="8495" xr:uid="{00000000-0005-0000-0000-0000E4330000}"/>
    <cellStyle name="Normal 3 12 2 16 2" xfId="26116" xr:uid="{00000000-0005-0000-0000-0000E5330000}"/>
    <cellStyle name="Normal 3 12 2 17" xfId="8496" xr:uid="{00000000-0005-0000-0000-0000E6330000}"/>
    <cellStyle name="Normal 3 12 2 17 2" xfId="26117" xr:uid="{00000000-0005-0000-0000-0000E7330000}"/>
    <cellStyle name="Normal 3 12 2 18" xfId="26109" xr:uid="{00000000-0005-0000-0000-0000E8330000}"/>
    <cellStyle name="Normal 3 12 2 2" xfId="8497" xr:uid="{00000000-0005-0000-0000-0000E9330000}"/>
    <cellStyle name="Normal 3 12 2 3" xfId="8498" xr:uid="{00000000-0005-0000-0000-0000EA330000}"/>
    <cellStyle name="Normal 3 12 2 4" xfId="8499" xr:uid="{00000000-0005-0000-0000-0000EB330000}"/>
    <cellStyle name="Normal 3 12 2 5" xfId="8500" xr:uid="{00000000-0005-0000-0000-0000EC330000}"/>
    <cellStyle name="Normal 3 12 2 5 2" xfId="26118" xr:uid="{00000000-0005-0000-0000-0000ED330000}"/>
    <cellStyle name="Normal 3 12 2 6" xfId="8501" xr:uid="{00000000-0005-0000-0000-0000EE330000}"/>
    <cellStyle name="Normal 3 12 2 6 2" xfId="26119" xr:uid="{00000000-0005-0000-0000-0000EF330000}"/>
    <cellStyle name="Normal 3 12 2 7" xfId="8502" xr:uid="{00000000-0005-0000-0000-0000F0330000}"/>
    <cellStyle name="Normal 3 12 2 7 2" xfId="26120" xr:uid="{00000000-0005-0000-0000-0000F1330000}"/>
    <cellStyle name="Normal 3 12 2 8" xfId="8503" xr:uid="{00000000-0005-0000-0000-0000F2330000}"/>
    <cellStyle name="Normal 3 12 2 8 2" xfId="26121" xr:uid="{00000000-0005-0000-0000-0000F3330000}"/>
    <cellStyle name="Normal 3 12 2 9" xfId="8504" xr:uid="{00000000-0005-0000-0000-0000F4330000}"/>
    <cellStyle name="Normal 3 12 2 9 2" xfId="26122" xr:uid="{00000000-0005-0000-0000-0000F5330000}"/>
    <cellStyle name="Normal 3 12 3" xfId="8505" xr:uid="{00000000-0005-0000-0000-0000F6330000}"/>
    <cellStyle name="Normal 3 12 4" xfId="8506" xr:uid="{00000000-0005-0000-0000-0000F7330000}"/>
    <cellStyle name="Normal 3 12 5" xfId="8507" xr:uid="{00000000-0005-0000-0000-0000F8330000}"/>
    <cellStyle name="Normal 3 12 6" xfId="8508" xr:uid="{00000000-0005-0000-0000-0000F9330000}"/>
    <cellStyle name="Normal 3 12 6 10" xfId="8509" xr:uid="{00000000-0005-0000-0000-0000FA330000}"/>
    <cellStyle name="Normal 3 12 6 10 2" xfId="26124" xr:uid="{00000000-0005-0000-0000-0000FB330000}"/>
    <cellStyle name="Normal 3 12 6 11" xfId="8510" xr:uid="{00000000-0005-0000-0000-0000FC330000}"/>
    <cellStyle name="Normal 3 12 6 11 2" xfId="26125" xr:uid="{00000000-0005-0000-0000-0000FD330000}"/>
    <cellStyle name="Normal 3 12 6 12" xfId="8511" xr:uid="{00000000-0005-0000-0000-0000FE330000}"/>
    <cellStyle name="Normal 3 12 6 12 2" xfId="26126" xr:uid="{00000000-0005-0000-0000-0000FF330000}"/>
    <cellStyle name="Normal 3 12 6 13" xfId="8512" xr:uid="{00000000-0005-0000-0000-000000340000}"/>
    <cellStyle name="Normal 3 12 6 13 2" xfId="26127" xr:uid="{00000000-0005-0000-0000-000001340000}"/>
    <cellStyle name="Normal 3 12 6 14" xfId="8513" xr:uid="{00000000-0005-0000-0000-000002340000}"/>
    <cellStyle name="Normal 3 12 6 14 2" xfId="26128" xr:uid="{00000000-0005-0000-0000-000003340000}"/>
    <cellStyle name="Normal 3 12 6 15" xfId="8514" xr:uid="{00000000-0005-0000-0000-000004340000}"/>
    <cellStyle name="Normal 3 12 6 15 2" xfId="26129" xr:uid="{00000000-0005-0000-0000-000005340000}"/>
    <cellStyle name="Normal 3 12 6 16" xfId="26123" xr:uid="{00000000-0005-0000-0000-000006340000}"/>
    <cellStyle name="Normal 3 12 6 2" xfId="8515" xr:uid="{00000000-0005-0000-0000-000007340000}"/>
    <cellStyle name="Normal 3 12 6 2 10" xfId="8516" xr:uid="{00000000-0005-0000-0000-000008340000}"/>
    <cellStyle name="Normal 3 12 6 2 10 2" xfId="26131" xr:uid="{00000000-0005-0000-0000-000009340000}"/>
    <cellStyle name="Normal 3 12 6 2 11" xfId="8517" xr:uid="{00000000-0005-0000-0000-00000A340000}"/>
    <cellStyle name="Normal 3 12 6 2 11 2" xfId="26132" xr:uid="{00000000-0005-0000-0000-00000B340000}"/>
    <cellStyle name="Normal 3 12 6 2 12" xfId="8518" xr:uid="{00000000-0005-0000-0000-00000C340000}"/>
    <cellStyle name="Normal 3 12 6 2 12 2" xfId="26133" xr:uid="{00000000-0005-0000-0000-00000D340000}"/>
    <cellStyle name="Normal 3 12 6 2 13" xfId="8519" xr:uid="{00000000-0005-0000-0000-00000E340000}"/>
    <cellStyle name="Normal 3 12 6 2 13 2" xfId="26134" xr:uid="{00000000-0005-0000-0000-00000F340000}"/>
    <cellStyle name="Normal 3 12 6 2 14" xfId="8520" xr:uid="{00000000-0005-0000-0000-000010340000}"/>
    <cellStyle name="Normal 3 12 6 2 14 2" xfId="26135" xr:uid="{00000000-0005-0000-0000-000011340000}"/>
    <cellStyle name="Normal 3 12 6 2 15" xfId="26130" xr:uid="{00000000-0005-0000-0000-000012340000}"/>
    <cellStyle name="Normal 3 12 6 2 2" xfId="8521" xr:uid="{00000000-0005-0000-0000-000013340000}"/>
    <cellStyle name="Normal 3 12 6 2 2 2" xfId="26136" xr:uid="{00000000-0005-0000-0000-000014340000}"/>
    <cellStyle name="Normal 3 12 6 2 3" xfId="8522" xr:uid="{00000000-0005-0000-0000-000015340000}"/>
    <cellStyle name="Normal 3 12 6 2 3 2" xfId="26137" xr:uid="{00000000-0005-0000-0000-000016340000}"/>
    <cellStyle name="Normal 3 12 6 2 4" xfId="8523" xr:uid="{00000000-0005-0000-0000-000017340000}"/>
    <cellStyle name="Normal 3 12 6 2 4 2" xfId="26138" xr:uid="{00000000-0005-0000-0000-000018340000}"/>
    <cellStyle name="Normal 3 12 6 2 5" xfId="8524" xr:uid="{00000000-0005-0000-0000-000019340000}"/>
    <cellStyle name="Normal 3 12 6 2 5 2" xfId="26139" xr:uid="{00000000-0005-0000-0000-00001A340000}"/>
    <cellStyle name="Normal 3 12 6 2 6" xfId="8525" xr:uid="{00000000-0005-0000-0000-00001B340000}"/>
    <cellStyle name="Normal 3 12 6 2 6 2" xfId="26140" xr:uid="{00000000-0005-0000-0000-00001C340000}"/>
    <cellStyle name="Normal 3 12 6 2 7" xfId="8526" xr:uid="{00000000-0005-0000-0000-00001D340000}"/>
    <cellStyle name="Normal 3 12 6 2 7 2" xfId="26141" xr:uid="{00000000-0005-0000-0000-00001E340000}"/>
    <cellStyle name="Normal 3 12 6 2 8" xfId="8527" xr:uid="{00000000-0005-0000-0000-00001F340000}"/>
    <cellStyle name="Normal 3 12 6 2 8 2" xfId="26142" xr:uid="{00000000-0005-0000-0000-000020340000}"/>
    <cellStyle name="Normal 3 12 6 2 9" xfId="8528" xr:uid="{00000000-0005-0000-0000-000021340000}"/>
    <cellStyle name="Normal 3 12 6 2 9 2" xfId="26143" xr:uid="{00000000-0005-0000-0000-000022340000}"/>
    <cellStyle name="Normal 3 12 6 3" xfId="8529" xr:uid="{00000000-0005-0000-0000-000023340000}"/>
    <cellStyle name="Normal 3 12 6 3 2" xfId="26144" xr:uid="{00000000-0005-0000-0000-000024340000}"/>
    <cellStyle name="Normal 3 12 6 4" xfId="8530" xr:uid="{00000000-0005-0000-0000-000025340000}"/>
    <cellStyle name="Normal 3 12 6 4 2" xfId="26145" xr:uid="{00000000-0005-0000-0000-000026340000}"/>
    <cellStyle name="Normal 3 12 6 5" xfId="8531" xr:uid="{00000000-0005-0000-0000-000027340000}"/>
    <cellStyle name="Normal 3 12 6 5 2" xfId="26146" xr:uid="{00000000-0005-0000-0000-000028340000}"/>
    <cellStyle name="Normal 3 12 6 6" xfId="8532" xr:uid="{00000000-0005-0000-0000-000029340000}"/>
    <cellStyle name="Normal 3 12 6 6 2" xfId="26147" xr:uid="{00000000-0005-0000-0000-00002A340000}"/>
    <cellStyle name="Normal 3 12 6 7" xfId="8533" xr:uid="{00000000-0005-0000-0000-00002B340000}"/>
    <cellStyle name="Normal 3 12 6 7 2" xfId="26148" xr:uid="{00000000-0005-0000-0000-00002C340000}"/>
    <cellStyle name="Normal 3 12 6 8" xfId="8534" xr:uid="{00000000-0005-0000-0000-00002D340000}"/>
    <cellStyle name="Normal 3 12 6 8 2" xfId="26149" xr:uid="{00000000-0005-0000-0000-00002E340000}"/>
    <cellStyle name="Normal 3 12 6 9" xfId="8535" xr:uid="{00000000-0005-0000-0000-00002F340000}"/>
    <cellStyle name="Normal 3 12 6 9 2" xfId="26150" xr:uid="{00000000-0005-0000-0000-000030340000}"/>
    <cellStyle name="Normal 3 12 7" xfId="8536" xr:uid="{00000000-0005-0000-0000-000031340000}"/>
    <cellStyle name="Normal 3 12 7 10" xfId="8537" xr:uid="{00000000-0005-0000-0000-000032340000}"/>
    <cellStyle name="Normal 3 12 7 10 2" xfId="26152" xr:uid="{00000000-0005-0000-0000-000033340000}"/>
    <cellStyle name="Normal 3 12 7 11" xfId="8538" xr:uid="{00000000-0005-0000-0000-000034340000}"/>
    <cellStyle name="Normal 3 12 7 11 2" xfId="26153" xr:uid="{00000000-0005-0000-0000-000035340000}"/>
    <cellStyle name="Normal 3 12 7 12" xfId="8539" xr:uid="{00000000-0005-0000-0000-000036340000}"/>
    <cellStyle name="Normal 3 12 7 12 2" xfId="26154" xr:uid="{00000000-0005-0000-0000-000037340000}"/>
    <cellStyle name="Normal 3 12 7 13" xfId="8540" xr:uid="{00000000-0005-0000-0000-000038340000}"/>
    <cellStyle name="Normal 3 12 7 13 2" xfId="26155" xr:uid="{00000000-0005-0000-0000-000039340000}"/>
    <cellStyle name="Normal 3 12 7 14" xfId="8541" xr:uid="{00000000-0005-0000-0000-00003A340000}"/>
    <cellStyle name="Normal 3 12 7 14 2" xfId="26156" xr:uid="{00000000-0005-0000-0000-00003B340000}"/>
    <cellStyle name="Normal 3 12 7 15" xfId="8542" xr:uid="{00000000-0005-0000-0000-00003C340000}"/>
    <cellStyle name="Normal 3 12 7 15 2" xfId="26157" xr:uid="{00000000-0005-0000-0000-00003D340000}"/>
    <cellStyle name="Normal 3 12 7 16" xfId="26151" xr:uid="{00000000-0005-0000-0000-00003E340000}"/>
    <cellStyle name="Normal 3 12 7 2" xfId="8543" xr:uid="{00000000-0005-0000-0000-00003F340000}"/>
    <cellStyle name="Normal 3 12 7 2 10" xfId="8544" xr:uid="{00000000-0005-0000-0000-000040340000}"/>
    <cellStyle name="Normal 3 12 7 2 10 2" xfId="26159" xr:uid="{00000000-0005-0000-0000-000041340000}"/>
    <cellStyle name="Normal 3 12 7 2 11" xfId="8545" xr:uid="{00000000-0005-0000-0000-000042340000}"/>
    <cellStyle name="Normal 3 12 7 2 11 2" xfId="26160" xr:uid="{00000000-0005-0000-0000-000043340000}"/>
    <cellStyle name="Normal 3 12 7 2 12" xfId="8546" xr:uid="{00000000-0005-0000-0000-000044340000}"/>
    <cellStyle name="Normal 3 12 7 2 12 2" xfId="26161" xr:uid="{00000000-0005-0000-0000-000045340000}"/>
    <cellStyle name="Normal 3 12 7 2 13" xfId="8547" xr:uid="{00000000-0005-0000-0000-000046340000}"/>
    <cellStyle name="Normal 3 12 7 2 13 2" xfId="26162" xr:uid="{00000000-0005-0000-0000-000047340000}"/>
    <cellStyle name="Normal 3 12 7 2 14" xfId="8548" xr:uid="{00000000-0005-0000-0000-000048340000}"/>
    <cellStyle name="Normal 3 12 7 2 14 2" xfId="26163" xr:uid="{00000000-0005-0000-0000-000049340000}"/>
    <cellStyle name="Normal 3 12 7 2 15" xfId="26158" xr:uid="{00000000-0005-0000-0000-00004A340000}"/>
    <cellStyle name="Normal 3 12 7 2 2" xfId="8549" xr:uid="{00000000-0005-0000-0000-00004B340000}"/>
    <cellStyle name="Normal 3 12 7 2 2 2" xfId="26164" xr:uid="{00000000-0005-0000-0000-00004C340000}"/>
    <cellStyle name="Normal 3 12 7 2 3" xfId="8550" xr:uid="{00000000-0005-0000-0000-00004D340000}"/>
    <cellStyle name="Normal 3 12 7 2 3 2" xfId="26165" xr:uid="{00000000-0005-0000-0000-00004E340000}"/>
    <cellStyle name="Normal 3 12 7 2 4" xfId="8551" xr:uid="{00000000-0005-0000-0000-00004F340000}"/>
    <cellStyle name="Normal 3 12 7 2 4 2" xfId="26166" xr:uid="{00000000-0005-0000-0000-000050340000}"/>
    <cellStyle name="Normal 3 12 7 2 5" xfId="8552" xr:uid="{00000000-0005-0000-0000-000051340000}"/>
    <cellStyle name="Normal 3 12 7 2 5 2" xfId="26167" xr:uid="{00000000-0005-0000-0000-000052340000}"/>
    <cellStyle name="Normal 3 12 7 2 6" xfId="8553" xr:uid="{00000000-0005-0000-0000-000053340000}"/>
    <cellStyle name="Normal 3 12 7 2 6 2" xfId="26168" xr:uid="{00000000-0005-0000-0000-000054340000}"/>
    <cellStyle name="Normal 3 12 7 2 7" xfId="8554" xr:uid="{00000000-0005-0000-0000-000055340000}"/>
    <cellStyle name="Normal 3 12 7 2 7 2" xfId="26169" xr:uid="{00000000-0005-0000-0000-000056340000}"/>
    <cellStyle name="Normal 3 12 7 2 8" xfId="8555" xr:uid="{00000000-0005-0000-0000-000057340000}"/>
    <cellStyle name="Normal 3 12 7 2 8 2" xfId="26170" xr:uid="{00000000-0005-0000-0000-000058340000}"/>
    <cellStyle name="Normal 3 12 7 2 9" xfId="8556" xr:uid="{00000000-0005-0000-0000-000059340000}"/>
    <cellStyle name="Normal 3 12 7 2 9 2" xfId="26171" xr:uid="{00000000-0005-0000-0000-00005A340000}"/>
    <cellStyle name="Normal 3 12 7 3" xfId="8557" xr:uid="{00000000-0005-0000-0000-00005B340000}"/>
    <cellStyle name="Normal 3 12 7 3 2" xfId="26172" xr:uid="{00000000-0005-0000-0000-00005C340000}"/>
    <cellStyle name="Normal 3 12 7 4" xfId="8558" xr:uid="{00000000-0005-0000-0000-00005D340000}"/>
    <cellStyle name="Normal 3 12 7 4 2" xfId="26173" xr:uid="{00000000-0005-0000-0000-00005E340000}"/>
    <cellStyle name="Normal 3 12 7 5" xfId="8559" xr:uid="{00000000-0005-0000-0000-00005F340000}"/>
    <cellStyle name="Normal 3 12 7 5 2" xfId="26174" xr:uid="{00000000-0005-0000-0000-000060340000}"/>
    <cellStyle name="Normal 3 12 7 6" xfId="8560" xr:uid="{00000000-0005-0000-0000-000061340000}"/>
    <cellStyle name="Normal 3 12 7 6 2" xfId="26175" xr:uid="{00000000-0005-0000-0000-000062340000}"/>
    <cellStyle name="Normal 3 12 7 7" xfId="8561" xr:uid="{00000000-0005-0000-0000-000063340000}"/>
    <cellStyle name="Normal 3 12 7 7 2" xfId="26176" xr:uid="{00000000-0005-0000-0000-000064340000}"/>
    <cellStyle name="Normal 3 12 7 8" xfId="8562" xr:uid="{00000000-0005-0000-0000-000065340000}"/>
    <cellStyle name="Normal 3 12 7 8 2" xfId="26177" xr:uid="{00000000-0005-0000-0000-000066340000}"/>
    <cellStyle name="Normal 3 12 7 9" xfId="8563" xr:uid="{00000000-0005-0000-0000-000067340000}"/>
    <cellStyle name="Normal 3 12 7 9 2" xfId="26178" xr:uid="{00000000-0005-0000-0000-000068340000}"/>
    <cellStyle name="Normal 3 12 8" xfId="8564" xr:uid="{00000000-0005-0000-0000-000069340000}"/>
    <cellStyle name="Normal 3 12 8 10" xfId="8565" xr:uid="{00000000-0005-0000-0000-00006A340000}"/>
    <cellStyle name="Normal 3 12 8 10 2" xfId="26180" xr:uid="{00000000-0005-0000-0000-00006B340000}"/>
    <cellStyle name="Normal 3 12 8 11" xfId="8566" xr:uid="{00000000-0005-0000-0000-00006C340000}"/>
    <cellStyle name="Normal 3 12 8 11 2" xfId="26181" xr:uid="{00000000-0005-0000-0000-00006D340000}"/>
    <cellStyle name="Normal 3 12 8 12" xfId="8567" xr:uid="{00000000-0005-0000-0000-00006E340000}"/>
    <cellStyle name="Normal 3 12 8 12 2" xfId="26182" xr:uid="{00000000-0005-0000-0000-00006F340000}"/>
    <cellStyle name="Normal 3 12 8 13" xfId="8568" xr:uid="{00000000-0005-0000-0000-000070340000}"/>
    <cellStyle name="Normal 3 12 8 13 2" xfId="26183" xr:uid="{00000000-0005-0000-0000-000071340000}"/>
    <cellStyle name="Normal 3 12 8 14" xfId="8569" xr:uid="{00000000-0005-0000-0000-000072340000}"/>
    <cellStyle name="Normal 3 12 8 14 2" xfId="26184" xr:uid="{00000000-0005-0000-0000-000073340000}"/>
    <cellStyle name="Normal 3 12 8 15" xfId="8570" xr:uid="{00000000-0005-0000-0000-000074340000}"/>
    <cellStyle name="Normal 3 12 8 15 2" xfId="26185" xr:uid="{00000000-0005-0000-0000-000075340000}"/>
    <cellStyle name="Normal 3 12 8 16" xfId="26179" xr:uid="{00000000-0005-0000-0000-000076340000}"/>
    <cellStyle name="Normal 3 12 8 2" xfId="8571" xr:uid="{00000000-0005-0000-0000-000077340000}"/>
    <cellStyle name="Normal 3 12 8 2 10" xfId="8572" xr:uid="{00000000-0005-0000-0000-000078340000}"/>
    <cellStyle name="Normal 3 12 8 2 10 2" xfId="26187" xr:uid="{00000000-0005-0000-0000-000079340000}"/>
    <cellStyle name="Normal 3 12 8 2 11" xfId="8573" xr:uid="{00000000-0005-0000-0000-00007A340000}"/>
    <cellStyle name="Normal 3 12 8 2 11 2" xfId="26188" xr:uid="{00000000-0005-0000-0000-00007B340000}"/>
    <cellStyle name="Normal 3 12 8 2 12" xfId="8574" xr:uid="{00000000-0005-0000-0000-00007C340000}"/>
    <cellStyle name="Normal 3 12 8 2 12 2" xfId="26189" xr:uid="{00000000-0005-0000-0000-00007D340000}"/>
    <cellStyle name="Normal 3 12 8 2 13" xfId="8575" xr:uid="{00000000-0005-0000-0000-00007E340000}"/>
    <cellStyle name="Normal 3 12 8 2 13 2" xfId="26190" xr:uid="{00000000-0005-0000-0000-00007F340000}"/>
    <cellStyle name="Normal 3 12 8 2 14" xfId="8576" xr:uid="{00000000-0005-0000-0000-000080340000}"/>
    <cellStyle name="Normal 3 12 8 2 14 2" xfId="26191" xr:uid="{00000000-0005-0000-0000-000081340000}"/>
    <cellStyle name="Normal 3 12 8 2 15" xfId="26186" xr:uid="{00000000-0005-0000-0000-000082340000}"/>
    <cellStyle name="Normal 3 12 8 2 2" xfId="8577" xr:uid="{00000000-0005-0000-0000-000083340000}"/>
    <cellStyle name="Normal 3 12 8 2 2 2" xfId="26192" xr:uid="{00000000-0005-0000-0000-000084340000}"/>
    <cellStyle name="Normal 3 12 8 2 3" xfId="8578" xr:uid="{00000000-0005-0000-0000-000085340000}"/>
    <cellStyle name="Normal 3 12 8 2 3 2" xfId="26193" xr:uid="{00000000-0005-0000-0000-000086340000}"/>
    <cellStyle name="Normal 3 12 8 2 4" xfId="8579" xr:uid="{00000000-0005-0000-0000-000087340000}"/>
    <cellStyle name="Normal 3 12 8 2 4 2" xfId="26194" xr:uid="{00000000-0005-0000-0000-000088340000}"/>
    <cellStyle name="Normal 3 12 8 2 5" xfId="8580" xr:uid="{00000000-0005-0000-0000-000089340000}"/>
    <cellStyle name="Normal 3 12 8 2 5 2" xfId="26195" xr:uid="{00000000-0005-0000-0000-00008A340000}"/>
    <cellStyle name="Normal 3 12 8 2 6" xfId="8581" xr:uid="{00000000-0005-0000-0000-00008B340000}"/>
    <cellStyle name="Normal 3 12 8 2 6 2" xfId="26196" xr:uid="{00000000-0005-0000-0000-00008C340000}"/>
    <cellStyle name="Normal 3 12 8 2 7" xfId="8582" xr:uid="{00000000-0005-0000-0000-00008D340000}"/>
    <cellStyle name="Normal 3 12 8 2 7 2" xfId="26197" xr:uid="{00000000-0005-0000-0000-00008E340000}"/>
    <cellStyle name="Normal 3 12 8 2 8" xfId="8583" xr:uid="{00000000-0005-0000-0000-00008F340000}"/>
    <cellStyle name="Normal 3 12 8 2 8 2" xfId="26198" xr:uid="{00000000-0005-0000-0000-000090340000}"/>
    <cellStyle name="Normal 3 12 8 2 9" xfId="8584" xr:uid="{00000000-0005-0000-0000-000091340000}"/>
    <cellStyle name="Normal 3 12 8 2 9 2" xfId="26199" xr:uid="{00000000-0005-0000-0000-000092340000}"/>
    <cellStyle name="Normal 3 12 8 3" xfId="8585" xr:uid="{00000000-0005-0000-0000-000093340000}"/>
    <cellStyle name="Normal 3 12 8 3 2" xfId="26200" xr:uid="{00000000-0005-0000-0000-000094340000}"/>
    <cellStyle name="Normal 3 12 8 4" xfId="8586" xr:uid="{00000000-0005-0000-0000-000095340000}"/>
    <cellStyle name="Normal 3 12 8 4 2" xfId="26201" xr:uid="{00000000-0005-0000-0000-000096340000}"/>
    <cellStyle name="Normal 3 12 8 5" xfId="8587" xr:uid="{00000000-0005-0000-0000-000097340000}"/>
    <cellStyle name="Normal 3 12 8 5 2" xfId="26202" xr:uid="{00000000-0005-0000-0000-000098340000}"/>
    <cellStyle name="Normal 3 12 8 6" xfId="8588" xr:uid="{00000000-0005-0000-0000-000099340000}"/>
    <cellStyle name="Normal 3 12 8 6 2" xfId="26203" xr:uid="{00000000-0005-0000-0000-00009A340000}"/>
    <cellStyle name="Normal 3 12 8 7" xfId="8589" xr:uid="{00000000-0005-0000-0000-00009B340000}"/>
    <cellStyle name="Normal 3 12 8 7 2" xfId="26204" xr:uid="{00000000-0005-0000-0000-00009C340000}"/>
    <cellStyle name="Normal 3 12 8 8" xfId="8590" xr:uid="{00000000-0005-0000-0000-00009D340000}"/>
    <cellStyle name="Normal 3 12 8 8 2" xfId="26205" xr:uid="{00000000-0005-0000-0000-00009E340000}"/>
    <cellStyle name="Normal 3 12 8 9" xfId="8591" xr:uid="{00000000-0005-0000-0000-00009F340000}"/>
    <cellStyle name="Normal 3 12 8 9 2" xfId="26206" xr:uid="{00000000-0005-0000-0000-0000A0340000}"/>
    <cellStyle name="Normal 3 12 9" xfId="8592" xr:uid="{00000000-0005-0000-0000-0000A1340000}"/>
    <cellStyle name="Normal 3 12 9 10" xfId="8593" xr:uid="{00000000-0005-0000-0000-0000A2340000}"/>
    <cellStyle name="Normal 3 12 9 10 2" xfId="26208" xr:uid="{00000000-0005-0000-0000-0000A3340000}"/>
    <cellStyle name="Normal 3 12 9 11" xfId="8594" xr:uid="{00000000-0005-0000-0000-0000A4340000}"/>
    <cellStyle name="Normal 3 12 9 11 2" xfId="26209" xr:uid="{00000000-0005-0000-0000-0000A5340000}"/>
    <cellStyle name="Normal 3 12 9 12" xfId="8595" xr:uid="{00000000-0005-0000-0000-0000A6340000}"/>
    <cellStyle name="Normal 3 12 9 12 2" xfId="26210" xr:uid="{00000000-0005-0000-0000-0000A7340000}"/>
    <cellStyle name="Normal 3 12 9 13" xfId="8596" xr:uid="{00000000-0005-0000-0000-0000A8340000}"/>
    <cellStyle name="Normal 3 12 9 13 2" xfId="26211" xr:uid="{00000000-0005-0000-0000-0000A9340000}"/>
    <cellStyle name="Normal 3 12 9 14" xfId="8597" xr:uid="{00000000-0005-0000-0000-0000AA340000}"/>
    <cellStyle name="Normal 3 12 9 14 2" xfId="26212" xr:uid="{00000000-0005-0000-0000-0000AB340000}"/>
    <cellStyle name="Normal 3 12 9 15" xfId="26207" xr:uid="{00000000-0005-0000-0000-0000AC340000}"/>
    <cellStyle name="Normal 3 12 9 2" xfId="8598" xr:uid="{00000000-0005-0000-0000-0000AD340000}"/>
    <cellStyle name="Normal 3 12 9 2 2" xfId="26213" xr:uid="{00000000-0005-0000-0000-0000AE340000}"/>
    <cellStyle name="Normal 3 12 9 3" xfId="8599" xr:uid="{00000000-0005-0000-0000-0000AF340000}"/>
    <cellStyle name="Normal 3 12 9 3 2" xfId="26214" xr:uid="{00000000-0005-0000-0000-0000B0340000}"/>
    <cellStyle name="Normal 3 12 9 4" xfId="8600" xr:uid="{00000000-0005-0000-0000-0000B1340000}"/>
    <cellStyle name="Normal 3 12 9 4 2" xfId="26215" xr:uid="{00000000-0005-0000-0000-0000B2340000}"/>
    <cellStyle name="Normal 3 12 9 5" xfId="8601" xr:uid="{00000000-0005-0000-0000-0000B3340000}"/>
    <cellStyle name="Normal 3 12 9 5 2" xfId="26216" xr:uid="{00000000-0005-0000-0000-0000B4340000}"/>
    <cellStyle name="Normal 3 12 9 6" xfId="8602" xr:uid="{00000000-0005-0000-0000-0000B5340000}"/>
    <cellStyle name="Normal 3 12 9 6 2" xfId="26217" xr:uid="{00000000-0005-0000-0000-0000B6340000}"/>
    <cellStyle name="Normal 3 12 9 7" xfId="8603" xr:uid="{00000000-0005-0000-0000-0000B7340000}"/>
    <cellStyle name="Normal 3 12 9 7 2" xfId="26218" xr:uid="{00000000-0005-0000-0000-0000B8340000}"/>
    <cellStyle name="Normal 3 12 9 8" xfId="8604" xr:uid="{00000000-0005-0000-0000-0000B9340000}"/>
    <cellStyle name="Normal 3 12 9 8 2" xfId="26219" xr:uid="{00000000-0005-0000-0000-0000BA340000}"/>
    <cellStyle name="Normal 3 12 9 9" xfId="8605" xr:uid="{00000000-0005-0000-0000-0000BB340000}"/>
    <cellStyle name="Normal 3 12 9 9 2" xfId="26220" xr:uid="{00000000-0005-0000-0000-0000BC340000}"/>
    <cellStyle name="Normal 3 13" xfId="8606" xr:uid="{00000000-0005-0000-0000-0000BD340000}"/>
    <cellStyle name="Normal 3 13 10" xfId="8607" xr:uid="{00000000-0005-0000-0000-0000BE340000}"/>
    <cellStyle name="Normal 3 13 10 10" xfId="8608" xr:uid="{00000000-0005-0000-0000-0000BF340000}"/>
    <cellStyle name="Normal 3 13 10 10 2" xfId="26222" xr:uid="{00000000-0005-0000-0000-0000C0340000}"/>
    <cellStyle name="Normal 3 13 10 11" xfId="8609" xr:uid="{00000000-0005-0000-0000-0000C1340000}"/>
    <cellStyle name="Normal 3 13 10 11 2" xfId="26223" xr:uid="{00000000-0005-0000-0000-0000C2340000}"/>
    <cellStyle name="Normal 3 13 10 12" xfId="8610" xr:uid="{00000000-0005-0000-0000-0000C3340000}"/>
    <cellStyle name="Normal 3 13 10 12 2" xfId="26224" xr:uid="{00000000-0005-0000-0000-0000C4340000}"/>
    <cellStyle name="Normal 3 13 10 13" xfId="8611" xr:uid="{00000000-0005-0000-0000-0000C5340000}"/>
    <cellStyle name="Normal 3 13 10 13 2" xfId="26225" xr:uid="{00000000-0005-0000-0000-0000C6340000}"/>
    <cellStyle name="Normal 3 13 10 14" xfId="8612" xr:uid="{00000000-0005-0000-0000-0000C7340000}"/>
    <cellStyle name="Normal 3 13 10 14 2" xfId="26226" xr:uid="{00000000-0005-0000-0000-0000C8340000}"/>
    <cellStyle name="Normal 3 13 10 15" xfId="26221" xr:uid="{00000000-0005-0000-0000-0000C9340000}"/>
    <cellStyle name="Normal 3 13 10 2" xfId="8613" xr:uid="{00000000-0005-0000-0000-0000CA340000}"/>
    <cellStyle name="Normal 3 13 10 2 2" xfId="26227" xr:uid="{00000000-0005-0000-0000-0000CB340000}"/>
    <cellStyle name="Normal 3 13 10 3" xfId="8614" xr:uid="{00000000-0005-0000-0000-0000CC340000}"/>
    <cellStyle name="Normal 3 13 10 3 2" xfId="26228" xr:uid="{00000000-0005-0000-0000-0000CD340000}"/>
    <cellStyle name="Normal 3 13 10 4" xfId="8615" xr:uid="{00000000-0005-0000-0000-0000CE340000}"/>
    <cellStyle name="Normal 3 13 10 4 2" xfId="26229" xr:uid="{00000000-0005-0000-0000-0000CF340000}"/>
    <cellStyle name="Normal 3 13 10 5" xfId="8616" xr:uid="{00000000-0005-0000-0000-0000D0340000}"/>
    <cellStyle name="Normal 3 13 10 5 2" xfId="26230" xr:uid="{00000000-0005-0000-0000-0000D1340000}"/>
    <cellStyle name="Normal 3 13 10 6" xfId="8617" xr:uid="{00000000-0005-0000-0000-0000D2340000}"/>
    <cellStyle name="Normal 3 13 10 6 2" xfId="26231" xr:uid="{00000000-0005-0000-0000-0000D3340000}"/>
    <cellStyle name="Normal 3 13 10 7" xfId="8618" xr:uid="{00000000-0005-0000-0000-0000D4340000}"/>
    <cellStyle name="Normal 3 13 10 7 2" xfId="26232" xr:uid="{00000000-0005-0000-0000-0000D5340000}"/>
    <cellStyle name="Normal 3 13 10 8" xfId="8619" xr:uid="{00000000-0005-0000-0000-0000D6340000}"/>
    <cellStyle name="Normal 3 13 10 8 2" xfId="26233" xr:uid="{00000000-0005-0000-0000-0000D7340000}"/>
    <cellStyle name="Normal 3 13 10 9" xfId="8620" xr:uid="{00000000-0005-0000-0000-0000D8340000}"/>
    <cellStyle name="Normal 3 13 10 9 2" xfId="26234" xr:uid="{00000000-0005-0000-0000-0000D9340000}"/>
    <cellStyle name="Normal 3 13 11" xfId="8621" xr:uid="{00000000-0005-0000-0000-0000DA340000}"/>
    <cellStyle name="Normal 3 13 11 10" xfId="8622" xr:uid="{00000000-0005-0000-0000-0000DB340000}"/>
    <cellStyle name="Normal 3 13 11 10 2" xfId="26236" xr:uid="{00000000-0005-0000-0000-0000DC340000}"/>
    <cellStyle name="Normal 3 13 11 11" xfId="8623" xr:uid="{00000000-0005-0000-0000-0000DD340000}"/>
    <cellStyle name="Normal 3 13 11 11 2" xfId="26237" xr:uid="{00000000-0005-0000-0000-0000DE340000}"/>
    <cellStyle name="Normal 3 13 11 12" xfId="8624" xr:uid="{00000000-0005-0000-0000-0000DF340000}"/>
    <cellStyle name="Normal 3 13 11 12 2" xfId="26238" xr:uid="{00000000-0005-0000-0000-0000E0340000}"/>
    <cellStyle name="Normal 3 13 11 13" xfId="8625" xr:uid="{00000000-0005-0000-0000-0000E1340000}"/>
    <cellStyle name="Normal 3 13 11 13 2" xfId="26239" xr:uid="{00000000-0005-0000-0000-0000E2340000}"/>
    <cellStyle name="Normal 3 13 11 14" xfId="8626" xr:uid="{00000000-0005-0000-0000-0000E3340000}"/>
    <cellStyle name="Normal 3 13 11 14 2" xfId="26240" xr:uid="{00000000-0005-0000-0000-0000E4340000}"/>
    <cellStyle name="Normal 3 13 11 15" xfId="26235" xr:uid="{00000000-0005-0000-0000-0000E5340000}"/>
    <cellStyle name="Normal 3 13 11 2" xfId="8627" xr:uid="{00000000-0005-0000-0000-0000E6340000}"/>
    <cellStyle name="Normal 3 13 11 2 2" xfId="26241" xr:uid="{00000000-0005-0000-0000-0000E7340000}"/>
    <cellStyle name="Normal 3 13 11 3" xfId="8628" xr:uid="{00000000-0005-0000-0000-0000E8340000}"/>
    <cellStyle name="Normal 3 13 11 3 2" xfId="26242" xr:uid="{00000000-0005-0000-0000-0000E9340000}"/>
    <cellStyle name="Normal 3 13 11 4" xfId="8629" xr:uid="{00000000-0005-0000-0000-0000EA340000}"/>
    <cellStyle name="Normal 3 13 11 4 2" xfId="26243" xr:uid="{00000000-0005-0000-0000-0000EB340000}"/>
    <cellStyle name="Normal 3 13 11 5" xfId="8630" xr:uid="{00000000-0005-0000-0000-0000EC340000}"/>
    <cellStyle name="Normal 3 13 11 5 2" xfId="26244" xr:uid="{00000000-0005-0000-0000-0000ED340000}"/>
    <cellStyle name="Normal 3 13 11 6" xfId="8631" xr:uid="{00000000-0005-0000-0000-0000EE340000}"/>
    <cellStyle name="Normal 3 13 11 6 2" xfId="26245" xr:uid="{00000000-0005-0000-0000-0000EF340000}"/>
    <cellStyle name="Normal 3 13 11 7" xfId="8632" xr:uid="{00000000-0005-0000-0000-0000F0340000}"/>
    <cellStyle name="Normal 3 13 11 7 2" xfId="26246" xr:uid="{00000000-0005-0000-0000-0000F1340000}"/>
    <cellStyle name="Normal 3 13 11 8" xfId="8633" xr:uid="{00000000-0005-0000-0000-0000F2340000}"/>
    <cellStyle name="Normal 3 13 11 8 2" xfId="26247" xr:uid="{00000000-0005-0000-0000-0000F3340000}"/>
    <cellStyle name="Normal 3 13 11 9" xfId="8634" xr:uid="{00000000-0005-0000-0000-0000F4340000}"/>
    <cellStyle name="Normal 3 13 11 9 2" xfId="26248" xr:uid="{00000000-0005-0000-0000-0000F5340000}"/>
    <cellStyle name="Normal 3 13 12" xfId="8635" xr:uid="{00000000-0005-0000-0000-0000F6340000}"/>
    <cellStyle name="Normal 3 13 12 10" xfId="8636" xr:uid="{00000000-0005-0000-0000-0000F7340000}"/>
    <cellStyle name="Normal 3 13 12 10 2" xfId="26250" xr:uid="{00000000-0005-0000-0000-0000F8340000}"/>
    <cellStyle name="Normal 3 13 12 11" xfId="8637" xr:uid="{00000000-0005-0000-0000-0000F9340000}"/>
    <cellStyle name="Normal 3 13 12 11 2" xfId="26251" xr:uid="{00000000-0005-0000-0000-0000FA340000}"/>
    <cellStyle name="Normal 3 13 12 12" xfId="8638" xr:uid="{00000000-0005-0000-0000-0000FB340000}"/>
    <cellStyle name="Normal 3 13 12 12 2" xfId="26252" xr:uid="{00000000-0005-0000-0000-0000FC340000}"/>
    <cellStyle name="Normal 3 13 12 13" xfId="8639" xr:uid="{00000000-0005-0000-0000-0000FD340000}"/>
    <cellStyle name="Normal 3 13 12 13 2" xfId="26253" xr:uid="{00000000-0005-0000-0000-0000FE340000}"/>
    <cellStyle name="Normal 3 13 12 14" xfId="8640" xr:uid="{00000000-0005-0000-0000-0000FF340000}"/>
    <cellStyle name="Normal 3 13 12 14 2" xfId="26254" xr:uid="{00000000-0005-0000-0000-000000350000}"/>
    <cellStyle name="Normal 3 13 12 15" xfId="26249" xr:uid="{00000000-0005-0000-0000-000001350000}"/>
    <cellStyle name="Normal 3 13 12 2" xfId="8641" xr:uid="{00000000-0005-0000-0000-000002350000}"/>
    <cellStyle name="Normal 3 13 12 2 2" xfId="26255" xr:uid="{00000000-0005-0000-0000-000003350000}"/>
    <cellStyle name="Normal 3 13 12 3" xfId="8642" xr:uid="{00000000-0005-0000-0000-000004350000}"/>
    <cellStyle name="Normal 3 13 12 3 2" xfId="26256" xr:uid="{00000000-0005-0000-0000-000005350000}"/>
    <cellStyle name="Normal 3 13 12 4" xfId="8643" xr:uid="{00000000-0005-0000-0000-000006350000}"/>
    <cellStyle name="Normal 3 13 12 4 2" xfId="26257" xr:uid="{00000000-0005-0000-0000-000007350000}"/>
    <cellStyle name="Normal 3 13 12 5" xfId="8644" xr:uid="{00000000-0005-0000-0000-000008350000}"/>
    <cellStyle name="Normal 3 13 12 5 2" xfId="26258" xr:uid="{00000000-0005-0000-0000-000009350000}"/>
    <cellStyle name="Normal 3 13 12 6" xfId="8645" xr:uid="{00000000-0005-0000-0000-00000A350000}"/>
    <cellStyle name="Normal 3 13 12 6 2" xfId="26259" xr:uid="{00000000-0005-0000-0000-00000B350000}"/>
    <cellStyle name="Normal 3 13 12 7" xfId="8646" xr:uid="{00000000-0005-0000-0000-00000C350000}"/>
    <cellStyle name="Normal 3 13 12 7 2" xfId="26260" xr:uid="{00000000-0005-0000-0000-00000D350000}"/>
    <cellStyle name="Normal 3 13 12 8" xfId="8647" xr:uid="{00000000-0005-0000-0000-00000E350000}"/>
    <cellStyle name="Normal 3 13 12 8 2" xfId="26261" xr:uid="{00000000-0005-0000-0000-00000F350000}"/>
    <cellStyle name="Normal 3 13 12 9" xfId="8648" xr:uid="{00000000-0005-0000-0000-000010350000}"/>
    <cellStyle name="Normal 3 13 12 9 2" xfId="26262" xr:uid="{00000000-0005-0000-0000-000011350000}"/>
    <cellStyle name="Normal 3 13 13" xfId="8649" xr:uid="{00000000-0005-0000-0000-000012350000}"/>
    <cellStyle name="Normal 3 13 13 10" xfId="8650" xr:uid="{00000000-0005-0000-0000-000013350000}"/>
    <cellStyle name="Normal 3 13 13 10 2" xfId="26264" xr:uid="{00000000-0005-0000-0000-000014350000}"/>
    <cellStyle name="Normal 3 13 13 11" xfId="8651" xr:uid="{00000000-0005-0000-0000-000015350000}"/>
    <cellStyle name="Normal 3 13 13 11 2" xfId="26265" xr:uid="{00000000-0005-0000-0000-000016350000}"/>
    <cellStyle name="Normal 3 13 13 12" xfId="8652" xr:uid="{00000000-0005-0000-0000-000017350000}"/>
    <cellStyle name="Normal 3 13 13 12 2" xfId="26266" xr:uid="{00000000-0005-0000-0000-000018350000}"/>
    <cellStyle name="Normal 3 13 13 13" xfId="8653" xr:uid="{00000000-0005-0000-0000-000019350000}"/>
    <cellStyle name="Normal 3 13 13 13 2" xfId="26267" xr:uid="{00000000-0005-0000-0000-00001A350000}"/>
    <cellStyle name="Normal 3 13 13 14" xfId="8654" xr:uid="{00000000-0005-0000-0000-00001B350000}"/>
    <cellStyle name="Normal 3 13 13 14 2" xfId="26268" xr:uid="{00000000-0005-0000-0000-00001C350000}"/>
    <cellStyle name="Normal 3 13 13 15" xfId="26263" xr:uid="{00000000-0005-0000-0000-00001D350000}"/>
    <cellStyle name="Normal 3 13 13 2" xfId="8655" xr:uid="{00000000-0005-0000-0000-00001E350000}"/>
    <cellStyle name="Normal 3 13 13 2 2" xfId="26269" xr:uid="{00000000-0005-0000-0000-00001F350000}"/>
    <cellStyle name="Normal 3 13 13 3" xfId="8656" xr:uid="{00000000-0005-0000-0000-000020350000}"/>
    <cellStyle name="Normal 3 13 13 3 2" xfId="26270" xr:uid="{00000000-0005-0000-0000-000021350000}"/>
    <cellStyle name="Normal 3 13 13 4" xfId="8657" xr:uid="{00000000-0005-0000-0000-000022350000}"/>
    <cellStyle name="Normal 3 13 13 4 2" xfId="26271" xr:uid="{00000000-0005-0000-0000-000023350000}"/>
    <cellStyle name="Normal 3 13 13 5" xfId="8658" xr:uid="{00000000-0005-0000-0000-000024350000}"/>
    <cellStyle name="Normal 3 13 13 5 2" xfId="26272" xr:uid="{00000000-0005-0000-0000-000025350000}"/>
    <cellStyle name="Normal 3 13 13 6" xfId="8659" xr:uid="{00000000-0005-0000-0000-000026350000}"/>
    <cellStyle name="Normal 3 13 13 6 2" xfId="26273" xr:uid="{00000000-0005-0000-0000-000027350000}"/>
    <cellStyle name="Normal 3 13 13 7" xfId="8660" xr:uid="{00000000-0005-0000-0000-000028350000}"/>
    <cellStyle name="Normal 3 13 13 7 2" xfId="26274" xr:uid="{00000000-0005-0000-0000-000029350000}"/>
    <cellStyle name="Normal 3 13 13 8" xfId="8661" xr:uid="{00000000-0005-0000-0000-00002A350000}"/>
    <cellStyle name="Normal 3 13 13 8 2" xfId="26275" xr:uid="{00000000-0005-0000-0000-00002B350000}"/>
    <cellStyle name="Normal 3 13 13 9" xfId="8662" xr:uid="{00000000-0005-0000-0000-00002C350000}"/>
    <cellStyle name="Normal 3 13 13 9 2" xfId="26276" xr:uid="{00000000-0005-0000-0000-00002D350000}"/>
    <cellStyle name="Normal 3 13 14" xfId="8663" xr:uid="{00000000-0005-0000-0000-00002E350000}"/>
    <cellStyle name="Normal 3 13 14 10" xfId="8664" xr:uid="{00000000-0005-0000-0000-00002F350000}"/>
    <cellStyle name="Normal 3 13 14 10 2" xfId="26278" xr:uid="{00000000-0005-0000-0000-000030350000}"/>
    <cellStyle name="Normal 3 13 14 11" xfId="8665" xr:uid="{00000000-0005-0000-0000-000031350000}"/>
    <cellStyle name="Normal 3 13 14 11 2" xfId="26279" xr:uid="{00000000-0005-0000-0000-000032350000}"/>
    <cellStyle name="Normal 3 13 14 12" xfId="8666" xr:uid="{00000000-0005-0000-0000-000033350000}"/>
    <cellStyle name="Normal 3 13 14 12 2" xfId="26280" xr:uid="{00000000-0005-0000-0000-000034350000}"/>
    <cellStyle name="Normal 3 13 14 13" xfId="8667" xr:uid="{00000000-0005-0000-0000-000035350000}"/>
    <cellStyle name="Normal 3 13 14 13 2" xfId="26281" xr:uid="{00000000-0005-0000-0000-000036350000}"/>
    <cellStyle name="Normal 3 13 14 14" xfId="8668" xr:uid="{00000000-0005-0000-0000-000037350000}"/>
    <cellStyle name="Normal 3 13 14 14 2" xfId="26282" xr:uid="{00000000-0005-0000-0000-000038350000}"/>
    <cellStyle name="Normal 3 13 14 15" xfId="26277" xr:uid="{00000000-0005-0000-0000-000039350000}"/>
    <cellStyle name="Normal 3 13 14 2" xfId="8669" xr:uid="{00000000-0005-0000-0000-00003A350000}"/>
    <cellStyle name="Normal 3 13 14 2 2" xfId="26283" xr:uid="{00000000-0005-0000-0000-00003B350000}"/>
    <cellStyle name="Normal 3 13 14 3" xfId="8670" xr:uid="{00000000-0005-0000-0000-00003C350000}"/>
    <cellStyle name="Normal 3 13 14 3 2" xfId="26284" xr:uid="{00000000-0005-0000-0000-00003D350000}"/>
    <cellStyle name="Normal 3 13 14 4" xfId="8671" xr:uid="{00000000-0005-0000-0000-00003E350000}"/>
    <cellStyle name="Normal 3 13 14 4 2" xfId="26285" xr:uid="{00000000-0005-0000-0000-00003F350000}"/>
    <cellStyle name="Normal 3 13 14 5" xfId="8672" xr:uid="{00000000-0005-0000-0000-000040350000}"/>
    <cellStyle name="Normal 3 13 14 5 2" xfId="26286" xr:uid="{00000000-0005-0000-0000-000041350000}"/>
    <cellStyle name="Normal 3 13 14 6" xfId="8673" xr:uid="{00000000-0005-0000-0000-000042350000}"/>
    <cellStyle name="Normal 3 13 14 6 2" xfId="26287" xr:uid="{00000000-0005-0000-0000-000043350000}"/>
    <cellStyle name="Normal 3 13 14 7" xfId="8674" xr:uid="{00000000-0005-0000-0000-000044350000}"/>
    <cellStyle name="Normal 3 13 14 7 2" xfId="26288" xr:uid="{00000000-0005-0000-0000-000045350000}"/>
    <cellStyle name="Normal 3 13 14 8" xfId="8675" xr:uid="{00000000-0005-0000-0000-000046350000}"/>
    <cellStyle name="Normal 3 13 14 8 2" xfId="26289" xr:uid="{00000000-0005-0000-0000-000047350000}"/>
    <cellStyle name="Normal 3 13 14 9" xfId="8676" xr:uid="{00000000-0005-0000-0000-000048350000}"/>
    <cellStyle name="Normal 3 13 14 9 2" xfId="26290" xr:uid="{00000000-0005-0000-0000-000049350000}"/>
    <cellStyle name="Normal 3 13 15" xfId="8677" xr:uid="{00000000-0005-0000-0000-00004A350000}"/>
    <cellStyle name="Normal 3 13 16" xfId="8678" xr:uid="{00000000-0005-0000-0000-00004B350000}"/>
    <cellStyle name="Normal 3 13 17" xfId="8679" xr:uid="{00000000-0005-0000-0000-00004C350000}"/>
    <cellStyle name="Normal 3 13 17 10" xfId="8680" xr:uid="{00000000-0005-0000-0000-00004D350000}"/>
    <cellStyle name="Normal 3 13 17 10 2" xfId="26292" xr:uid="{00000000-0005-0000-0000-00004E350000}"/>
    <cellStyle name="Normal 3 13 17 11" xfId="8681" xr:uid="{00000000-0005-0000-0000-00004F350000}"/>
    <cellStyle name="Normal 3 13 17 11 2" xfId="26293" xr:uid="{00000000-0005-0000-0000-000050350000}"/>
    <cellStyle name="Normal 3 13 17 12" xfId="8682" xr:uid="{00000000-0005-0000-0000-000051350000}"/>
    <cellStyle name="Normal 3 13 17 12 2" xfId="26294" xr:uid="{00000000-0005-0000-0000-000052350000}"/>
    <cellStyle name="Normal 3 13 17 13" xfId="8683" xr:uid="{00000000-0005-0000-0000-000053350000}"/>
    <cellStyle name="Normal 3 13 17 13 2" xfId="26295" xr:uid="{00000000-0005-0000-0000-000054350000}"/>
    <cellStyle name="Normal 3 13 17 14" xfId="8684" xr:uid="{00000000-0005-0000-0000-000055350000}"/>
    <cellStyle name="Normal 3 13 17 14 2" xfId="26296" xr:uid="{00000000-0005-0000-0000-000056350000}"/>
    <cellStyle name="Normal 3 13 17 15" xfId="26291" xr:uid="{00000000-0005-0000-0000-000057350000}"/>
    <cellStyle name="Normal 3 13 17 2" xfId="8685" xr:uid="{00000000-0005-0000-0000-000058350000}"/>
    <cellStyle name="Normal 3 13 17 2 2" xfId="26297" xr:uid="{00000000-0005-0000-0000-000059350000}"/>
    <cellStyle name="Normal 3 13 17 3" xfId="8686" xr:uid="{00000000-0005-0000-0000-00005A350000}"/>
    <cellStyle name="Normal 3 13 17 3 2" xfId="26298" xr:uid="{00000000-0005-0000-0000-00005B350000}"/>
    <cellStyle name="Normal 3 13 17 4" xfId="8687" xr:uid="{00000000-0005-0000-0000-00005C350000}"/>
    <cellStyle name="Normal 3 13 17 4 2" xfId="26299" xr:uid="{00000000-0005-0000-0000-00005D350000}"/>
    <cellStyle name="Normal 3 13 17 5" xfId="8688" xr:uid="{00000000-0005-0000-0000-00005E350000}"/>
    <cellStyle name="Normal 3 13 17 5 2" xfId="26300" xr:uid="{00000000-0005-0000-0000-00005F350000}"/>
    <cellStyle name="Normal 3 13 17 6" xfId="8689" xr:uid="{00000000-0005-0000-0000-000060350000}"/>
    <cellStyle name="Normal 3 13 17 6 2" xfId="26301" xr:uid="{00000000-0005-0000-0000-000061350000}"/>
    <cellStyle name="Normal 3 13 17 7" xfId="8690" xr:uid="{00000000-0005-0000-0000-000062350000}"/>
    <cellStyle name="Normal 3 13 17 7 2" xfId="26302" xr:uid="{00000000-0005-0000-0000-000063350000}"/>
    <cellStyle name="Normal 3 13 17 8" xfId="8691" xr:uid="{00000000-0005-0000-0000-000064350000}"/>
    <cellStyle name="Normal 3 13 17 8 2" xfId="26303" xr:uid="{00000000-0005-0000-0000-000065350000}"/>
    <cellStyle name="Normal 3 13 17 9" xfId="8692" xr:uid="{00000000-0005-0000-0000-000066350000}"/>
    <cellStyle name="Normal 3 13 17 9 2" xfId="26304" xr:uid="{00000000-0005-0000-0000-000067350000}"/>
    <cellStyle name="Normal 3 13 18" xfId="8693" xr:uid="{00000000-0005-0000-0000-000068350000}"/>
    <cellStyle name="Normal 3 13 18 10" xfId="8694" xr:uid="{00000000-0005-0000-0000-000069350000}"/>
    <cellStyle name="Normal 3 13 18 10 2" xfId="26306" xr:uid="{00000000-0005-0000-0000-00006A350000}"/>
    <cellStyle name="Normal 3 13 18 11" xfId="8695" xr:uid="{00000000-0005-0000-0000-00006B350000}"/>
    <cellStyle name="Normal 3 13 18 11 2" xfId="26307" xr:uid="{00000000-0005-0000-0000-00006C350000}"/>
    <cellStyle name="Normal 3 13 18 12" xfId="8696" xr:uid="{00000000-0005-0000-0000-00006D350000}"/>
    <cellStyle name="Normal 3 13 18 12 2" xfId="26308" xr:uid="{00000000-0005-0000-0000-00006E350000}"/>
    <cellStyle name="Normal 3 13 18 13" xfId="8697" xr:uid="{00000000-0005-0000-0000-00006F350000}"/>
    <cellStyle name="Normal 3 13 18 13 2" xfId="26309" xr:uid="{00000000-0005-0000-0000-000070350000}"/>
    <cellStyle name="Normal 3 13 18 14" xfId="8698" xr:uid="{00000000-0005-0000-0000-000071350000}"/>
    <cellStyle name="Normal 3 13 18 14 2" xfId="26310" xr:uid="{00000000-0005-0000-0000-000072350000}"/>
    <cellStyle name="Normal 3 13 18 15" xfId="26305" xr:uid="{00000000-0005-0000-0000-000073350000}"/>
    <cellStyle name="Normal 3 13 18 2" xfId="8699" xr:uid="{00000000-0005-0000-0000-000074350000}"/>
    <cellStyle name="Normal 3 13 18 2 2" xfId="26311" xr:uid="{00000000-0005-0000-0000-000075350000}"/>
    <cellStyle name="Normal 3 13 18 3" xfId="8700" xr:uid="{00000000-0005-0000-0000-000076350000}"/>
    <cellStyle name="Normal 3 13 18 3 2" xfId="26312" xr:uid="{00000000-0005-0000-0000-000077350000}"/>
    <cellStyle name="Normal 3 13 18 4" xfId="8701" xr:uid="{00000000-0005-0000-0000-000078350000}"/>
    <cellStyle name="Normal 3 13 18 4 2" xfId="26313" xr:uid="{00000000-0005-0000-0000-000079350000}"/>
    <cellStyle name="Normal 3 13 18 5" xfId="8702" xr:uid="{00000000-0005-0000-0000-00007A350000}"/>
    <cellStyle name="Normal 3 13 18 5 2" xfId="26314" xr:uid="{00000000-0005-0000-0000-00007B350000}"/>
    <cellStyle name="Normal 3 13 18 6" xfId="8703" xr:uid="{00000000-0005-0000-0000-00007C350000}"/>
    <cellStyle name="Normal 3 13 18 6 2" xfId="26315" xr:uid="{00000000-0005-0000-0000-00007D350000}"/>
    <cellStyle name="Normal 3 13 18 7" xfId="8704" xr:uid="{00000000-0005-0000-0000-00007E350000}"/>
    <cellStyle name="Normal 3 13 18 7 2" xfId="26316" xr:uid="{00000000-0005-0000-0000-00007F350000}"/>
    <cellStyle name="Normal 3 13 18 8" xfId="8705" xr:uid="{00000000-0005-0000-0000-000080350000}"/>
    <cellStyle name="Normal 3 13 18 8 2" xfId="26317" xr:uid="{00000000-0005-0000-0000-000081350000}"/>
    <cellStyle name="Normal 3 13 18 9" xfId="8706" xr:uid="{00000000-0005-0000-0000-000082350000}"/>
    <cellStyle name="Normal 3 13 18 9 2" xfId="26318" xr:uid="{00000000-0005-0000-0000-000083350000}"/>
    <cellStyle name="Normal 3 13 2" xfId="8707" xr:uid="{00000000-0005-0000-0000-000084350000}"/>
    <cellStyle name="Normal 3 13 2 10" xfId="8708" xr:uid="{00000000-0005-0000-0000-000085350000}"/>
    <cellStyle name="Normal 3 13 2 10 2" xfId="26320" xr:uid="{00000000-0005-0000-0000-000086350000}"/>
    <cellStyle name="Normal 3 13 2 11" xfId="8709" xr:uid="{00000000-0005-0000-0000-000087350000}"/>
    <cellStyle name="Normal 3 13 2 11 2" xfId="26321" xr:uid="{00000000-0005-0000-0000-000088350000}"/>
    <cellStyle name="Normal 3 13 2 12" xfId="8710" xr:uid="{00000000-0005-0000-0000-000089350000}"/>
    <cellStyle name="Normal 3 13 2 12 2" xfId="26322" xr:uid="{00000000-0005-0000-0000-00008A350000}"/>
    <cellStyle name="Normal 3 13 2 13" xfId="8711" xr:uid="{00000000-0005-0000-0000-00008B350000}"/>
    <cellStyle name="Normal 3 13 2 13 2" xfId="26323" xr:uid="{00000000-0005-0000-0000-00008C350000}"/>
    <cellStyle name="Normal 3 13 2 14" xfId="8712" xr:uid="{00000000-0005-0000-0000-00008D350000}"/>
    <cellStyle name="Normal 3 13 2 14 2" xfId="26324" xr:uid="{00000000-0005-0000-0000-00008E350000}"/>
    <cellStyle name="Normal 3 13 2 15" xfId="8713" xr:uid="{00000000-0005-0000-0000-00008F350000}"/>
    <cellStyle name="Normal 3 13 2 15 2" xfId="26325" xr:uid="{00000000-0005-0000-0000-000090350000}"/>
    <cellStyle name="Normal 3 13 2 16" xfId="8714" xr:uid="{00000000-0005-0000-0000-000091350000}"/>
    <cellStyle name="Normal 3 13 2 16 2" xfId="26326" xr:uid="{00000000-0005-0000-0000-000092350000}"/>
    <cellStyle name="Normal 3 13 2 17" xfId="8715" xr:uid="{00000000-0005-0000-0000-000093350000}"/>
    <cellStyle name="Normal 3 13 2 17 2" xfId="26327" xr:uid="{00000000-0005-0000-0000-000094350000}"/>
    <cellStyle name="Normal 3 13 2 18" xfId="26319" xr:uid="{00000000-0005-0000-0000-000095350000}"/>
    <cellStyle name="Normal 3 13 2 2" xfId="8716" xr:uid="{00000000-0005-0000-0000-000096350000}"/>
    <cellStyle name="Normal 3 13 2 3" xfId="8717" xr:uid="{00000000-0005-0000-0000-000097350000}"/>
    <cellStyle name="Normal 3 13 2 4" xfId="8718" xr:uid="{00000000-0005-0000-0000-000098350000}"/>
    <cellStyle name="Normal 3 13 2 5" xfId="8719" xr:uid="{00000000-0005-0000-0000-000099350000}"/>
    <cellStyle name="Normal 3 13 2 5 2" xfId="26328" xr:uid="{00000000-0005-0000-0000-00009A350000}"/>
    <cellStyle name="Normal 3 13 2 6" xfId="8720" xr:uid="{00000000-0005-0000-0000-00009B350000}"/>
    <cellStyle name="Normal 3 13 2 6 2" xfId="26329" xr:uid="{00000000-0005-0000-0000-00009C350000}"/>
    <cellStyle name="Normal 3 13 2 7" xfId="8721" xr:uid="{00000000-0005-0000-0000-00009D350000}"/>
    <cellStyle name="Normal 3 13 2 7 2" xfId="26330" xr:uid="{00000000-0005-0000-0000-00009E350000}"/>
    <cellStyle name="Normal 3 13 2 8" xfId="8722" xr:uid="{00000000-0005-0000-0000-00009F350000}"/>
    <cellStyle name="Normal 3 13 2 8 2" xfId="26331" xr:uid="{00000000-0005-0000-0000-0000A0350000}"/>
    <cellStyle name="Normal 3 13 2 9" xfId="8723" xr:uid="{00000000-0005-0000-0000-0000A1350000}"/>
    <cellStyle name="Normal 3 13 2 9 2" xfId="26332" xr:uid="{00000000-0005-0000-0000-0000A2350000}"/>
    <cellStyle name="Normal 3 13 3" xfId="8724" xr:uid="{00000000-0005-0000-0000-0000A3350000}"/>
    <cellStyle name="Normal 3 13 4" xfId="8725" xr:uid="{00000000-0005-0000-0000-0000A4350000}"/>
    <cellStyle name="Normal 3 13 5" xfId="8726" xr:uid="{00000000-0005-0000-0000-0000A5350000}"/>
    <cellStyle name="Normal 3 13 6" xfId="8727" xr:uid="{00000000-0005-0000-0000-0000A6350000}"/>
    <cellStyle name="Normal 3 13 6 10" xfId="8728" xr:uid="{00000000-0005-0000-0000-0000A7350000}"/>
    <cellStyle name="Normal 3 13 6 10 2" xfId="26334" xr:uid="{00000000-0005-0000-0000-0000A8350000}"/>
    <cellStyle name="Normal 3 13 6 11" xfId="8729" xr:uid="{00000000-0005-0000-0000-0000A9350000}"/>
    <cellStyle name="Normal 3 13 6 11 2" xfId="26335" xr:uid="{00000000-0005-0000-0000-0000AA350000}"/>
    <cellStyle name="Normal 3 13 6 12" xfId="8730" xr:uid="{00000000-0005-0000-0000-0000AB350000}"/>
    <cellStyle name="Normal 3 13 6 12 2" xfId="26336" xr:uid="{00000000-0005-0000-0000-0000AC350000}"/>
    <cellStyle name="Normal 3 13 6 13" xfId="8731" xr:uid="{00000000-0005-0000-0000-0000AD350000}"/>
    <cellStyle name="Normal 3 13 6 13 2" xfId="26337" xr:uid="{00000000-0005-0000-0000-0000AE350000}"/>
    <cellStyle name="Normal 3 13 6 14" xfId="8732" xr:uid="{00000000-0005-0000-0000-0000AF350000}"/>
    <cellStyle name="Normal 3 13 6 14 2" xfId="26338" xr:uid="{00000000-0005-0000-0000-0000B0350000}"/>
    <cellStyle name="Normal 3 13 6 15" xfId="8733" xr:uid="{00000000-0005-0000-0000-0000B1350000}"/>
    <cellStyle name="Normal 3 13 6 15 2" xfId="26339" xr:uid="{00000000-0005-0000-0000-0000B2350000}"/>
    <cellStyle name="Normal 3 13 6 16" xfId="26333" xr:uid="{00000000-0005-0000-0000-0000B3350000}"/>
    <cellStyle name="Normal 3 13 6 2" xfId="8734" xr:uid="{00000000-0005-0000-0000-0000B4350000}"/>
    <cellStyle name="Normal 3 13 6 2 10" xfId="8735" xr:uid="{00000000-0005-0000-0000-0000B5350000}"/>
    <cellStyle name="Normal 3 13 6 2 10 2" xfId="26341" xr:uid="{00000000-0005-0000-0000-0000B6350000}"/>
    <cellStyle name="Normal 3 13 6 2 11" xfId="8736" xr:uid="{00000000-0005-0000-0000-0000B7350000}"/>
    <cellStyle name="Normal 3 13 6 2 11 2" xfId="26342" xr:uid="{00000000-0005-0000-0000-0000B8350000}"/>
    <cellStyle name="Normal 3 13 6 2 12" xfId="8737" xr:uid="{00000000-0005-0000-0000-0000B9350000}"/>
    <cellStyle name="Normal 3 13 6 2 12 2" xfId="26343" xr:uid="{00000000-0005-0000-0000-0000BA350000}"/>
    <cellStyle name="Normal 3 13 6 2 13" xfId="8738" xr:uid="{00000000-0005-0000-0000-0000BB350000}"/>
    <cellStyle name="Normal 3 13 6 2 13 2" xfId="26344" xr:uid="{00000000-0005-0000-0000-0000BC350000}"/>
    <cellStyle name="Normal 3 13 6 2 14" xfId="8739" xr:uid="{00000000-0005-0000-0000-0000BD350000}"/>
    <cellStyle name="Normal 3 13 6 2 14 2" xfId="26345" xr:uid="{00000000-0005-0000-0000-0000BE350000}"/>
    <cellStyle name="Normal 3 13 6 2 15" xfId="26340" xr:uid="{00000000-0005-0000-0000-0000BF350000}"/>
    <cellStyle name="Normal 3 13 6 2 2" xfId="8740" xr:uid="{00000000-0005-0000-0000-0000C0350000}"/>
    <cellStyle name="Normal 3 13 6 2 2 2" xfId="26346" xr:uid="{00000000-0005-0000-0000-0000C1350000}"/>
    <cellStyle name="Normal 3 13 6 2 3" xfId="8741" xr:uid="{00000000-0005-0000-0000-0000C2350000}"/>
    <cellStyle name="Normal 3 13 6 2 3 2" xfId="26347" xr:uid="{00000000-0005-0000-0000-0000C3350000}"/>
    <cellStyle name="Normal 3 13 6 2 4" xfId="8742" xr:uid="{00000000-0005-0000-0000-0000C4350000}"/>
    <cellStyle name="Normal 3 13 6 2 4 2" xfId="26348" xr:uid="{00000000-0005-0000-0000-0000C5350000}"/>
    <cellStyle name="Normal 3 13 6 2 5" xfId="8743" xr:uid="{00000000-0005-0000-0000-0000C6350000}"/>
    <cellStyle name="Normal 3 13 6 2 5 2" xfId="26349" xr:uid="{00000000-0005-0000-0000-0000C7350000}"/>
    <cellStyle name="Normal 3 13 6 2 6" xfId="8744" xr:uid="{00000000-0005-0000-0000-0000C8350000}"/>
    <cellStyle name="Normal 3 13 6 2 6 2" xfId="26350" xr:uid="{00000000-0005-0000-0000-0000C9350000}"/>
    <cellStyle name="Normal 3 13 6 2 7" xfId="8745" xr:uid="{00000000-0005-0000-0000-0000CA350000}"/>
    <cellStyle name="Normal 3 13 6 2 7 2" xfId="26351" xr:uid="{00000000-0005-0000-0000-0000CB350000}"/>
    <cellStyle name="Normal 3 13 6 2 8" xfId="8746" xr:uid="{00000000-0005-0000-0000-0000CC350000}"/>
    <cellStyle name="Normal 3 13 6 2 8 2" xfId="26352" xr:uid="{00000000-0005-0000-0000-0000CD350000}"/>
    <cellStyle name="Normal 3 13 6 2 9" xfId="8747" xr:uid="{00000000-0005-0000-0000-0000CE350000}"/>
    <cellStyle name="Normal 3 13 6 2 9 2" xfId="26353" xr:uid="{00000000-0005-0000-0000-0000CF350000}"/>
    <cellStyle name="Normal 3 13 6 3" xfId="8748" xr:uid="{00000000-0005-0000-0000-0000D0350000}"/>
    <cellStyle name="Normal 3 13 6 3 2" xfId="26354" xr:uid="{00000000-0005-0000-0000-0000D1350000}"/>
    <cellStyle name="Normal 3 13 6 4" xfId="8749" xr:uid="{00000000-0005-0000-0000-0000D2350000}"/>
    <cellStyle name="Normal 3 13 6 4 2" xfId="26355" xr:uid="{00000000-0005-0000-0000-0000D3350000}"/>
    <cellStyle name="Normal 3 13 6 5" xfId="8750" xr:uid="{00000000-0005-0000-0000-0000D4350000}"/>
    <cellStyle name="Normal 3 13 6 5 2" xfId="26356" xr:uid="{00000000-0005-0000-0000-0000D5350000}"/>
    <cellStyle name="Normal 3 13 6 6" xfId="8751" xr:uid="{00000000-0005-0000-0000-0000D6350000}"/>
    <cellStyle name="Normal 3 13 6 6 2" xfId="26357" xr:uid="{00000000-0005-0000-0000-0000D7350000}"/>
    <cellStyle name="Normal 3 13 6 7" xfId="8752" xr:uid="{00000000-0005-0000-0000-0000D8350000}"/>
    <cellStyle name="Normal 3 13 6 7 2" xfId="26358" xr:uid="{00000000-0005-0000-0000-0000D9350000}"/>
    <cellStyle name="Normal 3 13 6 8" xfId="8753" xr:uid="{00000000-0005-0000-0000-0000DA350000}"/>
    <cellStyle name="Normal 3 13 6 8 2" xfId="26359" xr:uid="{00000000-0005-0000-0000-0000DB350000}"/>
    <cellStyle name="Normal 3 13 6 9" xfId="8754" xr:uid="{00000000-0005-0000-0000-0000DC350000}"/>
    <cellStyle name="Normal 3 13 6 9 2" xfId="26360" xr:uid="{00000000-0005-0000-0000-0000DD350000}"/>
    <cellStyle name="Normal 3 13 7" xfId="8755" xr:uid="{00000000-0005-0000-0000-0000DE350000}"/>
    <cellStyle name="Normal 3 13 7 10" xfId="8756" xr:uid="{00000000-0005-0000-0000-0000DF350000}"/>
    <cellStyle name="Normal 3 13 7 10 2" xfId="26362" xr:uid="{00000000-0005-0000-0000-0000E0350000}"/>
    <cellStyle name="Normal 3 13 7 11" xfId="8757" xr:uid="{00000000-0005-0000-0000-0000E1350000}"/>
    <cellStyle name="Normal 3 13 7 11 2" xfId="26363" xr:uid="{00000000-0005-0000-0000-0000E2350000}"/>
    <cellStyle name="Normal 3 13 7 12" xfId="8758" xr:uid="{00000000-0005-0000-0000-0000E3350000}"/>
    <cellStyle name="Normal 3 13 7 12 2" xfId="26364" xr:uid="{00000000-0005-0000-0000-0000E4350000}"/>
    <cellStyle name="Normal 3 13 7 13" xfId="8759" xr:uid="{00000000-0005-0000-0000-0000E5350000}"/>
    <cellStyle name="Normal 3 13 7 13 2" xfId="26365" xr:uid="{00000000-0005-0000-0000-0000E6350000}"/>
    <cellStyle name="Normal 3 13 7 14" xfId="8760" xr:uid="{00000000-0005-0000-0000-0000E7350000}"/>
    <cellStyle name="Normal 3 13 7 14 2" xfId="26366" xr:uid="{00000000-0005-0000-0000-0000E8350000}"/>
    <cellStyle name="Normal 3 13 7 15" xfId="8761" xr:uid="{00000000-0005-0000-0000-0000E9350000}"/>
    <cellStyle name="Normal 3 13 7 15 2" xfId="26367" xr:uid="{00000000-0005-0000-0000-0000EA350000}"/>
    <cellStyle name="Normal 3 13 7 16" xfId="26361" xr:uid="{00000000-0005-0000-0000-0000EB350000}"/>
    <cellStyle name="Normal 3 13 7 2" xfId="8762" xr:uid="{00000000-0005-0000-0000-0000EC350000}"/>
    <cellStyle name="Normal 3 13 7 2 10" xfId="8763" xr:uid="{00000000-0005-0000-0000-0000ED350000}"/>
    <cellStyle name="Normal 3 13 7 2 10 2" xfId="26369" xr:uid="{00000000-0005-0000-0000-0000EE350000}"/>
    <cellStyle name="Normal 3 13 7 2 11" xfId="8764" xr:uid="{00000000-0005-0000-0000-0000EF350000}"/>
    <cellStyle name="Normal 3 13 7 2 11 2" xfId="26370" xr:uid="{00000000-0005-0000-0000-0000F0350000}"/>
    <cellStyle name="Normal 3 13 7 2 12" xfId="8765" xr:uid="{00000000-0005-0000-0000-0000F1350000}"/>
    <cellStyle name="Normal 3 13 7 2 12 2" xfId="26371" xr:uid="{00000000-0005-0000-0000-0000F2350000}"/>
    <cellStyle name="Normal 3 13 7 2 13" xfId="8766" xr:uid="{00000000-0005-0000-0000-0000F3350000}"/>
    <cellStyle name="Normal 3 13 7 2 13 2" xfId="26372" xr:uid="{00000000-0005-0000-0000-0000F4350000}"/>
    <cellStyle name="Normal 3 13 7 2 14" xfId="8767" xr:uid="{00000000-0005-0000-0000-0000F5350000}"/>
    <cellStyle name="Normal 3 13 7 2 14 2" xfId="26373" xr:uid="{00000000-0005-0000-0000-0000F6350000}"/>
    <cellStyle name="Normal 3 13 7 2 15" xfId="26368" xr:uid="{00000000-0005-0000-0000-0000F7350000}"/>
    <cellStyle name="Normal 3 13 7 2 2" xfId="8768" xr:uid="{00000000-0005-0000-0000-0000F8350000}"/>
    <cellStyle name="Normal 3 13 7 2 2 2" xfId="26374" xr:uid="{00000000-0005-0000-0000-0000F9350000}"/>
    <cellStyle name="Normal 3 13 7 2 3" xfId="8769" xr:uid="{00000000-0005-0000-0000-0000FA350000}"/>
    <cellStyle name="Normal 3 13 7 2 3 2" xfId="26375" xr:uid="{00000000-0005-0000-0000-0000FB350000}"/>
    <cellStyle name="Normal 3 13 7 2 4" xfId="8770" xr:uid="{00000000-0005-0000-0000-0000FC350000}"/>
    <cellStyle name="Normal 3 13 7 2 4 2" xfId="26376" xr:uid="{00000000-0005-0000-0000-0000FD350000}"/>
    <cellStyle name="Normal 3 13 7 2 5" xfId="8771" xr:uid="{00000000-0005-0000-0000-0000FE350000}"/>
    <cellStyle name="Normal 3 13 7 2 5 2" xfId="26377" xr:uid="{00000000-0005-0000-0000-0000FF350000}"/>
    <cellStyle name="Normal 3 13 7 2 6" xfId="8772" xr:uid="{00000000-0005-0000-0000-000000360000}"/>
    <cellStyle name="Normal 3 13 7 2 6 2" xfId="26378" xr:uid="{00000000-0005-0000-0000-000001360000}"/>
    <cellStyle name="Normal 3 13 7 2 7" xfId="8773" xr:uid="{00000000-0005-0000-0000-000002360000}"/>
    <cellStyle name="Normal 3 13 7 2 7 2" xfId="26379" xr:uid="{00000000-0005-0000-0000-000003360000}"/>
    <cellStyle name="Normal 3 13 7 2 8" xfId="8774" xr:uid="{00000000-0005-0000-0000-000004360000}"/>
    <cellStyle name="Normal 3 13 7 2 8 2" xfId="26380" xr:uid="{00000000-0005-0000-0000-000005360000}"/>
    <cellStyle name="Normal 3 13 7 2 9" xfId="8775" xr:uid="{00000000-0005-0000-0000-000006360000}"/>
    <cellStyle name="Normal 3 13 7 2 9 2" xfId="26381" xr:uid="{00000000-0005-0000-0000-000007360000}"/>
    <cellStyle name="Normal 3 13 7 3" xfId="8776" xr:uid="{00000000-0005-0000-0000-000008360000}"/>
    <cellStyle name="Normal 3 13 7 3 2" xfId="26382" xr:uid="{00000000-0005-0000-0000-000009360000}"/>
    <cellStyle name="Normal 3 13 7 4" xfId="8777" xr:uid="{00000000-0005-0000-0000-00000A360000}"/>
    <cellStyle name="Normal 3 13 7 4 2" xfId="26383" xr:uid="{00000000-0005-0000-0000-00000B360000}"/>
    <cellStyle name="Normal 3 13 7 5" xfId="8778" xr:uid="{00000000-0005-0000-0000-00000C360000}"/>
    <cellStyle name="Normal 3 13 7 5 2" xfId="26384" xr:uid="{00000000-0005-0000-0000-00000D360000}"/>
    <cellStyle name="Normal 3 13 7 6" xfId="8779" xr:uid="{00000000-0005-0000-0000-00000E360000}"/>
    <cellStyle name="Normal 3 13 7 6 2" xfId="26385" xr:uid="{00000000-0005-0000-0000-00000F360000}"/>
    <cellStyle name="Normal 3 13 7 7" xfId="8780" xr:uid="{00000000-0005-0000-0000-000010360000}"/>
    <cellStyle name="Normal 3 13 7 7 2" xfId="26386" xr:uid="{00000000-0005-0000-0000-000011360000}"/>
    <cellStyle name="Normal 3 13 7 8" xfId="8781" xr:uid="{00000000-0005-0000-0000-000012360000}"/>
    <cellStyle name="Normal 3 13 7 8 2" xfId="26387" xr:uid="{00000000-0005-0000-0000-000013360000}"/>
    <cellStyle name="Normal 3 13 7 9" xfId="8782" xr:uid="{00000000-0005-0000-0000-000014360000}"/>
    <cellStyle name="Normal 3 13 7 9 2" xfId="26388" xr:uid="{00000000-0005-0000-0000-000015360000}"/>
    <cellStyle name="Normal 3 13 8" xfId="8783" xr:uid="{00000000-0005-0000-0000-000016360000}"/>
    <cellStyle name="Normal 3 13 8 10" xfId="8784" xr:uid="{00000000-0005-0000-0000-000017360000}"/>
    <cellStyle name="Normal 3 13 8 10 2" xfId="26390" xr:uid="{00000000-0005-0000-0000-000018360000}"/>
    <cellStyle name="Normal 3 13 8 11" xfId="8785" xr:uid="{00000000-0005-0000-0000-000019360000}"/>
    <cellStyle name="Normal 3 13 8 11 2" xfId="26391" xr:uid="{00000000-0005-0000-0000-00001A360000}"/>
    <cellStyle name="Normal 3 13 8 12" xfId="8786" xr:uid="{00000000-0005-0000-0000-00001B360000}"/>
    <cellStyle name="Normal 3 13 8 12 2" xfId="26392" xr:uid="{00000000-0005-0000-0000-00001C360000}"/>
    <cellStyle name="Normal 3 13 8 13" xfId="8787" xr:uid="{00000000-0005-0000-0000-00001D360000}"/>
    <cellStyle name="Normal 3 13 8 13 2" xfId="26393" xr:uid="{00000000-0005-0000-0000-00001E360000}"/>
    <cellStyle name="Normal 3 13 8 14" xfId="8788" xr:uid="{00000000-0005-0000-0000-00001F360000}"/>
    <cellStyle name="Normal 3 13 8 14 2" xfId="26394" xr:uid="{00000000-0005-0000-0000-000020360000}"/>
    <cellStyle name="Normal 3 13 8 15" xfId="8789" xr:uid="{00000000-0005-0000-0000-000021360000}"/>
    <cellStyle name="Normal 3 13 8 15 2" xfId="26395" xr:uid="{00000000-0005-0000-0000-000022360000}"/>
    <cellStyle name="Normal 3 13 8 16" xfId="26389" xr:uid="{00000000-0005-0000-0000-000023360000}"/>
    <cellStyle name="Normal 3 13 8 2" xfId="8790" xr:uid="{00000000-0005-0000-0000-000024360000}"/>
    <cellStyle name="Normal 3 13 8 2 10" xfId="8791" xr:uid="{00000000-0005-0000-0000-000025360000}"/>
    <cellStyle name="Normal 3 13 8 2 10 2" xfId="26397" xr:uid="{00000000-0005-0000-0000-000026360000}"/>
    <cellStyle name="Normal 3 13 8 2 11" xfId="8792" xr:uid="{00000000-0005-0000-0000-000027360000}"/>
    <cellStyle name="Normal 3 13 8 2 11 2" xfId="26398" xr:uid="{00000000-0005-0000-0000-000028360000}"/>
    <cellStyle name="Normal 3 13 8 2 12" xfId="8793" xr:uid="{00000000-0005-0000-0000-000029360000}"/>
    <cellStyle name="Normal 3 13 8 2 12 2" xfId="26399" xr:uid="{00000000-0005-0000-0000-00002A360000}"/>
    <cellStyle name="Normal 3 13 8 2 13" xfId="8794" xr:uid="{00000000-0005-0000-0000-00002B360000}"/>
    <cellStyle name="Normal 3 13 8 2 13 2" xfId="26400" xr:uid="{00000000-0005-0000-0000-00002C360000}"/>
    <cellStyle name="Normal 3 13 8 2 14" xfId="8795" xr:uid="{00000000-0005-0000-0000-00002D360000}"/>
    <cellStyle name="Normal 3 13 8 2 14 2" xfId="26401" xr:uid="{00000000-0005-0000-0000-00002E360000}"/>
    <cellStyle name="Normal 3 13 8 2 15" xfId="26396" xr:uid="{00000000-0005-0000-0000-00002F360000}"/>
    <cellStyle name="Normal 3 13 8 2 2" xfId="8796" xr:uid="{00000000-0005-0000-0000-000030360000}"/>
    <cellStyle name="Normal 3 13 8 2 2 2" xfId="26402" xr:uid="{00000000-0005-0000-0000-000031360000}"/>
    <cellStyle name="Normal 3 13 8 2 3" xfId="8797" xr:uid="{00000000-0005-0000-0000-000032360000}"/>
    <cellStyle name="Normal 3 13 8 2 3 2" xfId="26403" xr:uid="{00000000-0005-0000-0000-000033360000}"/>
    <cellStyle name="Normal 3 13 8 2 4" xfId="8798" xr:uid="{00000000-0005-0000-0000-000034360000}"/>
    <cellStyle name="Normal 3 13 8 2 4 2" xfId="26404" xr:uid="{00000000-0005-0000-0000-000035360000}"/>
    <cellStyle name="Normal 3 13 8 2 5" xfId="8799" xr:uid="{00000000-0005-0000-0000-000036360000}"/>
    <cellStyle name="Normal 3 13 8 2 5 2" xfId="26405" xr:uid="{00000000-0005-0000-0000-000037360000}"/>
    <cellStyle name="Normal 3 13 8 2 6" xfId="8800" xr:uid="{00000000-0005-0000-0000-000038360000}"/>
    <cellStyle name="Normal 3 13 8 2 6 2" xfId="26406" xr:uid="{00000000-0005-0000-0000-000039360000}"/>
    <cellStyle name="Normal 3 13 8 2 7" xfId="8801" xr:uid="{00000000-0005-0000-0000-00003A360000}"/>
    <cellStyle name="Normal 3 13 8 2 7 2" xfId="26407" xr:uid="{00000000-0005-0000-0000-00003B360000}"/>
    <cellStyle name="Normal 3 13 8 2 8" xfId="8802" xr:uid="{00000000-0005-0000-0000-00003C360000}"/>
    <cellStyle name="Normal 3 13 8 2 8 2" xfId="26408" xr:uid="{00000000-0005-0000-0000-00003D360000}"/>
    <cellStyle name="Normal 3 13 8 2 9" xfId="8803" xr:uid="{00000000-0005-0000-0000-00003E360000}"/>
    <cellStyle name="Normal 3 13 8 2 9 2" xfId="26409" xr:uid="{00000000-0005-0000-0000-00003F360000}"/>
    <cellStyle name="Normal 3 13 8 3" xfId="8804" xr:uid="{00000000-0005-0000-0000-000040360000}"/>
    <cellStyle name="Normal 3 13 8 3 2" xfId="26410" xr:uid="{00000000-0005-0000-0000-000041360000}"/>
    <cellStyle name="Normal 3 13 8 4" xfId="8805" xr:uid="{00000000-0005-0000-0000-000042360000}"/>
    <cellStyle name="Normal 3 13 8 4 2" xfId="26411" xr:uid="{00000000-0005-0000-0000-000043360000}"/>
    <cellStyle name="Normal 3 13 8 5" xfId="8806" xr:uid="{00000000-0005-0000-0000-000044360000}"/>
    <cellStyle name="Normal 3 13 8 5 2" xfId="26412" xr:uid="{00000000-0005-0000-0000-000045360000}"/>
    <cellStyle name="Normal 3 13 8 6" xfId="8807" xr:uid="{00000000-0005-0000-0000-000046360000}"/>
    <cellStyle name="Normal 3 13 8 6 2" xfId="26413" xr:uid="{00000000-0005-0000-0000-000047360000}"/>
    <cellStyle name="Normal 3 13 8 7" xfId="8808" xr:uid="{00000000-0005-0000-0000-000048360000}"/>
    <cellStyle name="Normal 3 13 8 7 2" xfId="26414" xr:uid="{00000000-0005-0000-0000-000049360000}"/>
    <cellStyle name="Normal 3 13 8 8" xfId="8809" xr:uid="{00000000-0005-0000-0000-00004A360000}"/>
    <cellStyle name="Normal 3 13 8 8 2" xfId="26415" xr:uid="{00000000-0005-0000-0000-00004B360000}"/>
    <cellStyle name="Normal 3 13 8 9" xfId="8810" xr:uid="{00000000-0005-0000-0000-00004C360000}"/>
    <cellStyle name="Normal 3 13 8 9 2" xfId="26416" xr:uid="{00000000-0005-0000-0000-00004D360000}"/>
    <cellStyle name="Normal 3 13 9" xfId="8811" xr:uid="{00000000-0005-0000-0000-00004E360000}"/>
    <cellStyle name="Normal 3 13 9 10" xfId="8812" xr:uid="{00000000-0005-0000-0000-00004F360000}"/>
    <cellStyle name="Normal 3 13 9 10 2" xfId="26418" xr:uid="{00000000-0005-0000-0000-000050360000}"/>
    <cellStyle name="Normal 3 13 9 11" xfId="8813" xr:uid="{00000000-0005-0000-0000-000051360000}"/>
    <cellStyle name="Normal 3 13 9 11 2" xfId="26419" xr:uid="{00000000-0005-0000-0000-000052360000}"/>
    <cellStyle name="Normal 3 13 9 12" xfId="8814" xr:uid="{00000000-0005-0000-0000-000053360000}"/>
    <cellStyle name="Normal 3 13 9 12 2" xfId="26420" xr:uid="{00000000-0005-0000-0000-000054360000}"/>
    <cellStyle name="Normal 3 13 9 13" xfId="8815" xr:uid="{00000000-0005-0000-0000-000055360000}"/>
    <cellStyle name="Normal 3 13 9 13 2" xfId="26421" xr:uid="{00000000-0005-0000-0000-000056360000}"/>
    <cellStyle name="Normal 3 13 9 14" xfId="8816" xr:uid="{00000000-0005-0000-0000-000057360000}"/>
    <cellStyle name="Normal 3 13 9 14 2" xfId="26422" xr:uid="{00000000-0005-0000-0000-000058360000}"/>
    <cellStyle name="Normal 3 13 9 15" xfId="26417" xr:uid="{00000000-0005-0000-0000-000059360000}"/>
    <cellStyle name="Normal 3 13 9 2" xfId="8817" xr:uid="{00000000-0005-0000-0000-00005A360000}"/>
    <cellStyle name="Normal 3 13 9 2 2" xfId="26423" xr:uid="{00000000-0005-0000-0000-00005B360000}"/>
    <cellStyle name="Normal 3 13 9 3" xfId="8818" xr:uid="{00000000-0005-0000-0000-00005C360000}"/>
    <cellStyle name="Normal 3 13 9 3 2" xfId="26424" xr:uid="{00000000-0005-0000-0000-00005D360000}"/>
    <cellStyle name="Normal 3 13 9 4" xfId="8819" xr:uid="{00000000-0005-0000-0000-00005E360000}"/>
    <cellStyle name="Normal 3 13 9 4 2" xfId="26425" xr:uid="{00000000-0005-0000-0000-00005F360000}"/>
    <cellStyle name="Normal 3 13 9 5" xfId="8820" xr:uid="{00000000-0005-0000-0000-000060360000}"/>
    <cellStyle name="Normal 3 13 9 5 2" xfId="26426" xr:uid="{00000000-0005-0000-0000-000061360000}"/>
    <cellStyle name="Normal 3 13 9 6" xfId="8821" xr:uid="{00000000-0005-0000-0000-000062360000}"/>
    <cellStyle name="Normal 3 13 9 6 2" xfId="26427" xr:uid="{00000000-0005-0000-0000-000063360000}"/>
    <cellStyle name="Normal 3 13 9 7" xfId="8822" xr:uid="{00000000-0005-0000-0000-000064360000}"/>
    <cellStyle name="Normal 3 13 9 7 2" xfId="26428" xr:uid="{00000000-0005-0000-0000-000065360000}"/>
    <cellStyle name="Normal 3 13 9 8" xfId="8823" xr:uid="{00000000-0005-0000-0000-000066360000}"/>
    <cellStyle name="Normal 3 13 9 8 2" xfId="26429" xr:uid="{00000000-0005-0000-0000-000067360000}"/>
    <cellStyle name="Normal 3 13 9 9" xfId="8824" xr:uid="{00000000-0005-0000-0000-000068360000}"/>
    <cellStyle name="Normal 3 13 9 9 2" xfId="26430" xr:uid="{00000000-0005-0000-0000-000069360000}"/>
    <cellStyle name="Normal 3 14" xfId="8825" xr:uid="{00000000-0005-0000-0000-00006A360000}"/>
    <cellStyle name="Normal 3 14 10" xfId="8826" xr:uid="{00000000-0005-0000-0000-00006B360000}"/>
    <cellStyle name="Normal 3 14 10 10" xfId="8827" xr:uid="{00000000-0005-0000-0000-00006C360000}"/>
    <cellStyle name="Normal 3 14 10 10 2" xfId="26432" xr:uid="{00000000-0005-0000-0000-00006D360000}"/>
    <cellStyle name="Normal 3 14 10 11" xfId="8828" xr:uid="{00000000-0005-0000-0000-00006E360000}"/>
    <cellStyle name="Normal 3 14 10 11 2" xfId="26433" xr:uid="{00000000-0005-0000-0000-00006F360000}"/>
    <cellStyle name="Normal 3 14 10 12" xfId="8829" xr:uid="{00000000-0005-0000-0000-000070360000}"/>
    <cellStyle name="Normal 3 14 10 12 2" xfId="26434" xr:uid="{00000000-0005-0000-0000-000071360000}"/>
    <cellStyle name="Normal 3 14 10 13" xfId="8830" xr:uid="{00000000-0005-0000-0000-000072360000}"/>
    <cellStyle name="Normal 3 14 10 13 2" xfId="26435" xr:uid="{00000000-0005-0000-0000-000073360000}"/>
    <cellStyle name="Normal 3 14 10 14" xfId="8831" xr:uid="{00000000-0005-0000-0000-000074360000}"/>
    <cellStyle name="Normal 3 14 10 14 2" xfId="26436" xr:uid="{00000000-0005-0000-0000-000075360000}"/>
    <cellStyle name="Normal 3 14 10 15" xfId="26431" xr:uid="{00000000-0005-0000-0000-000076360000}"/>
    <cellStyle name="Normal 3 14 10 2" xfId="8832" xr:uid="{00000000-0005-0000-0000-000077360000}"/>
    <cellStyle name="Normal 3 14 10 2 2" xfId="26437" xr:uid="{00000000-0005-0000-0000-000078360000}"/>
    <cellStyle name="Normal 3 14 10 3" xfId="8833" xr:uid="{00000000-0005-0000-0000-000079360000}"/>
    <cellStyle name="Normal 3 14 10 3 2" xfId="26438" xr:uid="{00000000-0005-0000-0000-00007A360000}"/>
    <cellStyle name="Normal 3 14 10 4" xfId="8834" xr:uid="{00000000-0005-0000-0000-00007B360000}"/>
    <cellStyle name="Normal 3 14 10 4 2" xfId="26439" xr:uid="{00000000-0005-0000-0000-00007C360000}"/>
    <cellStyle name="Normal 3 14 10 5" xfId="8835" xr:uid="{00000000-0005-0000-0000-00007D360000}"/>
    <cellStyle name="Normal 3 14 10 5 2" xfId="26440" xr:uid="{00000000-0005-0000-0000-00007E360000}"/>
    <cellStyle name="Normal 3 14 10 6" xfId="8836" xr:uid="{00000000-0005-0000-0000-00007F360000}"/>
    <cellStyle name="Normal 3 14 10 6 2" xfId="26441" xr:uid="{00000000-0005-0000-0000-000080360000}"/>
    <cellStyle name="Normal 3 14 10 7" xfId="8837" xr:uid="{00000000-0005-0000-0000-000081360000}"/>
    <cellStyle name="Normal 3 14 10 7 2" xfId="26442" xr:uid="{00000000-0005-0000-0000-000082360000}"/>
    <cellStyle name="Normal 3 14 10 8" xfId="8838" xr:uid="{00000000-0005-0000-0000-000083360000}"/>
    <cellStyle name="Normal 3 14 10 8 2" xfId="26443" xr:uid="{00000000-0005-0000-0000-000084360000}"/>
    <cellStyle name="Normal 3 14 10 9" xfId="8839" xr:uid="{00000000-0005-0000-0000-000085360000}"/>
    <cellStyle name="Normal 3 14 10 9 2" xfId="26444" xr:uid="{00000000-0005-0000-0000-000086360000}"/>
    <cellStyle name="Normal 3 14 11" xfId="8840" xr:uid="{00000000-0005-0000-0000-000087360000}"/>
    <cellStyle name="Normal 3 14 11 10" xfId="8841" xr:uid="{00000000-0005-0000-0000-000088360000}"/>
    <cellStyle name="Normal 3 14 11 10 2" xfId="26446" xr:uid="{00000000-0005-0000-0000-000089360000}"/>
    <cellStyle name="Normal 3 14 11 11" xfId="8842" xr:uid="{00000000-0005-0000-0000-00008A360000}"/>
    <cellStyle name="Normal 3 14 11 11 2" xfId="26447" xr:uid="{00000000-0005-0000-0000-00008B360000}"/>
    <cellStyle name="Normal 3 14 11 12" xfId="8843" xr:uid="{00000000-0005-0000-0000-00008C360000}"/>
    <cellStyle name="Normal 3 14 11 12 2" xfId="26448" xr:uid="{00000000-0005-0000-0000-00008D360000}"/>
    <cellStyle name="Normal 3 14 11 13" xfId="8844" xr:uid="{00000000-0005-0000-0000-00008E360000}"/>
    <cellStyle name="Normal 3 14 11 13 2" xfId="26449" xr:uid="{00000000-0005-0000-0000-00008F360000}"/>
    <cellStyle name="Normal 3 14 11 14" xfId="8845" xr:uid="{00000000-0005-0000-0000-000090360000}"/>
    <cellStyle name="Normal 3 14 11 14 2" xfId="26450" xr:uid="{00000000-0005-0000-0000-000091360000}"/>
    <cellStyle name="Normal 3 14 11 15" xfId="26445" xr:uid="{00000000-0005-0000-0000-000092360000}"/>
    <cellStyle name="Normal 3 14 11 2" xfId="8846" xr:uid="{00000000-0005-0000-0000-000093360000}"/>
    <cellStyle name="Normal 3 14 11 2 2" xfId="26451" xr:uid="{00000000-0005-0000-0000-000094360000}"/>
    <cellStyle name="Normal 3 14 11 3" xfId="8847" xr:uid="{00000000-0005-0000-0000-000095360000}"/>
    <cellStyle name="Normal 3 14 11 3 2" xfId="26452" xr:uid="{00000000-0005-0000-0000-000096360000}"/>
    <cellStyle name="Normal 3 14 11 4" xfId="8848" xr:uid="{00000000-0005-0000-0000-000097360000}"/>
    <cellStyle name="Normal 3 14 11 4 2" xfId="26453" xr:uid="{00000000-0005-0000-0000-000098360000}"/>
    <cellStyle name="Normal 3 14 11 5" xfId="8849" xr:uid="{00000000-0005-0000-0000-000099360000}"/>
    <cellStyle name="Normal 3 14 11 5 2" xfId="26454" xr:uid="{00000000-0005-0000-0000-00009A360000}"/>
    <cellStyle name="Normal 3 14 11 6" xfId="8850" xr:uid="{00000000-0005-0000-0000-00009B360000}"/>
    <cellStyle name="Normal 3 14 11 6 2" xfId="26455" xr:uid="{00000000-0005-0000-0000-00009C360000}"/>
    <cellStyle name="Normal 3 14 11 7" xfId="8851" xr:uid="{00000000-0005-0000-0000-00009D360000}"/>
    <cellStyle name="Normal 3 14 11 7 2" xfId="26456" xr:uid="{00000000-0005-0000-0000-00009E360000}"/>
    <cellStyle name="Normal 3 14 11 8" xfId="8852" xr:uid="{00000000-0005-0000-0000-00009F360000}"/>
    <cellStyle name="Normal 3 14 11 8 2" xfId="26457" xr:uid="{00000000-0005-0000-0000-0000A0360000}"/>
    <cellStyle name="Normal 3 14 11 9" xfId="8853" xr:uid="{00000000-0005-0000-0000-0000A1360000}"/>
    <cellStyle name="Normal 3 14 11 9 2" xfId="26458" xr:uid="{00000000-0005-0000-0000-0000A2360000}"/>
    <cellStyle name="Normal 3 14 12" xfId="8854" xr:uid="{00000000-0005-0000-0000-0000A3360000}"/>
    <cellStyle name="Normal 3 14 12 10" xfId="8855" xr:uid="{00000000-0005-0000-0000-0000A4360000}"/>
    <cellStyle name="Normal 3 14 12 10 2" xfId="26460" xr:uid="{00000000-0005-0000-0000-0000A5360000}"/>
    <cellStyle name="Normal 3 14 12 11" xfId="8856" xr:uid="{00000000-0005-0000-0000-0000A6360000}"/>
    <cellStyle name="Normal 3 14 12 11 2" xfId="26461" xr:uid="{00000000-0005-0000-0000-0000A7360000}"/>
    <cellStyle name="Normal 3 14 12 12" xfId="8857" xr:uid="{00000000-0005-0000-0000-0000A8360000}"/>
    <cellStyle name="Normal 3 14 12 12 2" xfId="26462" xr:uid="{00000000-0005-0000-0000-0000A9360000}"/>
    <cellStyle name="Normal 3 14 12 13" xfId="8858" xr:uid="{00000000-0005-0000-0000-0000AA360000}"/>
    <cellStyle name="Normal 3 14 12 13 2" xfId="26463" xr:uid="{00000000-0005-0000-0000-0000AB360000}"/>
    <cellStyle name="Normal 3 14 12 14" xfId="8859" xr:uid="{00000000-0005-0000-0000-0000AC360000}"/>
    <cellStyle name="Normal 3 14 12 14 2" xfId="26464" xr:uid="{00000000-0005-0000-0000-0000AD360000}"/>
    <cellStyle name="Normal 3 14 12 15" xfId="26459" xr:uid="{00000000-0005-0000-0000-0000AE360000}"/>
    <cellStyle name="Normal 3 14 12 2" xfId="8860" xr:uid="{00000000-0005-0000-0000-0000AF360000}"/>
    <cellStyle name="Normal 3 14 12 2 2" xfId="26465" xr:uid="{00000000-0005-0000-0000-0000B0360000}"/>
    <cellStyle name="Normal 3 14 12 3" xfId="8861" xr:uid="{00000000-0005-0000-0000-0000B1360000}"/>
    <cellStyle name="Normal 3 14 12 3 2" xfId="26466" xr:uid="{00000000-0005-0000-0000-0000B2360000}"/>
    <cellStyle name="Normal 3 14 12 4" xfId="8862" xr:uid="{00000000-0005-0000-0000-0000B3360000}"/>
    <cellStyle name="Normal 3 14 12 4 2" xfId="26467" xr:uid="{00000000-0005-0000-0000-0000B4360000}"/>
    <cellStyle name="Normal 3 14 12 5" xfId="8863" xr:uid="{00000000-0005-0000-0000-0000B5360000}"/>
    <cellStyle name="Normal 3 14 12 5 2" xfId="26468" xr:uid="{00000000-0005-0000-0000-0000B6360000}"/>
    <cellStyle name="Normal 3 14 12 6" xfId="8864" xr:uid="{00000000-0005-0000-0000-0000B7360000}"/>
    <cellStyle name="Normal 3 14 12 6 2" xfId="26469" xr:uid="{00000000-0005-0000-0000-0000B8360000}"/>
    <cellStyle name="Normal 3 14 12 7" xfId="8865" xr:uid="{00000000-0005-0000-0000-0000B9360000}"/>
    <cellStyle name="Normal 3 14 12 7 2" xfId="26470" xr:uid="{00000000-0005-0000-0000-0000BA360000}"/>
    <cellStyle name="Normal 3 14 12 8" xfId="8866" xr:uid="{00000000-0005-0000-0000-0000BB360000}"/>
    <cellStyle name="Normal 3 14 12 8 2" xfId="26471" xr:uid="{00000000-0005-0000-0000-0000BC360000}"/>
    <cellStyle name="Normal 3 14 12 9" xfId="8867" xr:uid="{00000000-0005-0000-0000-0000BD360000}"/>
    <cellStyle name="Normal 3 14 12 9 2" xfId="26472" xr:uid="{00000000-0005-0000-0000-0000BE360000}"/>
    <cellStyle name="Normal 3 14 13" xfId="8868" xr:uid="{00000000-0005-0000-0000-0000BF360000}"/>
    <cellStyle name="Normal 3 14 13 10" xfId="8869" xr:uid="{00000000-0005-0000-0000-0000C0360000}"/>
    <cellStyle name="Normal 3 14 13 10 2" xfId="26474" xr:uid="{00000000-0005-0000-0000-0000C1360000}"/>
    <cellStyle name="Normal 3 14 13 11" xfId="8870" xr:uid="{00000000-0005-0000-0000-0000C2360000}"/>
    <cellStyle name="Normal 3 14 13 11 2" xfId="26475" xr:uid="{00000000-0005-0000-0000-0000C3360000}"/>
    <cellStyle name="Normal 3 14 13 12" xfId="8871" xr:uid="{00000000-0005-0000-0000-0000C4360000}"/>
    <cellStyle name="Normal 3 14 13 12 2" xfId="26476" xr:uid="{00000000-0005-0000-0000-0000C5360000}"/>
    <cellStyle name="Normal 3 14 13 13" xfId="8872" xr:uid="{00000000-0005-0000-0000-0000C6360000}"/>
    <cellStyle name="Normal 3 14 13 13 2" xfId="26477" xr:uid="{00000000-0005-0000-0000-0000C7360000}"/>
    <cellStyle name="Normal 3 14 13 14" xfId="8873" xr:uid="{00000000-0005-0000-0000-0000C8360000}"/>
    <cellStyle name="Normal 3 14 13 14 2" xfId="26478" xr:uid="{00000000-0005-0000-0000-0000C9360000}"/>
    <cellStyle name="Normal 3 14 13 15" xfId="26473" xr:uid="{00000000-0005-0000-0000-0000CA360000}"/>
    <cellStyle name="Normal 3 14 13 2" xfId="8874" xr:uid="{00000000-0005-0000-0000-0000CB360000}"/>
    <cellStyle name="Normal 3 14 13 2 2" xfId="26479" xr:uid="{00000000-0005-0000-0000-0000CC360000}"/>
    <cellStyle name="Normal 3 14 13 3" xfId="8875" xr:uid="{00000000-0005-0000-0000-0000CD360000}"/>
    <cellStyle name="Normal 3 14 13 3 2" xfId="26480" xr:uid="{00000000-0005-0000-0000-0000CE360000}"/>
    <cellStyle name="Normal 3 14 13 4" xfId="8876" xr:uid="{00000000-0005-0000-0000-0000CF360000}"/>
    <cellStyle name="Normal 3 14 13 4 2" xfId="26481" xr:uid="{00000000-0005-0000-0000-0000D0360000}"/>
    <cellStyle name="Normal 3 14 13 5" xfId="8877" xr:uid="{00000000-0005-0000-0000-0000D1360000}"/>
    <cellStyle name="Normal 3 14 13 5 2" xfId="26482" xr:uid="{00000000-0005-0000-0000-0000D2360000}"/>
    <cellStyle name="Normal 3 14 13 6" xfId="8878" xr:uid="{00000000-0005-0000-0000-0000D3360000}"/>
    <cellStyle name="Normal 3 14 13 6 2" xfId="26483" xr:uid="{00000000-0005-0000-0000-0000D4360000}"/>
    <cellStyle name="Normal 3 14 13 7" xfId="8879" xr:uid="{00000000-0005-0000-0000-0000D5360000}"/>
    <cellStyle name="Normal 3 14 13 7 2" xfId="26484" xr:uid="{00000000-0005-0000-0000-0000D6360000}"/>
    <cellStyle name="Normal 3 14 13 8" xfId="8880" xr:uid="{00000000-0005-0000-0000-0000D7360000}"/>
    <cellStyle name="Normal 3 14 13 8 2" xfId="26485" xr:uid="{00000000-0005-0000-0000-0000D8360000}"/>
    <cellStyle name="Normal 3 14 13 9" xfId="8881" xr:uid="{00000000-0005-0000-0000-0000D9360000}"/>
    <cellStyle name="Normal 3 14 13 9 2" xfId="26486" xr:uid="{00000000-0005-0000-0000-0000DA360000}"/>
    <cellStyle name="Normal 3 14 14" xfId="8882" xr:uid="{00000000-0005-0000-0000-0000DB360000}"/>
    <cellStyle name="Normal 3 14 14 10" xfId="8883" xr:uid="{00000000-0005-0000-0000-0000DC360000}"/>
    <cellStyle name="Normal 3 14 14 10 2" xfId="26488" xr:uid="{00000000-0005-0000-0000-0000DD360000}"/>
    <cellStyle name="Normal 3 14 14 11" xfId="8884" xr:uid="{00000000-0005-0000-0000-0000DE360000}"/>
    <cellStyle name="Normal 3 14 14 11 2" xfId="26489" xr:uid="{00000000-0005-0000-0000-0000DF360000}"/>
    <cellStyle name="Normal 3 14 14 12" xfId="8885" xr:uid="{00000000-0005-0000-0000-0000E0360000}"/>
    <cellStyle name="Normal 3 14 14 12 2" xfId="26490" xr:uid="{00000000-0005-0000-0000-0000E1360000}"/>
    <cellStyle name="Normal 3 14 14 13" xfId="8886" xr:uid="{00000000-0005-0000-0000-0000E2360000}"/>
    <cellStyle name="Normal 3 14 14 13 2" xfId="26491" xr:uid="{00000000-0005-0000-0000-0000E3360000}"/>
    <cellStyle name="Normal 3 14 14 14" xfId="8887" xr:uid="{00000000-0005-0000-0000-0000E4360000}"/>
    <cellStyle name="Normal 3 14 14 14 2" xfId="26492" xr:uid="{00000000-0005-0000-0000-0000E5360000}"/>
    <cellStyle name="Normal 3 14 14 15" xfId="26487" xr:uid="{00000000-0005-0000-0000-0000E6360000}"/>
    <cellStyle name="Normal 3 14 14 2" xfId="8888" xr:uid="{00000000-0005-0000-0000-0000E7360000}"/>
    <cellStyle name="Normal 3 14 14 2 2" xfId="26493" xr:uid="{00000000-0005-0000-0000-0000E8360000}"/>
    <cellStyle name="Normal 3 14 14 3" xfId="8889" xr:uid="{00000000-0005-0000-0000-0000E9360000}"/>
    <cellStyle name="Normal 3 14 14 3 2" xfId="26494" xr:uid="{00000000-0005-0000-0000-0000EA360000}"/>
    <cellStyle name="Normal 3 14 14 4" xfId="8890" xr:uid="{00000000-0005-0000-0000-0000EB360000}"/>
    <cellStyle name="Normal 3 14 14 4 2" xfId="26495" xr:uid="{00000000-0005-0000-0000-0000EC360000}"/>
    <cellStyle name="Normal 3 14 14 5" xfId="8891" xr:uid="{00000000-0005-0000-0000-0000ED360000}"/>
    <cellStyle name="Normal 3 14 14 5 2" xfId="26496" xr:uid="{00000000-0005-0000-0000-0000EE360000}"/>
    <cellStyle name="Normal 3 14 14 6" xfId="8892" xr:uid="{00000000-0005-0000-0000-0000EF360000}"/>
    <cellStyle name="Normal 3 14 14 6 2" xfId="26497" xr:uid="{00000000-0005-0000-0000-0000F0360000}"/>
    <cellStyle name="Normal 3 14 14 7" xfId="8893" xr:uid="{00000000-0005-0000-0000-0000F1360000}"/>
    <cellStyle name="Normal 3 14 14 7 2" xfId="26498" xr:uid="{00000000-0005-0000-0000-0000F2360000}"/>
    <cellStyle name="Normal 3 14 14 8" xfId="8894" xr:uid="{00000000-0005-0000-0000-0000F3360000}"/>
    <cellStyle name="Normal 3 14 14 8 2" xfId="26499" xr:uid="{00000000-0005-0000-0000-0000F4360000}"/>
    <cellStyle name="Normal 3 14 14 9" xfId="8895" xr:uid="{00000000-0005-0000-0000-0000F5360000}"/>
    <cellStyle name="Normal 3 14 14 9 2" xfId="26500" xr:uid="{00000000-0005-0000-0000-0000F6360000}"/>
    <cellStyle name="Normal 3 14 15" xfId="8896" xr:uid="{00000000-0005-0000-0000-0000F7360000}"/>
    <cellStyle name="Normal 3 14 16" xfId="8897" xr:uid="{00000000-0005-0000-0000-0000F8360000}"/>
    <cellStyle name="Normal 3 14 17" xfId="8898" xr:uid="{00000000-0005-0000-0000-0000F9360000}"/>
    <cellStyle name="Normal 3 14 17 10" xfId="8899" xr:uid="{00000000-0005-0000-0000-0000FA360000}"/>
    <cellStyle name="Normal 3 14 17 10 2" xfId="26502" xr:uid="{00000000-0005-0000-0000-0000FB360000}"/>
    <cellStyle name="Normal 3 14 17 11" xfId="8900" xr:uid="{00000000-0005-0000-0000-0000FC360000}"/>
    <cellStyle name="Normal 3 14 17 11 2" xfId="26503" xr:uid="{00000000-0005-0000-0000-0000FD360000}"/>
    <cellStyle name="Normal 3 14 17 12" xfId="8901" xr:uid="{00000000-0005-0000-0000-0000FE360000}"/>
    <cellStyle name="Normal 3 14 17 12 2" xfId="26504" xr:uid="{00000000-0005-0000-0000-0000FF360000}"/>
    <cellStyle name="Normal 3 14 17 13" xfId="8902" xr:uid="{00000000-0005-0000-0000-000000370000}"/>
    <cellStyle name="Normal 3 14 17 13 2" xfId="26505" xr:uid="{00000000-0005-0000-0000-000001370000}"/>
    <cellStyle name="Normal 3 14 17 14" xfId="8903" xr:uid="{00000000-0005-0000-0000-000002370000}"/>
    <cellStyle name="Normal 3 14 17 14 2" xfId="26506" xr:uid="{00000000-0005-0000-0000-000003370000}"/>
    <cellStyle name="Normal 3 14 17 15" xfId="26501" xr:uid="{00000000-0005-0000-0000-000004370000}"/>
    <cellStyle name="Normal 3 14 17 2" xfId="8904" xr:uid="{00000000-0005-0000-0000-000005370000}"/>
    <cellStyle name="Normal 3 14 17 2 2" xfId="26507" xr:uid="{00000000-0005-0000-0000-000006370000}"/>
    <cellStyle name="Normal 3 14 17 3" xfId="8905" xr:uid="{00000000-0005-0000-0000-000007370000}"/>
    <cellStyle name="Normal 3 14 17 3 2" xfId="26508" xr:uid="{00000000-0005-0000-0000-000008370000}"/>
    <cellStyle name="Normal 3 14 17 4" xfId="8906" xr:uid="{00000000-0005-0000-0000-000009370000}"/>
    <cellStyle name="Normal 3 14 17 4 2" xfId="26509" xr:uid="{00000000-0005-0000-0000-00000A370000}"/>
    <cellStyle name="Normal 3 14 17 5" xfId="8907" xr:uid="{00000000-0005-0000-0000-00000B370000}"/>
    <cellStyle name="Normal 3 14 17 5 2" xfId="26510" xr:uid="{00000000-0005-0000-0000-00000C370000}"/>
    <cellStyle name="Normal 3 14 17 6" xfId="8908" xr:uid="{00000000-0005-0000-0000-00000D370000}"/>
    <cellStyle name="Normal 3 14 17 6 2" xfId="26511" xr:uid="{00000000-0005-0000-0000-00000E370000}"/>
    <cellStyle name="Normal 3 14 17 7" xfId="8909" xr:uid="{00000000-0005-0000-0000-00000F370000}"/>
    <cellStyle name="Normal 3 14 17 7 2" xfId="26512" xr:uid="{00000000-0005-0000-0000-000010370000}"/>
    <cellStyle name="Normal 3 14 17 8" xfId="8910" xr:uid="{00000000-0005-0000-0000-000011370000}"/>
    <cellStyle name="Normal 3 14 17 8 2" xfId="26513" xr:uid="{00000000-0005-0000-0000-000012370000}"/>
    <cellStyle name="Normal 3 14 17 9" xfId="8911" xr:uid="{00000000-0005-0000-0000-000013370000}"/>
    <cellStyle name="Normal 3 14 17 9 2" xfId="26514" xr:uid="{00000000-0005-0000-0000-000014370000}"/>
    <cellStyle name="Normal 3 14 18" xfId="8912" xr:uid="{00000000-0005-0000-0000-000015370000}"/>
    <cellStyle name="Normal 3 14 18 10" xfId="8913" xr:uid="{00000000-0005-0000-0000-000016370000}"/>
    <cellStyle name="Normal 3 14 18 10 2" xfId="26516" xr:uid="{00000000-0005-0000-0000-000017370000}"/>
    <cellStyle name="Normal 3 14 18 11" xfId="8914" xr:uid="{00000000-0005-0000-0000-000018370000}"/>
    <cellStyle name="Normal 3 14 18 11 2" xfId="26517" xr:uid="{00000000-0005-0000-0000-000019370000}"/>
    <cellStyle name="Normal 3 14 18 12" xfId="8915" xr:uid="{00000000-0005-0000-0000-00001A370000}"/>
    <cellStyle name="Normal 3 14 18 12 2" xfId="26518" xr:uid="{00000000-0005-0000-0000-00001B370000}"/>
    <cellStyle name="Normal 3 14 18 13" xfId="8916" xr:uid="{00000000-0005-0000-0000-00001C370000}"/>
    <cellStyle name="Normal 3 14 18 13 2" xfId="26519" xr:uid="{00000000-0005-0000-0000-00001D370000}"/>
    <cellStyle name="Normal 3 14 18 14" xfId="8917" xr:uid="{00000000-0005-0000-0000-00001E370000}"/>
    <cellStyle name="Normal 3 14 18 14 2" xfId="26520" xr:uid="{00000000-0005-0000-0000-00001F370000}"/>
    <cellStyle name="Normal 3 14 18 15" xfId="26515" xr:uid="{00000000-0005-0000-0000-000020370000}"/>
    <cellStyle name="Normal 3 14 18 2" xfId="8918" xr:uid="{00000000-0005-0000-0000-000021370000}"/>
    <cellStyle name="Normal 3 14 18 2 2" xfId="26521" xr:uid="{00000000-0005-0000-0000-000022370000}"/>
    <cellStyle name="Normal 3 14 18 3" xfId="8919" xr:uid="{00000000-0005-0000-0000-000023370000}"/>
    <cellStyle name="Normal 3 14 18 3 2" xfId="26522" xr:uid="{00000000-0005-0000-0000-000024370000}"/>
    <cellStyle name="Normal 3 14 18 4" xfId="8920" xr:uid="{00000000-0005-0000-0000-000025370000}"/>
    <cellStyle name="Normal 3 14 18 4 2" xfId="26523" xr:uid="{00000000-0005-0000-0000-000026370000}"/>
    <cellStyle name="Normal 3 14 18 5" xfId="8921" xr:uid="{00000000-0005-0000-0000-000027370000}"/>
    <cellStyle name="Normal 3 14 18 5 2" xfId="26524" xr:uid="{00000000-0005-0000-0000-000028370000}"/>
    <cellStyle name="Normal 3 14 18 6" xfId="8922" xr:uid="{00000000-0005-0000-0000-000029370000}"/>
    <cellStyle name="Normal 3 14 18 6 2" xfId="26525" xr:uid="{00000000-0005-0000-0000-00002A370000}"/>
    <cellStyle name="Normal 3 14 18 7" xfId="8923" xr:uid="{00000000-0005-0000-0000-00002B370000}"/>
    <cellStyle name="Normal 3 14 18 7 2" xfId="26526" xr:uid="{00000000-0005-0000-0000-00002C370000}"/>
    <cellStyle name="Normal 3 14 18 8" xfId="8924" xr:uid="{00000000-0005-0000-0000-00002D370000}"/>
    <cellStyle name="Normal 3 14 18 8 2" xfId="26527" xr:uid="{00000000-0005-0000-0000-00002E370000}"/>
    <cellStyle name="Normal 3 14 18 9" xfId="8925" xr:uid="{00000000-0005-0000-0000-00002F370000}"/>
    <cellStyle name="Normal 3 14 18 9 2" xfId="26528" xr:uid="{00000000-0005-0000-0000-000030370000}"/>
    <cellStyle name="Normal 3 14 2" xfId="8926" xr:uid="{00000000-0005-0000-0000-000031370000}"/>
    <cellStyle name="Normal 3 14 2 10" xfId="8927" xr:uid="{00000000-0005-0000-0000-000032370000}"/>
    <cellStyle name="Normal 3 14 2 10 2" xfId="26530" xr:uid="{00000000-0005-0000-0000-000033370000}"/>
    <cellStyle name="Normal 3 14 2 11" xfId="8928" xr:uid="{00000000-0005-0000-0000-000034370000}"/>
    <cellStyle name="Normal 3 14 2 11 2" xfId="26531" xr:uid="{00000000-0005-0000-0000-000035370000}"/>
    <cellStyle name="Normal 3 14 2 12" xfId="8929" xr:uid="{00000000-0005-0000-0000-000036370000}"/>
    <cellStyle name="Normal 3 14 2 12 2" xfId="26532" xr:uid="{00000000-0005-0000-0000-000037370000}"/>
    <cellStyle name="Normal 3 14 2 13" xfId="8930" xr:uid="{00000000-0005-0000-0000-000038370000}"/>
    <cellStyle name="Normal 3 14 2 13 2" xfId="26533" xr:uid="{00000000-0005-0000-0000-000039370000}"/>
    <cellStyle name="Normal 3 14 2 14" xfId="8931" xr:uid="{00000000-0005-0000-0000-00003A370000}"/>
    <cellStyle name="Normal 3 14 2 14 2" xfId="26534" xr:uid="{00000000-0005-0000-0000-00003B370000}"/>
    <cellStyle name="Normal 3 14 2 15" xfId="8932" xr:uid="{00000000-0005-0000-0000-00003C370000}"/>
    <cellStyle name="Normal 3 14 2 15 2" xfId="26535" xr:uid="{00000000-0005-0000-0000-00003D370000}"/>
    <cellStyle name="Normal 3 14 2 16" xfId="8933" xr:uid="{00000000-0005-0000-0000-00003E370000}"/>
    <cellStyle name="Normal 3 14 2 16 2" xfId="26536" xr:uid="{00000000-0005-0000-0000-00003F370000}"/>
    <cellStyle name="Normal 3 14 2 17" xfId="8934" xr:uid="{00000000-0005-0000-0000-000040370000}"/>
    <cellStyle name="Normal 3 14 2 17 2" xfId="26537" xr:uid="{00000000-0005-0000-0000-000041370000}"/>
    <cellStyle name="Normal 3 14 2 18" xfId="26529" xr:uid="{00000000-0005-0000-0000-000042370000}"/>
    <cellStyle name="Normal 3 14 2 2" xfId="8935" xr:uid="{00000000-0005-0000-0000-000043370000}"/>
    <cellStyle name="Normal 3 14 2 3" xfId="8936" xr:uid="{00000000-0005-0000-0000-000044370000}"/>
    <cellStyle name="Normal 3 14 2 4" xfId="8937" xr:uid="{00000000-0005-0000-0000-000045370000}"/>
    <cellStyle name="Normal 3 14 2 5" xfId="8938" xr:uid="{00000000-0005-0000-0000-000046370000}"/>
    <cellStyle name="Normal 3 14 2 5 2" xfId="26538" xr:uid="{00000000-0005-0000-0000-000047370000}"/>
    <cellStyle name="Normal 3 14 2 6" xfId="8939" xr:uid="{00000000-0005-0000-0000-000048370000}"/>
    <cellStyle name="Normal 3 14 2 6 2" xfId="26539" xr:uid="{00000000-0005-0000-0000-000049370000}"/>
    <cellStyle name="Normal 3 14 2 7" xfId="8940" xr:uid="{00000000-0005-0000-0000-00004A370000}"/>
    <cellStyle name="Normal 3 14 2 7 2" xfId="26540" xr:uid="{00000000-0005-0000-0000-00004B370000}"/>
    <cellStyle name="Normal 3 14 2 8" xfId="8941" xr:uid="{00000000-0005-0000-0000-00004C370000}"/>
    <cellStyle name="Normal 3 14 2 8 2" xfId="26541" xr:uid="{00000000-0005-0000-0000-00004D370000}"/>
    <cellStyle name="Normal 3 14 2 9" xfId="8942" xr:uid="{00000000-0005-0000-0000-00004E370000}"/>
    <cellStyle name="Normal 3 14 2 9 2" xfId="26542" xr:uid="{00000000-0005-0000-0000-00004F370000}"/>
    <cellStyle name="Normal 3 14 3" xfId="8943" xr:uid="{00000000-0005-0000-0000-000050370000}"/>
    <cellStyle name="Normal 3 14 4" xfId="8944" xr:uid="{00000000-0005-0000-0000-000051370000}"/>
    <cellStyle name="Normal 3 14 5" xfId="8945" xr:uid="{00000000-0005-0000-0000-000052370000}"/>
    <cellStyle name="Normal 3 14 6" xfId="8946" xr:uid="{00000000-0005-0000-0000-000053370000}"/>
    <cellStyle name="Normal 3 14 6 10" xfId="8947" xr:uid="{00000000-0005-0000-0000-000054370000}"/>
    <cellStyle name="Normal 3 14 6 10 2" xfId="26544" xr:uid="{00000000-0005-0000-0000-000055370000}"/>
    <cellStyle name="Normal 3 14 6 11" xfId="8948" xr:uid="{00000000-0005-0000-0000-000056370000}"/>
    <cellStyle name="Normal 3 14 6 11 2" xfId="26545" xr:uid="{00000000-0005-0000-0000-000057370000}"/>
    <cellStyle name="Normal 3 14 6 12" xfId="8949" xr:uid="{00000000-0005-0000-0000-000058370000}"/>
    <cellStyle name="Normal 3 14 6 12 2" xfId="26546" xr:uid="{00000000-0005-0000-0000-000059370000}"/>
    <cellStyle name="Normal 3 14 6 13" xfId="8950" xr:uid="{00000000-0005-0000-0000-00005A370000}"/>
    <cellStyle name="Normal 3 14 6 13 2" xfId="26547" xr:uid="{00000000-0005-0000-0000-00005B370000}"/>
    <cellStyle name="Normal 3 14 6 14" xfId="8951" xr:uid="{00000000-0005-0000-0000-00005C370000}"/>
    <cellStyle name="Normal 3 14 6 14 2" xfId="26548" xr:uid="{00000000-0005-0000-0000-00005D370000}"/>
    <cellStyle name="Normal 3 14 6 15" xfId="8952" xr:uid="{00000000-0005-0000-0000-00005E370000}"/>
    <cellStyle name="Normal 3 14 6 15 2" xfId="26549" xr:uid="{00000000-0005-0000-0000-00005F370000}"/>
    <cellStyle name="Normal 3 14 6 16" xfId="26543" xr:uid="{00000000-0005-0000-0000-000060370000}"/>
    <cellStyle name="Normal 3 14 6 2" xfId="8953" xr:uid="{00000000-0005-0000-0000-000061370000}"/>
    <cellStyle name="Normal 3 14 6 2 10" xfId="8954" xr:uid="{00000000-0005-0000-0000-000062370000}"/>
    <cellStyle name="Normal 3 14 6 2 10 2" xfId="26551" xr:uid="{00000000-0005-0000-0000-000063370000}"/>
    <cellStyle name="Normal 3 14 6 2 11" xfId="8955" xr:uid="{00000000-0005-0000-0000-000064370000}"/>
    <cellStyle name="Normal 3 14 6 2 11 2" xfId="26552" xr:uid="{00000000-0005-0000-0000-000065370000}"/>
    <cellStyle name="Normal 3 14 6 2 12" xfId="8956" xr:uid="{00000000-0005-0000-0000-000066370000}"/>
    <cellStyle name="Normal 3 14 6 2 12 2" xfId="26553" xr:uid="{00000000-0005-0000-0000-000067370000}"/>
    <cellStyle name="Normal 3 14 6 2 13" xfId="8957" xr:uid="{00000000-0005-0000-0000-000068370000}"/>
    <cellStyle name="Normal 3 14 6 2 13 2" xfId="26554" xr:uid="{00000000-0005-0000-0000-000069370000}"/>
    <cellStyle name="Normal 3 14 6 2 14" xfId="8958" xr:uid="{00000000-0005-0000-0000-00006A370000}"/>
    <cellStyle name="Normal 3 14 6 2 14 2" xfId="26555" xr:uid="{00000000-0005-0000-0000-00006B370000}"/>
    <cellStyle name="Normal 3 14 6 2 15" xfId="26550" xr:uid="{00000000-0005-0000-0000-00006C370000}"/>
    <cellStyle name="Normal 3 14 6 2 2" xfId="8959" xr:uid="{00000000-0005-0000-0000-00006D370000}"/>
    <cellStyle name="Normal 3 14 6 2 2 2" xfId="26556" xr:uid="{00000000-0005-0000-0000-00006E370000}"/>
    <cellStyle name="Normal 3 14 6 2 3" xfId="8960" xr:uid="{00000000-0005-0000-0000-00006F370000}"/>
    <cellStyle name="Normal 3 14 6 2 3 2" xfId="26557" xr:uid="{00000000-0005-0000-0000-000070370000}"/>
    <cellStyle name="Normal 3 14 6 2 4" xfId="8961" xr:uid="{00000000-0005-0000-0000-000071370000}"/>
    <cellStyle name="Normal 3 14 6 2 4 2" xfId="26558" xr:uid="{00000000-0005-0000-0000-000072370000}"/>
    <cellStyle name="Normal 3 14 6 2 5" xfId="8962" xr:uid="{00000000-0005-0000-0000-000073370000}"/>
    <cellStyle name="Normal 3 14 6 2 5 2" xfId="26559" xr:uid="{00000000-0005-0000-0000-000074370000}"/>
    <cellStyle name="Normal 3 14 6 2 6" xfId="8963" xr:uid="{00000000-0005-0000-0000-000075370000}"/>
    <cellStyle name="Normal 3 14 6 2 6 2" xfId="26560" xr:uid="{00000000-0005-0000-0000-000076370000}"/>
    <cellStyle name="Normal 3 14 6 2 7" xfId="8964" xr:uid="{00000000-0005-0000-0000-000077370000}"/>
    <cellStyle name="Normal 3 14 6 2 7 2" xfId="26561" xr:uid="{00000000-0005-0000-0000-000078370000}"/>
    <cellStyle name="Normal 3 14 6 2 8" xfId="8965" xr:uid="{00000000-0005-0000-0000-000079370000}"/>
    <cellStyle name="Normal 3 14 6 2 8 2" xfId="26562" xr:uid="{00000000-0005-0000-0000-00007A370000}"/>
    <cellStyle name="Normal 3 14 6 2 9" xfId="8966" xr:uid="{00000000-0005-0000-0000-00007B370000}"/>
    <cellStyle name="Normal 3 14 6 2 9 2" xfId="26563" xr:uid="{00000000-0005-0000-0000-00007C370000}"/>
    <cellStyle name="Normal 3 14 6 3" xfId="8967" xr:uid="{00000000-0005-0000-0000-00007D370000}"/>
    <cellStyle name="Normal 3 14 6 3 2" xfId="26564" xr:uid="{00000000-0005-0000-0000-00007E370000}"/>
    <cellStyle name="Normal 3 14 6 4" xfId="8968" xr:uid="{00000000-0005-0000-0000-00007F370000}"/>
    <cellStyle name="Normal 3 14 6 4 2" xfId="26565" xr:uid="{00000000-0005-0000-0000-000080370000}"/>
    <cellStyle name="Normal 3 14 6 5" xfId="8969" xr:uid="{00000000-0005-0000-0000-000081370000}"/>
    <cellStyle name="Normal 3 14 6 5 2" xfId="26566" xr:uid="{00000000-0005-0000-0000-000082370000}"/>
    <cellStyle name="Normal 3 14 6 6" xfId="8970" xr:uid="{00000000-0005-0000-0000-000083370000}"/>
    <cellStyle name="Normal 3 14 6 6 2" xfId="26567" xr:uid="{00000000-0005-0000-0000-000084370000}"/>
    <cellStyle name="Normal 3 14 6 7" xfId="8971" xr:uid="{00000000-0005-0000-0000-000085370000}"/>
    <cellStyle name="Normal 3 14 6 7 2" xfId="26568" xr:uid="{00000000-0005-0000-0000-000086370000}"/>
    <cellStyle name="Normal 3 14 6 8" xfId="8972" xr:uid="{00000000-0005-0000-0000-000087370000}"/>
    <cellStyle name="Normal 3 14 6 8 2" xfId="26569" xr:uid="{00000000-0005-0000-0000-000088370000}"/>
    <cellStyle name="Normal 3 14 6 9" xfId="8973" xr:uid="{00000000-0005-0000-0000-000089370000}"/>
    <cellStyle name="Normal 3 14 6 9 2" xfId="26570" xr:uid="{00000000-0005-0000-0000-00008A370000}"/>
    <cellStyle name="Normal 3 14 7" xfId="8974" xr:uid="{00000000-0005-0000-0000-00008B370000}"/>
    <cellStyle name="Normal 3 14 7 10" xfId="8975" xr:uid="{00000000-0005-0000-0000-00008C370000}"/>
    <cellStyle name="Normal 3 14 7 10 2" xfId="26572" xr:uid="{00000000-0005-0000-0000-00008D370000}"/>
    <cellStyle name="Normal 3 14 7 11" xfId="8976" xr:uid="{00000000-0005-0000-0000-00008E370000}"/>
    <cellStyle name="Normal 3 14 7 11 2" xfId="26573" xr:uid="{00000000-0005-0000-0000-00008F370000}"/>
    <cellStyle name="Normal 3 14 7 12" xfId="8977" xr:uid="{00000000-0005-0000-0000-000090370000}"/>
    <cellStyle name="Normal 3 14 7 12 2" xfId="26574" xr:uid="{00000000-0005-0000-0000-000091370000}"/>
    <cellStyle name="Normal 3 14 7 13" xfId="8978" xr:uid="{00000000-0005-0000-0000-000092370000}"/>
    <cellStyle name="Normal 3 14 7 13 2" xfId="26575" xr:uid="{00000000-0005-0000-0000-000093370000}"/>
    <cellStyle name="Normal 3 14 7 14" xfId="8979" xr:uid="{00000000-0005-0000-0000-000094370000}"/>
    <cellStyle name="Normal 3 14 7 14 2" xfId="26576" xr:uid="{00000000-0005-0000-0000-000095370000}"/>
    <cellStyle name="Normal 3 14 7 15" xfId="8980" xr:uid="{00000000-0005-0000-0000-000096370000}"/>
    <cellStyle name="Normal 3 14 7 15 2" xfId="26577" xr:uid="{00000000-0005-0000-0000-000097370000}"/>
    <cellStyle name="Normal 3 14 7 16" xfId="26571" xr:uid="{00000000-0005-0000-0000-000098370000}"/>
    <cellStyle name="Normal 3 14 7 2" xfId="8981" xr:uid="{00000000-0005-0000-0000-000099370000}"/>
    <cellStyle name="Normal 3 14 7 2 10" xfId="8982" xr:uid="{00000000-0005-0000-0000-00009A370000}"/>
    <cellStyle name="Normal 3 14 7 2 10 2" xfId="26579" xr:uid="{00000000-0005-0000-0000-00009B370000}"/>
    <cellStyle name="Normal 3 14 7 2 11" xfId="8983" xr:uid="{00000000-0005-0000-0000-00009C370000}"/>
    <cellStyle name="Normal 3 14 7 2 11 2" xfId="26580" xr:uid="{00000000-0005-0000-0000-00009D370000}"/>
    <cellStyle name="Normal 3 14 7 2 12" xfId="8984" xr:uid="{00000000-0005-0000-0000-00009E370000}"/>
    <cellStyle name="Normal 3 14 7 2 12 2" xfId="26581" xr:uid="{00000000-0005-0000-0000-00009F370000}"/>
    <cellStyle name="Normal 3 14 7 2 13" xfId="8985" xr:uid="{00000000-0005-0000-0000-0000A0370000}"/>
    <cellStyle name="Normal 3 14 7 2 13 2" xfId="26582" xr:uid="{00000000-0005-0000-0000-0000A1370000}"/>
    <cellStyle name="Normal 3 14 7 2 14" xfId="8986" xr:uid="{00000000-0005-0000-0000-0000A2370000}"/>
    <cellStyle name="Normal 3 14 7 2 14 2" xfId="26583" xr:uid="{00000000-0005-0000-0000-0000A3370000}"/>
    <cellStyle name="Normal 3 14 7 2 15" xfId="26578" xr:uid="{00000000-0005-0000-0000-0000A4370000}"/>
    <cellStyle name="Normal 3 14 7 2 2" xfId="8987" xr:uid="{00000000-0005-0000-0000-0000A5370000}"/>
    <cellStyle name="Normal 3 14 7 2 2 2" xfId="26584" xr:uid="{00000000-0005-0000-0000-0000A6370000}"/>
    <cellStyle name="Normal 3 14 7 2 3" xfId="8988" xr:uid="{00000000-0005-0000-0000-0000A7370000}"/>
    <cellStyle name="Normal 3 14 7 2 3 2" xfId="26585" xr:uid="{00000000-0005-0000-0000-0000A8370000}"/>
    <cellStyle name="Normal 3 14 7 2 4" xfId="8989" xr:uid="{00000000-0005-0000-0000-0000A9370000}"/>
    <cellStyle name="Normal 3 14 7 2 4 2" xfId="26586" xr:uid="{00000000-0005-0000-0000-0000AA370000}"/>
    <cellStyle name="Normal 3 14 7 2 5" xfId="8990" xr:uid="{00000000-0005-0000-0000-0000AB370000}"/>
    <cellStyle name="Normal 3 14 7 2 5 2" xfId="26587" xr:uid="{00000000-0005-0000-0000-0000AC370000}"/>
    <cellStyle name="Normal 3 14 7 2 6" xfId="8991" xr:uid="{00000000-0005-0000-0000-0000AD370000}"/>
    <cellStyle name="Normal 3 14 7 2 6 2" xfId="26588" xr:uid="{00000000-0005-0000-0000-0000AE370000}"/>
    <cellStyle name="Normal 3 14 7 2 7" xfId="8992" xr:uid="{00000000-0005-0000-0000-0000AF370000}"/>
    <cellStyle name="Normal 3 14 7 2 7 2" xfId="26589" xr:uid="{00000000-0005-0000-0000-0000B0370000}"/>
    <cellStyle name="Normal 3 14 7 2 8" xfId="8993" xr:uid="{00000000-0005-0000-0000-0000B1370000}"/>
    <cellStyle name="Normal 3 14 7 2 8 2" xfId="26590" xr:uid="{00000000-0005-0000-0000-0000B2370000}"/>
    <cellStyle name="Normal 3 14 7 2 9" xfId="8994" xr:uid="{00000000-0005-0000-0000-0000B3370000}"/>
    <cellStyle name="Normal 3 14 7 2 9 2" xfId="26591" xr:uid="{00000000-0005-0000-0000-0000B4370000}"/>
    <cellStyle name="Normal 3 14 7 3" xfId="8995" xr:uid="{00000000-0005-0000-0000-0000B5370000}"/>
    <cellStyle name="Normal 3 14 7 3 2" xfId="26592" xr:uid="{00000000-0005-0000-0000-0000B6370000}"/>
    <cellStyle name="Normal 3 14 7 4" xfId="8996" xr:uid="{00000000-0005-0000-0000-0000B7370000}"/>
    <cellStyle name="Normal 3 14 7 4 2" xfId="26593" xr:uid="{00000000-0005-0000-0000-0000B8370000}"/>
    <cellStyle name="Normal 3 14 7 5" xfId="8997" xr:uid="{00000000-0005-0000-0000-0000B9370000}"/>
    <cellStyle name="Normal 3 14 7 5 2" xfId="26594" xr:uid="{00000000-0005-0000-0000-0000BA370000}"/>
    <cellStyle name="Normal 3 14 7 6" xfId="8998" xr:uid="{00000000-0005-0000-0000-0000BB370000}"/>
    <cellStyle name="Normal 3 14 7 6 2" xfId="26595" xr:uid="{00000000-0005-0000-0000-0000BC370000}"/>
    <cellStyle name="Normal 3 14 7 7" xfId="8999" xr:uid="{00000000-0005-0000-0000-0000BD370000}"/>
    <cellStyle name="Normal 3 14 7 7 2" xfId="26596" xr:uid="{00000000-0005-0000-0000-0000BE370000}"/>
    <cellStyle name="Normal 3 14 7 8" xfId="9000" xr:uid="{00000000-0005-0000-0000-0000BF370000}"/>
    <cellStyle name="Normal 3 14 7 8 2" xfId="26597" xr:uid="{00000000-0005-0000-0000-0000C0370000}"/>
    <cellStyle name="Normal 3 14 7 9" xfId="9001" xr:uid="{00000000-0005-0000-0000-0000C1370000}"/>
    <cellStyle name="Normal 3 14 7 9 2" xfId="26598" xr:uid="{00000000-0005-0000-0000-0000C2370000}"/>
    <cellStyle name="Normal 3 14 8" xfId="9002" xr:uid="{00000000-0005-0000-0000-0000C3370000}"/>
    <cellStyle name="Normal 3 14 8 10" xfId="9003" xr:uid="{00000000-0005-0000-0000-0000C4370000}"/>
    <cellStyle name="Normal 3 14 8 10 2" xfId="26600" xr:uid="{00000000-0005-0000-0000-0000C5370000}"/>
    <cellStyle name="Normal 3 14 8 11" xfId="9004" xr:uid="{00000000-0005-0000-0000-0000C6370000}"/>
    <cellStyle name="Normal 3 14 8 11 2" xfId="26601" xr:uid="{00000000-0005-0000-0000-0000C7370000}"/>
    <cellStyle name="Normal 3 14 8 12" xfId="9005" xr:uid="{00000000-0005-0000-0000-0000C8370000}"/>
    <cellStyle name="Normal 3 14 8 12 2" xfId="26602" xr:uid="{00000000-0005-0000-0000-0000C9370000}"/>
    <cellStyle name="Normal 3 14 8 13" xfId="9006" xr:uid="{00000000-0005-0000-0000-0000CA370000}"/>
    <cellStyle name="Normal 3 14 8 13 2" xfId="26603" xr:uid="{00000000-0005-0000-0000-0000CB370000}"/>
    <cellStyle name="Normal 3 14 8 14" xfId="9007" xr:uid="{00000000-0005-0000-0000-0000CC370000}"/>
    <cellStyle name="Normal 3 14 8 14 2" xfId="26604" xr:uid="{00000000-0005-0000-0000-0000CD370000}"/>
    <cellStyle name="Normal 3 14 8 15" xfId="9008" xr:uid="{00000000-0005-0000-0000-0000CE370000}"/>
    <cellStyle name="Normal 3 14 8 15 2" xfId="26605" xr:uid="{00000000-0005-0000-0000-0000CF370000}"/>
    <cellStyle name="Normal 3 14 8 16" xfId="26599" xr:uid="{00000000-0005-0000-0000-0000D0370000}"/>
    <cellStyle name="Normal 3 14 8 2" xfId="9009" xr:uid="{00000000-0005-0000-0000-0000D1370000}"/>
    <cellStyle name="Normal 3 14 8 2 10" xfId="9010" xr:uid="{00000000-0005-0000-0000-0000D2370000}"/>
    <cellStyle name="Normal 3 14 8 2 10 2" xfId="26607" xr:uid="{00000000-0005-0000-0000-0000D3370000}"/>
    <cellStyle name="Normal 3 14 8 2 11" xfId="9011" xr:uid="{00000000-0005-0000-0000-0000D4370000}"/>
    <cellStyle name="Normal 3 14 8 2 11 2" xfId="26608" xr:uid="{00000000-0005-0000-0000-0000D5370000}"/>
    <cellStyle name="Normal 3 14 8 2 12" xfId="9012" xr:uid="{00000000-0005-0000-0000-0000D6370000}"/>
    <cellStyle name="Normal 3 14 8 2 12 2" xfId="26609" xr:uid="{00000000-0005-0000-0000-0000D7370000}"/>
    <cellStyle name="Normal 3 14 8 2 13" xfId="9013" xr:uid="{00000000-0005-0000-0000-0000D8370000}"/>
    <cellStyle name="Normal 3 14 8 2 13 2" xfId="26610" xr:uid="{00000000-0005-0000-0000-0000D9370000}"/>
    <cellStyle name="Normal 3 14 8 2 14" xfId="9014" xr:uid="{00000000-0005-0000-0000-0000DA370000}"/>
    <cellStyle name="Normal 3 14 8 2 14 2" xfId="26611" xr:uid="{00000000-0005-0000-0000-0000DB370000}"/>
    <cellStyle name="Normal 3 14 8 2 15" xfId="26606" xr:uid="{00000000-0005-0000-0000-0000DC370000}"/>
    <cellStyle name="Normal 3 14 8 2 2" xfId="9015" xr:uid="{00000000-0005-0000-0000-0000DD370000}"/>
    <cellStyle name="Normal 3 14 8 2 2 2" xfId="26612" xr:uid="{00000000-0005-0000-0000-0000DE370000}"/>
    <cellStyle name="Normal 3 14 8 2 3" xfId="9016" xr:uid="{00000000-0005-0000-0000-0000DF370000}"/>
    <cellStyle name="Normal 3 14 8 2 3 2" xfId="26613" xr:uid="{00000000-0005-0000-0000-0000E0370000}"/>
    <cellStyle name="Normal 3 14 8 2 4" xfId="9017" xr:uid="{00000000-0005-0000-0000-0000E1370000}"/>
    <cellStyle name="Normal 3 14 8 2 4 2" xfId="26614" xr:uid="{00000000-0005-0000-0000-0000E2370000}"/>
    <cellStyle name="Normal 3 14 8 2 5" xfId="9018" xr:uid="{00000000-0005-0000-0000-0000E3370000}"/>
    <cellStyle name="Normal 3 14 8 2 5 2" xfId="26615" xr:uid="{00000000-0005-0000-0000-0000E4370000}"/>
    <cellStyle name="Normal 3 14 8 2 6" xfId="9019" xr:uid="{00000000-0005-0000-0000-0000E5370000}"/>
    <cellStyle name="Normal 3 14 8 2 6 2" xfId="26616" xr:uid="{00000000-0005-0000-0000-0000E6370000}"/>
    <cellStyle name="Normal 3 14 8 2 7" xfId="9020" xr:uid="{00000000-0005-0000-0000-0000E7370000}"/>
    <cellStyle name="Normal 3 14 8 2 7 2" xfId="26617" xr:uid="{00000000-0005-0000-0000-0000E8370000}"/>
    <cellStyle name="Normal 3 14 8 2 8" xfId="9021" xr:uid="{00000000-0005-0000-0000-0000E9370000}"/>
    <cellStyle name="Normal 3 14 8 2 8 2" xfId="26618" xr:uid="{00000000-0005-0000-0000-0000EA370000}"/>
    <cellStyle name="Normal 3 14 8 2 9" xfId="9022" xr:uid="{00000000-0005-0000-0000-0000EB370000}"/>
    <cellStyle name="Normal 3 14 8 2 9 2" xfId="26619" xr:uid="{00000000-0005-0000-0000-0000EC370000}"/>
    <cellStyle name="Normal 3 14 8 3" xfId="9023" xr:uid="{00000000-0005-0000-0000-0000ED370000}"/>
    <cellStyle name="Normal 3 14 8 3 2" xfId="26620" xr:uid="{00000000-0005-0000-0000-0000EE370000}"/>
    <cellStyle name="Normal 3 14 8 4" xfId="9024" xr:uid="{00000000-0005-0000-0000-0000EF370000}"/>
    <cellStyle name="Normal 3 14 8 4 2" xfId="26621" xr:uid="{00000000-0005-0000-0000-0000F0370000}"/>
    <cellStyle name="Normal 3 14 8 5" xfId="9025" xr:uid="{00000000-0005-0000-0000-0000F1370000}"/>
    <cellStyle name="Normal 3 14 8 5 2" xfId="26622" xr:uid="{00000000-0005-0000-0000-0000F2370000}"/>
    <cellStyle name="Normal 3 14 8 6" xfId="9026" xr:uid="{00000000-0005-0000-0000-0000F3370000}"/>
    <cellStyle name="Normal 3 14 8 6 2" xfId="26623" xr:uid="{00000000-0005-0000-0000-0000F4370000}"/>
    <cellStyle name="Normal 3 14 8 7" xfId="9027" xr:uid="{00000000-0005-0000-0000-0000F5370000}"/>
    <cellStyle name="Normal 3 14 8 7 2" xfId="26624" xr:uid="{00000000-0005-0000-0000-0000F6370000}"/>
    <cellStyle name="Normal 3 14 8 8" xfId="9028" xr:uid="{00000000-0005-0000-0000-0000F7370000}"/>
    <cellStyle name="Normal 3 14 8 8 2" xfId="26625" xr:uid="{00000000-0005-0000-0000-0000F8370000}"/>
    <cellStyle name="Normal 3 14 8 9" xfId="9029" xr:uid="{00000000-0005-0000-0000-0000F9370000}"/>
    <cellStyle name="Normal 3 14 8 9 2" xfId="26626" xr:uid="{00000000-0005-0000-0000-0000FA370000}"/>
    <cellStyle name="Normal 3 14 9" xfId="9030" xr:uid="{00000000-0005-0000-0000-0000FB370000}"/>
    <cellStyle name="Normal 3 14 9 10" xfId="9031" xr:uid="{00000000-0005-0000-0000-0000FC370000}"/>
    <cellStyle name="Normal 3 14 9 10 2" xfId="26628" xr:uid="{00000000-0005-0000-0000-0000FD370000}"/>
    <cellStyle name="Normal 3 14 9 11" xfId="9032" xr:uid="{00000000-0005-0000-0000-0000FE370000}"/>
    <cellStyle name="Normal 3 14 9 11 2" xfId="26629" xr:uid="{00000000-0005-0000-0000-0000FF370000}"/>
    <cellStyle name="Normal 3 14 9 12" xfId="9033" xr:uid="{00000000-0005-0000-0000-000000380000}"/>
    <cellStyle name="Normal 3 14 9 12 2" xfId="26630" xr:uid="{00000000-0005-0000-0000-000001380000}"/>
    <cellStyle name="Normal 3 14 9 13" xfId="9034" xr:uid="{00000000-0005-0000-0000-000002380000}"/>
    <cellStyle name="Normal 3 14 9 13 2" xfId="26631" xr:uid="{00000000-0005-0000-0000-000003380000}"/>
    <cellStyle name="Normal 3 14 9 14" xfId="9035" xr:uid="{00000000-0005-0000-0000-000004380000}"/>
    <cellStyle name="Normal 3 14 9 14 2" xfId="26632" xr:uid="{00000000-0005-0000-0000-000005380000}"/>
    <cellStyle name="Normal 3 14 9 15" xfId="26627" xr:uid="{00000000-0005-0000-0000-000006380000}"/>
    <cellStyle name="Normal 3 14 9 2" xfId="9036" xr:uid="{00000000-0005-0000-0000-000007380000}"/>
    <cellStyle name="Normal 3 14 9 2 2" xfId="26633" xr:uid="{00000000-0005-0000-0000-000008380000}"/>
    <cellStyle name="Normal 3 14 9 3" xfId="9037" xr:uid="{00000000-0005-0000-0000-000009380000}"/>
    <cellStyle name="Normal 3 14 9 3 2" xfId="26634" xr:uid="{00000000-0005-0000-0000-00000A380000}"/>
    <cellStyle name="Normal 3 14 9 4" xfId="9038" xr:uid="{00000000-0005-0000-0000-00000B380000}"/>
    <cellStyle name="Normal 3 14 9 4 2" xfId="26635" xr:uid="{00000000-0005-0000-0000-00000C380000}"/>
    <cellStyle name="Normal 3 14 9 5" xfId="9039" xr:uid="{00000000-0005-0000-0000-00000D380000}"/>
    <cellStyle name="Normal 3 14 9 5 2" xfId="26636" xr:uid="{00000000-0005-0000-0000-00000E380000}"/>
    <cellStyle name="Normal 3 14 9 6" xfId="9040" xr:uid="{00000000-0005-0000-0000-00000F380000}"/>
    <cellStyle name="Normal 3 14 9 6 2" xfId="26637" xr:uid="{00000000-0005-0000-0000-000010380000}"/>
    <cellStyle name="Normal 3 14 9 7" xfId="9041" xr:uid="{00000000-0005-0000-0000-000011380000}"/>
    <cellStyle name="Normal 3 14 9 7 2" xfId="26638" xr:uid="{00000000-0005-0000-0000-000012380000}"/>
    <cellStyle name="Normal 3 14 9 8" xfId="9042" xr:uid="{00000000-0005-0000-0000-000013380000}"/>
    <cellStyle name="Normal 3 14 9 8 2" xfId="26639" xr:uid="{00000000-0005-0000-0000-000014380000}"/>
    <cellStyle name="Normal 3 14 9 9" xfId="9043" xr:uid="{00000000-0005-0000-0000-000015380000}"/>
    <cellStyle name="Normal 3 14 9 9 2" xfId="26640" xr:uid="{00000000-0005-0000-0000-000016380000}"/>
    <cellStyle name="Normal 3 15" xfId="9044" xr:uid="{00000000-0005-0000-0000-000017380000}"/>
    <cellStyle name="Normal 3 15 10" xfId="9045" xr:uid="{00000000-0005-0000-0000-000018380000}"/>
    <cellStyle name="Normal 3 15 10 10" xfId="9046" xr:uid="{00000000-0005-0000-0000-000019380000}"/>
    <cellStyle name="Normal 3 15 10 10 2" xfId="26642" xr:uid="{00000000-0005-0000-0000-00001A380000}"/>
    <cellStyle name="Normal 3 15 10 11" xfId="9047" xr:uid="{00000000-0005-0000-0000-00001B380000}"/>
    <cellStyle name="Normal 3 15 10 11 2" xfId="26643" xr:uid="{00000000-0005-0000-0000-00001C380000}"/>
    <cellStyle name="Normal 3 15 10 12" xfId="9048" xr:uid="{00000000-0005-0000-0000-00001D380000}"/>
    <cellStyle name="Normal 3 15 10 12 2" xfId="26644" xr:uid="{00000000-0005-0000-0000-00001E380000}"/>
    <cellStyle name="Normal 3 15 10 13" xfId="9049" xr:uid="{00000000-0005-0000-0000-00001F380000}"/>
    <cellStyle name="Normal 3 15 10 13 2" xfId="26645" xr:uid="{00000000-0005-0000-0000-000020380000}"/>
    <cellStyle name="Normal 3 15 10 14" xfId="9050" xr:uid="{00000000-0005-0000-0000-000021380000}"/>
    <cellStyle name="Normal 3 15 10 14 2" xfId="26646" xr:uid="{00000000-0005-0000-0000-000022380000}"/>
    <cellStyle name="Normal 3 15 10 15" xfId="26641" xr:uid="{00000000-0005-0000-0000-000023380000}"/>
    <cellStyle name="Normal 3 15 10 2" xfId="9051" xr:uid="{00000000-0005-0000-0000-000024380000}"/>
    <cellStyle name="Normal 3 15 10 2 2" xfId="26647" xr:uid="{00000000-0005-0000-0000-000025380000}"/>
    <cellStyle name="Normal 3 15 10 3" xfId="9052" xr:uid="{00000000-0005-0000-0000-000026380000}"/>
    <cellStyle name="Normal 3 15 10 3 2" xfId="26648" xr:uid="{00000000-0005-0000-0000-000027380000}"/>
    <cellStyle name="Normal 3 15 10 4" xfId="9053" xr:uid="{00000000-0005-0000-0000-000028380000}"/>
    <cellStyle name="Normal 3 15 10 4 2" xfId="26649" xr:uid="{00000000-0005-0000-0000-000029380000}"/>
    <cellStyle name="Normal 3 15 10 5" xfId="9054" xr:uid="{00000000-0005-0000-0000-00002A380000}"/>
    <cellStyle name="Normal 3 15 10 5 2" xfId="26650" xr:uid="{00000000-0005-0000-0000-00002B380000}"/>
    <cellStyle name="Normal 3 15 10 6" xfId="9055" xr:uid="{00000000-0005-0000-0000-00002C380000}"/>
    <cellStyle name="Normal 3 15 10 6 2" xfId="26651" xr:uid="{00000000-0005-0000-0000-00002D380000}"/>
    <cellStyle name="Normal 3 15 10 7" xfId="9056" xr:uid="{00000000-0005-0000-0000-00002E380000}"/>
    <cellStyle name="Normal 3 15 10 7 2" xfId="26652" xr:uid="{00000000-0005-0000-0000-00002F380000}"/>
    <cellStyle name="Normal 3 15 10 8" xfId="9057" xr:uid="{00000000-0005-0000-0000-000030380000}"/>
    <cellStyle name="Normal 3 15 10 8 2" xfId="26653" xr:uid="{00000000-0005-0000-0000-000031380000}"/>
    <cellStyle name="Normal 3 15 10 9" xfId="9058" xr:uid="{00000000-0005-0000-0000-000032380000}"/>
    <cellStyle name="Normal 3 15 10 9 2" xfId="26654" xr:uid="{00000000-0005-0000-0000-000033380000}"/>
    <cellStyle name="Normal 3 15 11" xfId="9059" xr:uid="{00000000-0005-0000-0000-000034380000}"/>
    <cellStyle name="Normal 3 15 11 10" xfId="9060" xr:uid="{00000000-0005-0000-0000-000035380000}"/>
    <cellStyle name="Normal 3 15 11 10 2" xfId="26656" xr:uid="{00000000-0005-0000-0000-000036380000}"/>
    <cellStyle name="Normal 3 15 11 11" xfId="9061" xr:uid="{00000000-0005-0000-0000-000037380000}"/>
    <cellStyle name="Normal 3 15 11 11 2" xfId="26657" xr:uid="{00000000-0005-0000-0000-000038380000}"/>
    <cellStyle name="Normal 3 15 11 12" xfId="9062" xr:uid="{00000000-0005-0000-0000-000039380000}"/>
    <cellStyle name="Normal 3 15 11 12 2" xfId="26658" xr:uid="{00000000-0005-0000-0000-00003A380000}"/>
    <cellStyle name="Normal 3 15 11 13" xfId="9063" xr:uid="{00000000-0005-0000-0000-00003B380000}"/>
    <cellStyle name="Normal 3 15 11 13 2" xfId="26659" xr:uid="{00000000-0005-0000-0000-00003C380000}"/>
    <cellStyle name="Normal 3 15 11 14" xfId="9064" xr:uid="{00000000-0005-0000-0000-00003D380000}"/>
    <cellStyle name="Normal 3 15 11 14 2" xfId="26660" xr:uid="{00000000-0005-0000-0000-00003E380000}"/>
    <cellStyle name="Normal 3 15 11 15" xfId="26655" xr:uid="{00000000-0005-0000-0000-00003F380000}"/>
    <cellStyle name="Normal 3 15 11 2" xfId="9065" xr:uid="{00000000-0005-0000-0000-000040380000}"/>
    <cellStyle name="Normal 3 15 11 2 2" xfId="26661" xr:uid="{00000000-0005-0000-0000-000041380000}"/>
    <cellStyle name="Normal 3 15 11 3" xfId="9066" xr:uid="{00000000-0005-0000-0000-000042380000}"/>
    <cellStyle name="Normal 3 15 11 3 2" xfId="26662" xr:uid="{00000000-0005-0000-0000-000043380000}"/>
    <cellStyle name="Normal 3 15 11 4" xfId="9067" xr:uid="{00000000-0005-0000-0000-000044380000}"/>
    <cellStyle name="Normal 3 15 11 4 2" xfId="26663" xr:uid="{00000000-0005-0000-0000-000045380000}"/>
    <cellStyle name="Normal 3 15 11 5" xfId="9068" xr:uid="{00000000-0005-0000-0000-000046380000}"/>
    <cellStyle name="Normal 3 15 11 5 2" xfId="26664" xr:uid="{00000000-0005-0000-0000-000047380000}"/>
    <cellStyle name="Normal 3 15 11 6" xfId="9069" xr:uid="{00000000-0005-0000-0000-000048380000}"/>
    <cellStyle name="Normal 3 15 11 6 2" xfId="26665" xr:uid="{00000000-0005-0000-0000-000049380000}"/>
    <cellStyle name="Normal 3 15 11 7" xfId="9070" xr:uid="{00000000-0005-0000-0000-00004A380000}"/>
    <cellStyle name="Normal 3 15 11 7 2" xfId="26666" xr:uid="{00000000-0005-0000-0000-00004B380000}"/>
    <cellStyle name="Normal 3 15 11 8" xfId="9071" xr:uid="{00000000-0005-0000-0000-00004C380000}"/>
    <cellStyle name="Normal 3 15 11 8 2" xfId="26667" xr:uid="{00000000-0005-0000-0000-00004D380000}"/>
    <cellStyle name="Normal 3 15 11 9" xfId="9072" xr:uid="{00000000-0005-0000-0000-00004E380000}"/>
    <cellStyle name="Normal 3 15 11 9 2" xfId="26668" xr:uid="{00000000-0005-0000-0000-00004F380000}"/>
    <cellStyle name="Normal 3 15 12" xfId="9073" xr:uid="{00000000-0005-0000-0000-000050380000}"/>
    <cellStyle name="Normal 3 15 12 10" xfId="9074" xr:uid="{00000000-0005-0000-0000-000051380000}"/>
    <cellStyle name="Normal 3 15 12 10 2" xfId="26670" xr:uid="{00000000-0005-0000-0000-000052380000}"/>
    <cellStyle name="Normal 3 15 12 11" xfId="9075" xr:uid="{00000000-0005-0000-0000-000053380000}"/>
    <cellStyle name="Normal 3 15 12 11 2" xfId="26671" xr:uid="{00000000-0005-0000-0000-000054380000}"/>
    <cellStyle name="Normal 3 15 12 12" xfId="9076" xr:uid="{00000000-0005-0000-0000-000055380000}"/>
    <cellStyle name="Normal 3 15 12 12 2" xfId="26672" xr:uid="{00000000-0005-0000-0000-000056380000}"/>
    <cellStyle name="Normal 3 15 12 13" xfId="9077" xr:uid="{00000000-0005-0000-0000-000057380000}"/>
    <cellStyle name="Normal 3 15 12 13 2" xfId="26673" xr:uid="{00000000-0005-0000-0000-000058380000}"/>
    <cellStyle name="Normal 3 15 12 14" xfId="9078" xr:uid="{00000000-0005-0000-0000-000059380000}"/>
    <cellStyle name="Normal 3 15 12 14 2" xfId="26674" xr:uid="{00000000-0005-0000-0000-00005A380000}"/>
    <cellStyle name="Normal 3 15 12 15" xfId="26669" xr:uid="{00000000-0005-0000-0000-00005B380000}"/>
    <cellStyle name="Normal 3 15 12 2" xfId="9079" xr:uid="{00000000-0005-0000-0000-00005C380000}"/>
    <cellStyle name="Normal 3 15 12 2 2" xfId="26675" xr:uid="{00000000-0005-0000-0000-00005D380000}"/>
    <cellStyle name="Normal 3 15 12 3" xfId="9080" xr:uid="{00000000-0005-0000-0000-00005E380000}"/>
    <cellStyle name="Normal 3 15 12 3 2" xfId="26676" xr:uid="{00000000-0005-0000-0000-00005F380000}"/>
    <cellStyle name="Normal 3 15 12 4" xfId="9081" xr:uid="{00000000-0005-0000-0000-000060380000}"/>
    <cellStyle name="Normal 3 15 12 4 2" xfId="26677" xr:uid="{00000000-0005-0000-0000-000061380000}"/>
    <cellStyle name="Normal 3 15 12 5" xfId="9082" xr:uid="{00000000-0005-0000-0000-000062380000}"/>
    <cellStyle name="Normal 3 15 12 5 2" xfId="26678" xr:uid="{00000000-0005-0000-0000-000063380000}"/>
    <cellStyle name="Normal 3 15 12 6" xfId="9083" xr:uid="{00000000-0005-0000-0000-000064380000}"/>
    <cellStyle name="Normal 3 15 12 6 2" xfId="26679" xr:uid="{00000000-0005-0000-0000-000065380000}"/>
    <cellStyle name="Normal 3 15 12 7" xfId="9084" xr:uid="{00000000-0005-0000-0000-000066380000}"/>
    <cellStyle name="Normal 3 15 12 7 2" xfId="26680" xr:uid="{00000000-0005-0000-0000-000067380000}"/>
    <cellStyle name="Normal 3 15 12 8" xfId="9085" xr:uid="{00000000-0005-0000-0000-000068380000}"/>
    <cellStyle name="Normal 3 15 12 8 2" xfId="26681" xr:uid="{00000000-0005-0000-0000-000069380000}"/>
    <cellStyle name="Normal 3 15 12 9" xfId="9086" xr:uid="{00000000-0005-0000-0000-00006A380000}"/>
    <cellStyle name="Normal 3 15 12 9 2" xfId="26682" xr:uid="{00000000-0005-0000-0000-00006B380000}"/>
    <cellStyle name="Normal 3 15 13" xfId="9087" xr:uid="{00000000-0005-0000-0000-00006C380000}"/>
    <cellStyle name="Normal 3 15 13 10" xfId="9088" xr:uid="{00000000-0005-0000-0000-00006D380000}"/>
    <cellStyle name="Normal 3 15 13 10 2" xfId="26684" xr:uid="{00000000-0005-0000-0000-00006E380000}"/>
    <cellStyle name="Normal 3 15 13 11" xfId="9089" xr:uid="{00000000-0005-0000-0000-00006F380000}"/>
    <cellStyle name="Normal 3 15 13 11 2" xfId="26685" xr:uid="{00000000-0005-0000-0000-000070380000}"/>
    <cellStyle name="Normal 3 15 13 12" xfId="9090" xr:uid="{00000000-0005-0000-0000-000071380000}"/>
    <cellStyle name="Normal 3 15 13 12 2" xfId="26686" xr:uid="{00000000-0005-0000-0000-000072380000}"/>
    <cellStyle name="Normal 3 15 13 13" xfId="9091" xr:uid="{00000000-0005-0000-0000-000073380000}"/>
    <cellStyle name="Normal 3 15 13 13 2" xfId="26687" xr:uid="{00000000-0005-0000-0000-000074380000}"/>
    <cellStyle name="Normal 3 15 13 14" xfId="9092" xr:uid="{00000000-0005-0000-0000-000075380000}"/>
    <cellStyle name="Normal 3 15 13 14 2" xfId="26688" xr:uid="{00000000-0005-0000-0000-000076380000}"/>
    <cellStyle name="Normal 3 15 13 15" xfId="26683" xr:uid="{00000000-0005-0000-0000-000077380000}"/>
    <cellStyle name="Normal 3 15 13 2" xfId="9093" xr:uid="{00000000-0005-0000-0000-000078380000}"/>
    <cellStyle name="Normal 3 15 13 2 2" xfId="26689" xr:uid="{00000000-0005-0000-0000-000079380000}"/>
    <cellStyle name="Normal 3 15 13 3" xfId="9094" xr:uid="{00000000-0005-0000-0000-00007A380000}"/>
    <cellStyle name="Normal 3 15 13 3 2" xfId="26690" xr:uid="{00000000-0005-0000-0000-00007B380000}"/>
    <cellStyle name="Normal 3 15 13 4" xfId="9095" xr:uid="{00000000-0005-0000-0000-00007C380000}"/>
    <cellStyle name="Normal 3 15 13 4 2" xfId="26691" xr:uid="{00000000-0005-0000-0000-00007D380000}"/>
    <cellStyle name="Normal 3 15 13 5" xfId="9096" xr:uid="{00000000-0005-0000-0000-00007E380000}"/>
    <cellStyle name="Normal 3 15 13 5 2" xfId="26692" xr:uid="{00000000-0005-0000-0000-00007F380000}"/>
    <cellStyle name="Normal 3 15 13 6" xfId="9097" xr:uid="{00000000-0005-0000-0000-000080380000}"/>
    <cellStyle name="Normal 3 15 13 6 2" xfId="26693" xr:uid="{00000000-0005-0000-0000-000081380000}"/>
    <cellStyle name="Normal 3 15 13 7" xfId="9098" xr:uid="{00000000-0005-0000-0000-000082380000}"/>
    <cellStyle name="Normal 3 15 13 7 2" xfId="26694" xr:uid="{00000000-0005-0000-0000-000083380000}"/>
    <cellStyle name="Normal 3 15 13 8" xfId="9099" xr:uid="{00000000-0005-0000-0000-000084380000}"/>
    <cellStyle name="Normal 3 15 13 8 2" xfId="26695" xr:uid="{00000000-0005-0000-0000-000085380000}"/>
    <cellStyle name="Normal 3 15 13 9" xfId="9100" xr:uid="{00000000-0005-0000-0000-000086380000}"/>
    <cellStyle name="Normal 3 15 13 9 2" xfId="26696" xr:uid="{00000000-0005-0000-0000-000087380000}"/>
    <cellStyle name="Normal 3 15 14" xfId="9101" xr:uid="{00000000-0005-0000-0000-000088380000}"/>
    <cellStyle name="Normal 3 15 14 10" xfId="9102" xr:uid="{00000000-0005-0000-0000-000089380000}"/>
    <cellStyle name="Normal 3 15 14 10 2" xfId="26698" xr:uid="{00000000-0005-0000-0000-00008A380000}"/>
    <cellStyle name="Normal 3 15 14 11" xfId="9103" xr:uid="{00000000-0005-0000-0000-00008B380000}"/>
    <cellStyle name="Normal 3 15 14 11 2" xfId="26699" xr:uid="{00000000-0005-0000-0000-00008C380000}"/>
    <cellStyle name="Normal 3 15 14 12" xfId="9104" xr:uid="{00000000-0005-0000-0000-00008D380000}"/>
    <cellStyle name="Normal 3 15 14 12 2" xfId="26700" xr:uid="{00000000-0005-0000-0000-00008E380000}"/>
    <cellStyle name="Normal 3 15 14 13" xfId="9105" xr:uid="{00000000-0005-0000-0000-00008F380000}"/>
    <cellStyle name="Normal 3 15 14 13 2" xfId="26701" xr:uid="{00000000-0005-0000-0000-000090380000}"/>
    <cellStyle name="Normal 3 15 14 14" xfId="9106" xr:uid="{00000000-0005-0000-0000-000091380000}"/>
    <cellStyle name="Normal 3 15 14 14 2" xfId="26702" xr:uid="{00000000-0005-0000-0000-000092380000}"/>
    <cellStyle name="Normal 3 15 14 15" xfId="26697" xr:uid="{00000000-0005-0000-0000-000093380000}"/>
    <cellStyle name="Normal 3 15 14 2" xfId="9107" xr:uid="{00000000-0005-0000-0000-000094380000}"/>
    <cellStyle name="Normal 3 15 14 2 2" xfId="26703" xr:uid="{00000000-0005-0000-0000-000095380000}"/>
    <cellStyle name="Normal 3 15 14 3" xfId="9108" xr:uid="{00000000-0005-0000-0000-000096380000}"/>
    <cellStyle name="Normal 3 15 14 3 2" xfId="26704" xr:uid="{00000000-0005-0000-0000-000097380000}"/>
    <cellStyle name="Normal 3 15 14 4" xfId="9109" xr:uid="{00000000-0005-0000-0000-000098380000}"/>
    <cellStyle name="Normal 3 15 14 4 2" xfId="26705" xr:uid="{00000000-0005-0000-0000-000099380000}"/>
    <cellStyle name="Normal 3 15 14 5" xfId="9110" xr:uid="{00000000-0005-0000-0000-00009A380000}"/>
    <cellStyle name="Normal 3 15 14 5 2" xfId="26706" xr:uid="{00000000-0005-0000-0000-00009B380000}"/>
    <cellStyle name="Normal 3 15 14 6" xfId="9111" xr:uid="{00000000-0005-0000-0000-00009C380000}"/>
    <cellStyle name="Normal 3 15 14 6 2" xfId="26707" xr:uid="{00000000-0005-0000-0000-00009D380000}"/>
    <cellStyle name="Normal 3 15 14 7" xfId="9112" xr:uid="{00000000-0005-0000-0000-00009E380000}"/>
    <cellStyle name="Normal 3 15 14 7 2" xfId="26708" xr:uid="{00000000-0005-0000-0000-00009F380000}"/>
    <cellStyle name="Normal 3 15 14 8" xfId="9113" xr:uid="{00000000-0005-0000-0000-0000A0380000}"/>
    <cellStyle name="Normal 3 15 14 8 2" xfId="26709" xr:uid="{00000000-0005-0000-0000-0000A1380000}"/>
    <cellStyle name="Normal 3 15 14 9" xfId="9114" xr:uid="{00000000-0005-0000-0000-0000A2380000}"/>
    <cellStyle name="Normal 3 15 14 9 2" xfId="26710" xr:uid="{00000000-0005-0000-0000-0000A3380000}"/>
    <cellStyle name="Normal 3 15 15" xfId="9115" xr:uid="{00000000-0005-0000-0000-0000A4380000}"/>
    <cellStyle name="Normal 3 15 16" xfId="9116" xr:uid="{00000000-0005-0000-0000-0000A5380000}"/>
    <cellStyle name="Normal 3 15 17" xfId="9117" xr:uid="{00000000-0005-0000-0000-0000A6380000}"/>
    <cellStyle name="Normal 3 15 17 10" xfId="9118" xr:uid="{00000000-0005-0000-0000-0000A7380000}"/>
    <cellStyle name="Normal 3 15 17 10 2" xfId="26712" xr:uid="{00000000-0005-0000-0000-0000A8380000}"/>
    <cellStyle name="Normal 3 15 17 11" xfId="9119" xr:uid="{00000000-0005-0000-0000-0000A9380000}"/>
    <cellStyle name="Normal 3 15 17 11 2" xfId="26713" xr:uid="{00000000-0005-0000-0000-0000AA380000}"/>
    <cellStyle name="Normal 3 15 17 12" xfId="9120" xr:uid="{00000000-0005-0000-0000-0000AB380000}"/>
    <cellStyle name="Normal 3 15 17 12 2" xfId="26714" xr:uid="{00000000-0005-0000-0000-0000AC380000}"/>
    <cellStyle name="Normal 3 15 17 13" xfId="9121" xr:uid="{00000000-0005-0000-0000-0000AD380000}"/>
    <cellStyle name="Normal 3 15 17 13 2" xfId="26715" xr:uid="{00000000-0005-0000-0000-0000AE380000}"/>
    <cellStyle name="Normal 3 15 17 14" xfId="9122" xr:uid="{00000000-0005-0000-0000-0000AF380000}"/>
    <cellStyle name="Normal 3 15 17 14 2" xfId="26716" xr:uid="{00000000-0005-0000-0000-0000B0380000}"/>
    <cellStyle name="Normal 3 15 17 15" xfId="26711" xr:uid="{00000000-0005-0000-0000-0000B1380000}"/>
    <cellStyle name="Normal 3 15 17 2" xfId="9123" xr:uid="{00000000-0005-0000-0000-0000B2380000}"/>
    <cellStyle name="Normal 3 15 17 2 2" xfId="26717" xr:uid="{00000000-0005-0000-0000-0000B3380000}"/>
    <cellStyle name="Normal 3 15 17 3" xfId="9124" xr:uid="{00000000-0005-0000-0000-0000B4380000}"/>
    <cellStyle name="Normal 3 15 17 3 2" xfId="26718" xr:uid="{00000000-0005-0000-0000-0000B5380000}"/>
    <cellStyle name="Normal 3 15 17 4" xfId="9125" xr:uid="{00000000-0005-0000-0000-0000B6380000}"/>
    <cellStyle name="Normal 3 15 17 4 2" xfId="26719" xr:uid="{00000000-0005-0000-0000-0000B7380000}"/>
    <cellStyle name="Normal 3 15 17 5" xfId="9126" xr:uid="{00000000-0005-0000-0000-0000B8380000}"/>
    <cellStyle name="Normal 3 15 17 5 2" xfId="26720" xr:uid="{00000000-0005-0000-0000-0000B9380000}"/>
    <cellStyle name="Normal 3 15 17 6" xfId="9127" xr:uid="{00000000-0005-0000-0000-0000BA380000}"/>
    <cellStyle name="Normal 3 15 17 6 2" xfId="26721" xr:uid="{00000000-0005-0000-0000-0000BB380000}"/>
    <cellStyle name="Normal 3 15 17 7" xfId="9128" xr:uid="{00000000-0005-0000-0000-0000BC380000}"/>
    <cellStyle name="Normal 3 15 17 7 2" xfId="26722" xr:uid="{00000000-0005-0000-0000-0000BD380000}"/>
    <cellStyle name="Normal 3 15 17 8" xfId="9129" xr:uid="{00000000-0005-0000-0000-0000BE380000}"/>
    <cellStyle name="Normal 3 15 17 8 2" xfId="26723" xr:uid="{00000000-0005-0000-0000-0000BF380000}"/>
    <cellStyle name="Normal 3 15 17 9" xfId="9130" xr:uid="{00000000-0005-0000-0000-0000C0380000}"/>
    <cellStyle name="Normal 3 15 17 9 2" xfId="26724" xr:uid="{00000000-0005-0000-0000-0000C1380000}"/>
    <cellStyle name="Normal 3 15 18" xfId="9131" xr:uid="{00000000-0005-0000-0000-0000C2380000}"/>
    <cellStyle name="Normal 3 15 18 10" xfId="9132" xr:uid="{00000000-0005-0000-0000-0000C3380000}"/>
    <cellStyle name="Normal 3 15 18 10 2" xfId="26726" xr:uid="{00000000-0005-0000-0000-0000C4380000}"/>
    <cellStyle name="Normal 3 15 18 11" xfId="9133" xr:uid="{00000000-0005-0000-0000-0000C5380000}"/>
    <cellStyle name="Normal 3 15 18 11 2" xfId="26727" xr:uid="{00000000-0005-0000-0000-0000C6380000}"/>
    <cellStyle name="Normal 3 15 18 12" xfId="9134" xr:uid="{00000000-0005-0000-0000-0000C7380000}"/>
    <cellStyle name="Normal 3 15 18 12 2" xfId="26728" xr:uid="{00000000-0005-0000-0000-0000C8380000}"/>
    <cellStyle name="Normal 3 15 18 13" xfId="9135" xr:uid="{00000000-0005-0000-0000-0000C9380000}"/>
    <cellStyle name="Normal 3 15 18 13 2" xfId="26729" xr:uid="{00000000-0005-0000-0000-0000CA380000}"/>
    <cellStyle name="Normal 3 15 18 14" xfId="9136" xr:uid="{00000000-0005-0000-0000-0000CB380000}"/>
    <cellStyle name="Normal 3 15 18 14 2" xfId="26730" xr:uid="{00000000-0005-0000-0000-0000CC380000}"/>
    <cellStyle name="Normal 3 15 18 15" xfId="26725" xr:uid="{00000000-0005-0000-0000-0000CD380000}"/>
    <cellStyle name="Normal 3 15 18 2" xfId="9137" xr:uid="{00000000-0005-0000-0000-0000CE380000}"/>
    <cellStyle name="Normal 3 15 18 2 2" xfId="26731" xr:uid="{00000000-0005-0000-0000-0000CF380000}"/>
    <cellStyle name="Normal 3 15 18 3" xfId="9138" xr:uid="{00000000-0005-0000-0000-0000D0380000}"/>
    <cellStyle name="Normal 3 15 18 3 2" xfId="26732" xr:uid="{00000000-0005-0000-0000-0000D1380000}"/>
    <cellStyle name="Normal 3 15 18 4" xfId="9139" xr:uid="{00000000-0005-0000-0000-0000D2380000}"/>
    <cellStyle name="Normal 3 15 18 4 2" xfId="26733" xr:uid="{00000000-0005-0000-0000-0000D3380000}"/>
    <cellStyle name="Normal 3 15 18 5" xfId="9140" xr:uid="{00000000-0005-0000-0000-0000D4380000}"/>
    <cellStyle name="Normal 3 15 18 5 2" xfId="26734" xr:uid="{00000000-0005-0000-0000-0000D5380000}"/>
    <cellStyle name="Normal 3 15 18 6" xfId="9141" xr:uid="{00000000-0005-0000-0000-0000D6380000}"/>
    <cellStyle name="Normal 3 15 18 6 2" xfId="26735" xr:uid="{00000000-0005-0000-0000-0000D7380000}"/>
    <cellStyle name="Normal 3 15 18 7" xfId="9142" xr:uid="{00000000-0005-0000-0000-0000D8380000}"/>
    <cellStyle name="Normal 3 15 18 7 2" xfId="26736" xr:uid="{00000000-0005-0000-0000-0000D9380000}"/>
    <cellStyle name="Normal 3 15 18 8" xfId="9143" xr:uid="{00000000-0005-0000-0000-0000DA380000}"/>
    <cellStyle name="Normal 3 15 18 8 2" xfId="26737" xr:uid="{00000000-0005-0000-0000-0000DB380000}"/>
    <cellStyle name="Normal 3 15 18 9" xfId="9144" xr:uid="{00000000-0005-0000-0000-0000DC380000}"/>
    <cellStyle name="Normal 3 15 18 9 2" xfId="26738" xr:uid="{00000000-0005-0000-0000-0000DD380000}"/>
    <cellStyle name="Normal 3 15 2" xfId="9145" xr:uid="{00000000-0005-0000-0000-0000DE380000}"/>
    <cellStyle name="Normal 3 15 2 10" xfId="9146" xr:uid="{00000000-0005-0000-0000-0000DF380000}"/>
    <cellStyle name="Normal 3 15 2 10 2" xfId="26740" xr:uid="{00000000-0005-0000-0000-0000E0380000}"/>
    <cellStyle name="Normal 3 15 2 11" xfId="9147" xr:uid="{00000000-0005-0000-0000-0000E1380000}"/>
    <cellStyle name="Normal 3 15 2 11 2" xfId="26741" xr:uid="{00000000-0005-0000-0000-0000E2380000}"/>
    <cellStyle name="Normal 3 15 2 12" xfId="9148" xr:uid="{00000000-0005-0000-0000-0000E3380000}"/>
    <cellStyle name="Normal 3 15 2 12 2" xfId="26742" xr:uid="{00000000-0005-0000-0000-0000E4380000}"/>
    <cellStyle name="Normal 3 15 2 13" xfId="9149" xr:uid="{00000000-0005-0000-0000-0000E5380000}"/>
    <cellStyle name="Normal 3 15 2 13 2" xfId="26743" xr:uid="{00000000-0005-0000-0000-0000E6380000}"/>
    <cellStyle name="Normal 3 15 2 14" xfId="9150" xr:uid="{00000000-0005-0000-0000-0000E7380000}"/>
    <cellStyle name="Normal 3 15 2 14 2" xfId="26744" xr:uid="{00000000-0005-0000-0000-0000E8380000}"/>
    <cellStyle name="Normal 3 15 2 15" xfId="9151" xr:uid="{00000000-0005-0000-0000-0000E9380000}"/>
    <cellStyle name="Normal 3 15 2 15 2" xfId="26745" xr:uid="{00000000-0005-0000-0000-0000EA380000}"/>
    <cellStyle name="Normal 3 15 2 16" xfId="9152" xr:uid="{00000000-0005-0000-0000-0000EB380000}"/>
    <cellStyle name="Normal 3 15 2 16 2" xfId="26746" xr:uid="{00000000-0005-0000-0000-0000EC380000}"/>
    <cellStyle name="Normal 3 15 2 17" xfId="9153" xr:uid="{00000000-0005-0000-0000-0000ED380000}"/>
    <cellStyle name="Normal 3 15 2 17 2" xfId="26747" xr:uid="{00000000-0005-0000-0000-0000EE380000}"/>
    <cellStyle name="Normal 3 15 2 18" xfId="26739" xr:uid="{00000000-0005-0000-0000-0000EF380000}"/>
    <cellStyle name="Normal 3 15 2 2" xfId="9154" xr:uid="{00000000-0005-0000-0000-0000F0380000}"/>
    <cellStyle name="Normal 3 15 2 3" xfId="9155" xr:uid="{00000000-0005-0000-0000-0000F1380000}"/>
    <cellStyle name="Normal 3 15 2 4" xfId="9156" xr:uid="{00000000-0005-0000-0000-0000F2380000}"/>
    <cellStyle name="Normal 3 15 2 5" xfId="9157" xr:uid="{00000000-0005-0000-0000-0000F3380000}"/>
    <cellStyle name="Normal 3 15 2 5 2" xfId="26748" xr:uid="{00000000-0005-0000-0000-0000F4380000}"/>
    <cellStyle name="Normal 3 15 2 6" xfId="9158" xr:uid="{00000000-0005-0000-0000-0000F5380000}"/>
    <cellStyle name="Normal 3 15 2 6 2" xfId="26749" xr:uid="{00000000-0005-0000-0000-0000F6380000}"/>
    <cellStyle name="Normal 3 15 2 7" xfId="9159" xr:uid="{00000000-0005-0000-0000-0000F7380000}"/>
    <cellStyle name="Normal 3 15 2 7 2" xfId="26750" xr:uid="{00000000-0005-0000-0000-0000F8380000}"/>
    <cellStyle name="Normal 3 15 2 8" xfId="9160" xr:uid="{00000000-0005-0000-0000-0000F9380000}"/>
    <cellStyle name="Normal 3 15 2 8 2" xfId="26751" xr:uid="{00000000-0005-0000-0000-0000FA380000}"/>
    <cellStyle name="Normal 3 15 2 9" xfId="9161" xr:uid="{00000000-0005-0000-0000-0000FB380000}"/>
    <cellStyle name="Normal 3 15 2 9 2" xfId="26752" xr:uid="{00000000-0005-0000-0000-0000FC380000}"/>
    <cellStyle name="Normal 3 15 3" xfId="9162" xr:uid="{00000000-0005-0000-0000-0000FD380000}"/>
    <cellStyle name="Normal 3 15 4" xfId="9163" xr:uid="{00000000-0005-0000-0000-0000FE380000}"/>
    <cellStyle name="Normal 3 15 5" xfId="9164" xr:uid="{00000000-0005-0000-0000-0000FF380000}"/>
    <cellStyle name="Normal 3 15 6" xfId="9165" xr:uid="{00000000-0005-0000-0000-000000390000}"/>
    <cellStyle name="Normal 3 15 6 10" xfId="9166" xr:uid="{00000000-0005-0000-0000-000001390000}"/>
    <cellStyle name="Normal 3 15 6 10 2" xfId="26754" xr:uid="{00000000-0005-0000-0000-000002390000}"/>
    <cellStyle name="Normal 3 15 6 11" xfId="9167" xr:uid="{00000000-0005-0000-0000-000003390000}"/>
    <cellStyle name="Normal 3 15 6 11 2" xfId="26755" xr:uid="{00000000-0005-0000-0000-000004390000}"/>
    <cellStyle name="Normal 3 15 6 12" xfId="9168" xr:uid="{00000000-0005-0000-0000-000005390000}"/>
    <cellStyle name="Normal 3 15 6 12 2" xfId="26756" xr:uid="{00000000-0005-0000-0000-000006390000}"/>
    <cellStyle name="Normal 3 15 6 13" xfId="9169" xr:uid="{00000000-0005-0000-0000-000007390000}"/>
    <cellStyle name="Normal 3 15 6 13 2" xfId="26757" xr:uid="{00000000-0005-0000-0000-000008390000}"/>
    <cellStyle name="Normal 3 15 6 14" xfId="9170" xr:uid="{00000000-0005-0000-0000-000009390000}"/>
    <cellStyle name="Normal 3 15 6 14 2" xfId="26758" xr:uid="{00000000-0005-0000-0000-00000A390000}"/>
    <cellStyle name="Normal 3 15 6 15" xfId="9171" xr:uid="{00000000-0005-0000-0000-00000B390000}"/>
    <cellStyle name="Normal 3 15 6 15 2" xfId="26759" xr:uid="{00000000-0005-0000-0000-00000C390000}"/>
    <cellStyle name="Normal 3 15 6 16" xfId="26753" xr:uid="{00000000-0005-0000-0000-00000D390000}"/>
    <cellStyle name="Normal 3 15 6 2" xfId="9172" xr:uid="{00000000-0005-0000-0000-00000E390000}"/>
    <cellStyle name="Normal 3 15 6 2 10" xfId="9173" xr:uid="{00000000-0005-0000-0000-00000F390000}"/>
    <cellStyle name="Normal 3 15 6 2 10 2" xfId="26761" xr:uid="{00000000-0005-0000-0000-000010390000}"/>
    <cellStyle name="Normal 3 15 6 2 11" xfId="9174" xr:uid="{00000000-0005-0000-0000-000011390000}"/>
    <cellStyle name="Normal 3 15 6 2 11 2" xfId="26762" xr:uid="{00000000-0005-0000-0000-000012390000}"/>
    <cellStyle name="Normal 3 15 6 2 12" xfId="9175" xr:uid="{00000000-0005-0000-0000-000013390000}"/>
    <cellStyle name="Normal 3 15 6 2 12 2" xfId="26763" xr:uid="{00000000-0005-0000-0000-000014390000}"/>
    <cellStyle name="Normal 3 15 6 2 13" xfId="9176" xr:uid="{00000000-0005-0000-0000-000015390000}"/>
    <cellStyle name="Normal 3 15 6 2 13 2" xfId="26764" xr:uid="{00000000-0005-0000-0000-000016390000}"/>
    <cellStyle name="Normal 3 15 6 2 14" xfId="9177" xr:uid="{00000000-0005-0000-0000-000017390000}"/>
    <cellStyle name="Normal 3 15 6 2 14 2" xfId="26765" xr:uid="{00000000-0005-0000-0000-000018390000}"/>
    <cellStyle name="Normal 3 15 6 2 15" xfId="26760" xr:uid="{00000000-0005-0000-0000-000019390000}"/>
    <cellStyle name="Normal 3 15 6 2 2" xfId="9178" xr:uid="{00000000-0005-0000-0000-00001A390000}"/>
    <cellStyle name="Normal 3 15 6 2 2 2" xfId="26766" xr:uid="{00000000-0005-0000-0000-00001B390000}"/>
    <cellStyle name="Normal 3 15 6 2 3" xfId="9179" xr:uid="{00000000-0005-0000-0000-00001C390000}"/>
    <cellStyle name="Normal 3 15 6 2 3 2" xfId="26767" xr:uid="{00000000-0005-0000-0000-00001D390000}"/>
    <cellStyle name="Normal 3 15 6 2 4" xfId="9180" xr:uid="{00000000-0005-0000-0000-00001E390000}"/>
    <cellStyle name="Normal 3 15 6 2 4 2" xfId="26768" xr:uid="{00000000-0005-0000-0000-00001F390000}"/>
    <cellStyle name="Normal 3 15 6 2 5" xfId="9181" xr:uid="{00000000-0005-0000-0000-000020390000}"/>
    <cellStyle name="Normal 3 15 6 2 5 2" xfId="26769" xr:uid="{00000000-0005-0000-0000-000021390000}"/>
    <cellStyle name="Normal 3 15 6 2 6" xfId="9182" xr:uid="{00000000-0005-0000-0000-000022390000}"/>
    <cellStyle name="Normal 3 15 6 2 6 2" xfId="26770" xr:uid="{00000000-0005-0000-0000-000023390000}"/>
    <cellStyle name="Normal 3 15 6 2 7" xfId="9183" xr:uid="{00000000-0005-0000-0000-000024390000}"/>
    <cellStyle name="Normal 3 15 6 2 7 2" xfId="26771" xr:uid="{00000000-0005-0000-0000-000025390000}"/>
    <cellStyle name="Normal 3 15 6 2 8" xfId="9184" xr:uid="{00000000-0005-0000-0000-000026390000}"/>
    <cellStyle name="Normal 3 15 6 2 8 2" xfId="26772" xr:uid="{00000000-0005-0000-0000-000027390000}"/>
    <cellStyle name="Normal 3 15 6 2 9" xfId="9185" xr:uid="{00000000-0005-0000-0000-000028390000}"/>
    <cellStyle name="Normal 3 15 6 2 9 2" xfId="26773" xr:uid="{00000000-0005-0000-0000-000029390000}"/>
    <cellStyle name="Normal 3 15 6 3" xfId="9186" xr:uid="{00000000-0005-0000-0000-00002A390000}"/>
    <cellStyle name="Normal 3 15 6 3 2" xfId="26774" xr:uid="{00000000-0005-0000-0000-00002B390000}"/>
    <cellStyle name="Normal 3 15 6 4" xfId="9187" xr:uid="{00000000-0005-0000-0000-00002C390000}"/>
    <cellStyle name="Normal 3 15 6 4 2" xfId="26775" xr:uid="{00000000-0005-0000-0000-00002D390000}"/>
    <cellStyle name="Normal 3 15 6 5" xfId="9188" xr:uid="{00000000-0005-0000-0000-00002E390000}"/>
    <cellStyle name="Normal 3 15 6 5 2" xfId="26776" xr:uid="{00000000-0005-0000-0000-00002F390000}"/>
    <cellStyle name="Normal 3 15 6 6" xfId="9189" xr:uid="{00000000-0005-0000-0000-000030390000}"/>
    <cellStyle name="Normal 3 15 6 6 2" xfId="26777" xr:uid="{00000000-0005-0000-0000-000031390000}"/>
    <cellStyle name="Normal 3 15 6 7" xfId="9190" xr:uid="{00000000-0005-0000-0000-000032390000}"/>
    <cellStyle name="Normal 3 15 6 7 2" xfId="26778" xr:uid="{00000000-0005-0000-0000-000033390000}"/>
    <cellStyle name="Normal 3 15 6 8" xfId="9191" xr:uid="{00000000-0005-0000-0000-000034390000}"/>
    <cellStyle name="Normal 3 15 6 8 2" xfId="26779" xr:uid="{00000000-0005-0000-0000-000035390000}"/>
    <cellStyle name="Normal 3 15 6 9" xfId="9192" xr:uid="{00000000-0005-0000-0000-000036390000}"/>
    <cellStyle name="Normal 3 15 6 9 2" xfId="26780" xr:uid="{00000000-0005-0000-0000-000037390000}"/>
    <cellStyle name="Normal 3 15 7" xfId="9193" xr:uid="{00000000-0005-0000-0000-000038390000}"/>
    <cellStyle name="Normal 3 15 7 10" xfId="9194" xr:uid="{00000000-0005-0000-0000-000039390000}"/>
    <cellStyle name="Normal 3 15 7 10 2" xfId="26782" xr:uid="{00000000-0005-0000-0000-00003A390000}"/>
    <cellStyle name="Normal 3 15 7 11" xfId="9195" xr:uid="{00000000-0005-0000-0000-00003B390000}"/>
    <cellStyle name="Normal 3 15 7 11 2" xfId="26783" xr:uid="{00000000-0005-0000-0000-00003C390000}"/>
    <cellStyle name="Normal 3 15 7 12" xfId="9196" xr:uid="{00000000-0005-0000-0000-00003D390000}"/>
    <cellStyle name="Normal 3 15 7 12 2" xfId="26784" xr:uid="{00000000-0005-0000-0000-00003E390000}"/>
    <cellStyle name="Normal 3 15 7 13" xfId="9197" xr:uid="{00000000-0005-0000-0000-00003F390000}"/>
    <cellStyle name="Normal 3 15 7 13 2" xfId="26785" xr:uid="{00000000-0005-0000-0000-000040390000}"/>
    <cellStyle name="Normal 3 15 7 14" xfId="9198" xr:uid="{00000000-0005-0000-0000-000041390000}"/>
    <cellStyle name="Normal 3 15 7 14 2" xfId="26786" xr:uid="{00000000-0005-0000-0000-000042390000}"/>
    <cellStyle name="Normal 3 15 7 15" xfId="9199" xr:uid="{00000000-0005-0000-0000-000043390000}"/>
    <cellStyle name="Normal 3 15 7 15 2" xfId="26787" xr:uid="{00000000-0005-0000-0000-000044390000}"/>
    <cellStyle name="Normal 3 15 7 16" xfId="26781" xr:uid="{00000000-0005-0000-0000-000045390000}"/>
    <cellStyle name="Normal 3 15 7 2" xfId="9200" xr:uid="{00000000-0005-0000-0000-000046390000}"/>
    <cellStyle name="Normal 3 15 7 2 10" xfId="9201" xr:uid="{00000000-0005-0000-0000-000047390000}"/>
    <cellStyle name="Normal 3 15 7 2 10 2" xfId="26789" xr:uid="{00000000-0005-0000-0000-000048390000}"/>
    <cellStyle name="Normal 3 15 7 2 11" xfId="9202" xr:uid="{00000000-0005-0000-0000-000049390000}"/>
    <cellStyle name="Normal 3 15 7 2 11 2" xfId="26790" xr:uid="{00000000-0005-0000-0000-00004A390000}"/>
    <cellStyle name="Normal 3 15 7 2 12" xfId="9203" xr:uid="{00000000-0005-0000-0000-00004B390000}"/>
    <cellStyle name="Normal 3 15 7 2 12 2" xfId="26791" xr:uid="{00000000-0005-0000-0000-00004C390000}"/>
    <cellStyle name="Normal 3 15 7 2 13" xfId="9204" xr:uid="{00000000-0005-0000-0000-00004D390000}"/>
    <cellStyle name="Normal 3 15 7 2 13 2" xfId="26792" xr:uid="{00000000-0005-0000-0000-00004E390000}"/>
    <cellStyle name="Normal 3 15 7 2 14" xfId="9205" xr:uid="{00000000-0005-0000-0000-00004F390000}"/>
    <cellStyle name="Normal 3 15 7 2 14 2" xfId="26793" xr:uid="{00000000-0005-0000-0000-000050390000}"/>
    <cellStyle name="Normal 3 15 7 2 15" xfId="26788" xr:uid="{00000000-0005-0000-0000-000051390000}"/>
    <cellStyle name="Normal 3 15 7 2 2" xfId="9206" xr:uid="{00000000-0005-0000-0000-000052390000}"/>
    <cellStyle name="Normal 3 15 7 2 2 2" xfId="26794" xr:uid="{00000000-0005-0000-0000-000053390000}"/>
    <cellStyle name="Normal 3 15 7 2 3" xfId="9207" xr:uid="{00000000-0005-0000-0000-000054390000}"/>
    <cellStyle name="Normal 3 15 7 2 3 2" xfId="26795" xr:uid="{00000000-0005-0000-0000-000055390000}"/>
    <cellStyle name="Normal 3 15 7 2 4" xfId="9208" xr:uid="{00000000-0005-0000-0000-000056390000}"/>
    <cellStyle name="Normal 3 15 7 2 4 2" xfId="26796" xr:uid="{00000000-0005-0000-0000-000057390000}"/>
    <cellStyle name="Normal 3 15 7 2 5" xfId="9209" xr:uid="{00000000-0005-0000-0000-000058390000}"/>
    <cellStyle name="Normal 3 15 7 2 5 2" xfId="26797" xr:uid="{00000000-0005-0000-0000-000059390000}"/>
    <cellStyle name="Normal 3 15 7 2 6" xfId="9210" xr:uid="{00000000-0005-0000-0000-00005A390000}"/>
    <cellStyle name="Normal 3 15 7 2 6 2" xfId="26798" xr:uid="{00000000-0005-0000-0000-00005B390000}"/>
    <cellStyle name="Normal 3 15 7 2 7" xfId="9211" xr:uid="{00000000-0005-0000-0000-00005C390000}"/>
    <cellStyle name="Normal 3 15 7 2 7 2" xfId="26799" xr:uid="{00000000-0005-0000-0000-00005D390000}"/>
    <cellStyle name="Normal 3 15 7 2 8" xfId="9212" xr:uid="{00000000-0005-0000-0000-00005E390000}"/>
    <cellStyle name="Normal 3 15 7 2 8 2" xfId="26800" xr:uid="{00000000-0005-0000-0000-00005F390000}"/>
    <cellStyle name="Normal 3 15 7 2 9" xfId="9213" xr:uid="{00000000-0005-0000-0000-000060390000}"/>
    <cellStyle name="Normal 3 15 7 2 9 2" xfId="26801" xr:uid="{00000000-0005-0000-0000-000061390000}"/>
    <cellStyle name="Normal 3 15 7 3" xfId="9214" xr:uid="{00000000-0005-0000-0000-000062390000}"/>
    <cellStyle name="Normal 3 15 7 3 2" xfId="26802" xr:uid="{00000000-0005-0000-0000-000063390000}"/>
    <cellStyle name="Normal 3 15 7 4" xfId="9215" xr:uid="{00000000-0005-0000-0000-000064390000}"/>
    <cellStyle name="Normal 3 15 7 4 2" xfId="26803" xr:uid="{00000000-0005-0000-0000-000065390000}"/>
    <cellStyle name="Normal 3 15 7 5" xfId="9216" xr:uid="{00000000-0005-0000-0000-000066390000}"/>
    <cellStyle name="Normal 3 15 7 5 2" xfId="26804" xr:uid="{00000000-0005-0000-0000-000067390000}"/>
    <cellStyle name="Normal 3 15 7 6" xfId="9217" xr:uid="{00000000-0005-0000-0000-000068390000}"/>
    <cellStyle name="Normal 3 15 7 6 2" xfId="26805" xr:uid="{00000000-0005-0000-0000-000069390000}"/>
    <cellStyle name="Normal 3 15 7 7" xfId="9218" xr:uid="{00000000-0005-0000-0000-00006A390000}"/>
    <cellStyle name="Normal 3 15 7 7 2" xfId="26806" xr:uid="{00000000-0005-0000-0000-00006B390000}"/>
    <cellStyle name="Normal 3 15 7 8" xfId="9219" xr:uid="{00000000-0005-0000-0000-00006C390000}"/>
    <cellStyle name="Normal 3 15 7 8 2" xfId="26807" xr:uid="{00000000-0005-0000-0000-00006D390000}"/>
    <cellStyle name="Normal 3 15 7 9" xfId="9220" xr:uid="{00000000-0005-0000-0000-00006E390000}"/>
    <cellStyle name="Normal 3 15 7 9 2" xfId="26808" xr:uid="{00000000-0005-0000-0000-00006F390000}"/>
    <cellStyle name="Normal 3 15 8" xfId="9221" xr:uid="{00000000-0005-0000-0000-000070390000}"/>
    <cellStyle name="Normal 3 15 8 10" xfId="9222" xr:uid="{00000000-0005-0000-0000-000071390000}"/>
    <cellStyle name="Normal 3 15 8 10 2" xfId="26810" xr:uid="{00000000-0005-0000-0000-000072390000}"/>
    <cellStyle name="Normal 3 15 8 11" xfId="9223" xr:uid="{00000000-0005-0000-0000-000073390000}"/>
    <cellStyle name="Normal 3 15 8 11 2" xfId="26811" xr:uid="{00000000-0005-0000-0000-000074390000}"/>
    <cellStyle name="Normal 3 15 8 12" xfId="9224" xr:uid="{00000000-0005-0000-0000-000075390000}"/>
    <cellStyle name="Normal 3 15 8 12 2" xfId="26812" xr:uid="{00000000-0005-0000-0000-000076390000}"/>
    <cellStyle name="Normal 3 15 8 13" xfId="9225" xr:uid="{00000000-0005-0000-0000-000077390000}"/>
    <cellStyle name="Normal 3 15 8 13 2" xfId="26813" xr:uid="{00000000-0005-0000-0000-000078390000}"/>
    <cellStyle name="Normal 3 15 8 14" xfId="9226" xr:uid="{00000000-0005-0000-0000-000079390000}"/>
    <cellStyle name="Normal 3 15 8 14 2" xfId="26814" xr:uid="{00000000-0005-0000-0000-00007A390000}"/>
    <cellStyle name="Normal 3 15 8 15" xfId="9227" xr:uid="{00000000-0005-0000-0000-00007B390000}"/>
    <cellStyle name="Normal 3 15 8 15 2" xfId="26815" xr:uid="{00000000-0005-0000-0000-00007C390000}"/>
    <cellStyle name="Normal 3 15 8 16" xfId="26809" xr:uid="{00000000-0005-0000-0000-00007D390000}"/>
    <cellStyle name="Normal 3 15 8 2" xfId="9228" xr:uid="{00000000-0005-0000-0000-00007E390000}"/>
    <cellStyle name="Normal 3 15 8 2 10" xfId="9229" xr:uid="{00000000-0005-0000-0000-00007F390000}"/>
    <cellStyle name="Normal 3 15 8 2 10 2" xfId="26817" xr:uid="{00000000-0005-0000-0000-000080390000}"/>
    <cellStyle name="Normal 3 15 8 2 11" xfId="9230" xr:uid="{00000000-0005-0000-0000-000081390000}"/>
    <cellStyle name="Normal 3 15 8 2 11 2" xfId="26818" xr:uid="{00000000-0005-0000-0000-000082390000}"/>
    <cellStyle name="Normal 3 15 8 2 12" xfId="9231" xr:uid="{00000000-0005-0000-0000-000083390000}"/>
    <cellStyle name="Normal 3 15 8 2 12 2" xfId="26819" xr:uid="{00000000-0005-0000-0000-000084390000}"/>
    <cellStyle name="Normal 3 15 8 2 13" xfId="9232" xr:uid="{00000000-0005-0000-0000-000085390000}"/>
    <cellStyle name="Normal 3 15 8 2 13 2" xfId="26820" xr:uid="{00000000-0005-0000-0000-000086390000}"/>
    <cellStyle name="Normal 3 15 8 2 14" xfId="9233" xr:uid="{00000000-0005-0000-0000-000087390000}"/>
    <cellStyle name="Normal 3 15 8 2 14 2" xfId="26821" xr:uid="{00000000-0005-0000-0000-000088390000}"/>
    <cellStyle name="Normal 3 15 8 2 15" xfId="26816" xr:uid="{00000000-0005-0000-0000-000089390000}"/>
    <cellStyle name="Normal 3 15 8 2 2" xfId="9234" xr:uid="{00000000-0005-0000-0000-00008A390000}"/>
    <cellStyle name="Normal 3 15 8 2 2 2" xfId="26822" xr:uid="{00000000-0005-0000-0000-00008B390000}"/>
    <cellStyle name="Normal 3 15 8 2 3" xfId="9235" xr:uid="{00000000-0005-0000-0000-00008C390000}"/>
    <cellStyle name="Normal 3 15 8 2 3 2" xfId="26823" xr:uid="{00000000-0005-0000-0000-00008D390000}"/>
    <cellStyle name="Normal 3 15 8 2 4" xfId="9236" xr:uid="{00000000-0005-0000-0000-00008E390000}"/>
    <cellStyle name="Normal 3 15 8 2 4 2" xfId="26824" xr:uid="{00000000-0005-0000-0000-00008F390000}"/>
    <cellStyle name="Normal 3 15 8 2 5" xfId="9237" xr:uid="{00000000-0005-0000-0000-000090390000}"/>
    <cellStyle name="Normal 3 15 8 2 5 2" xfId="26825" xr:uid="{00000000-0005-0000-0000-000091390000}"/>
    <cellStyle name="Normal 3 15 8 2 6" xfId="9238" xr:uid="{00000000-0005-0000-0000-000092390000}"/>
    <cellStyle name="Normal 3 15 8 2 6 2" xfId="26826" xr:uid="{00000000-0005-0000-0000-000093390000}"/>
    <cellStyle name="Normal 3 15 8 2 7" xfId="9239" xr:uid="{00000000-0005-0000-0000-000094390000}"/>
    <cellStyle name="Normal 3 15 8 2 7 2" xfId="26827" xr:uid="{00000000-0005-0000-0000-000095390000}"/>
    <cellStyle name="Normal 3 15 8 2 8" xfId="9240" xr:uid="{00000000-0005-0000-0000-000096390000}"/>
    <cellStyle name="Normal 3 15 8 2 8 2" xfId="26828" xr:uid="{00000000-0005-0000-0000-000097390000}"/>
    <cellStyle name="Normal 3 15 8 2 9" xfId="9241" xr:uid="{00000000-0005-0000-0000-000098390000}"/>
    <cellStyle name="Normal 3 15 8 2 9 2" xfId="26829" xr:uid="{00000000-0005-0000-0000-000099390000}"/>
    <cellStyle name="Normal 3 15 8 3" xfId="9242" xr:uid="{00000000-0005-0000-0000-00009A390000}"/>
    <cellStyle name="Normal 3 15 8 3 2" xfId="26830" xr:uid="{00000000-0005-0000-0000-00009B390000}"/>
    <cellStyle name="Normal 3 15 8 4" xfId="9243" xr:uid="{00000000-0005-0000-0000-00009C390000}"/>
    <cellStyle name="Normal 3 15 8 4 2" xfId="26831" xr:uid="{00000000-0005-0000-0000-00009D390000}"/>
    <cellStyle name="Normal 3 15 8 5" xfId="9244" xr:uid="{00000000-0005-0000-0000-00009E390000}"/>
    <cellStyle name="Normal 3 15 8 5 2" xfId="26832" xr:uid="{00000000-0005-0000-0000-00009F390000}"/>
    <cellStyle name="Normal 3 15 8 6" xfId="9245" xr:uid="{00000000-0005-0000-0000-0000A0390000}"/>
    <cellStyle name="Normal 3 15 8 6 2" xfId="26833" xr:uid="{00000000-0005-0000-0000-0000A1390000}"/>
    <cellStyle name="Normal 3 15 8 7" xfId="9246" xr:uid="{00000000-0005-0000-0000-0000A2390000}"/>
    <cellStyle name="Normal 3 15 8 7 2" xfId="26834" xr:uid="{00000000-0005-0000-0000-0000A3390000}"/>
    <cellStyle name="Normal 3 15 8 8" xfId="9247" xr:uid="{00000000-0005-0000-0000-0000A4390000}"/>
    <cellStyle name="Normal 3 15 8 8 2" xfId="26835" xr:uid="{00000000-0005-0000-0000-0000A5390000}"/>
    <cellStyle name="Normal 3 15 8 9" xfId="9248" xr:uid="{00000000-0005-0000-0000-0000A6390000}"/>
    <cellStyle name="Normal 3 15 8 9 2" xfId="26836" xr:uid="{00000000-0005-0000-0000-0000A7390000}"/>
    <cellStyle name="Normal 3 15 9" xfId="9249" xr:uid="{00000000-0005-0000-0000-0000A8390000}"/>
    <cellStyle name="Normal 3 15 9 10" xfId="9250" xr:uid="{00000000-0005-0000-0000-0000A9390000}"/>
    <cellStyle name="Normal 3 15 9 10 2" xfId="26838" xr:uid="{00000000-0005-0000-0000-0000AA390000}"/>
    <cellStyle name="Normal 3 15 9 11" xfId="9251" xr:uid="{00000000-0005-0000-0000-0000AB390000}"/>
    <cellStyle name="Normal 3 15 9 11 2" xfId="26839" xr:uid="{00000000-0005-0000-0000-0000AC390000}"/>
    <cellStyle name="Normal 3 15 9 12" xfId="9252" xr:uid="{00000000-0005-0000-0000-0000AD390000}"/>
    <cellStyle name="Normal 3 15 9 12 2" xfId="26840" xr:uid="{00000000-0005-0000-0000-0000AE390000}"/>
    <cellStyle name="Normal 3 15 9 13" xfId="9253" xr:uid="{00000000-0005-0000-0000-0000AF390000}"/>
    <cellStyle name="Normal 3 15 9 13 2" xfId="26841" xr:uid="{00000000-0005-0000-0000-0000B0390000}"/>
    <cellStyle name="Normal 3 15 9 14" xfId="9254" xr:uid="{00000000-0005-0000-0000-0000B1390000}"/>
    <cellStyle name="Normal 3 15 9 14 2" xfId="26842" xr:uid="{00000000-0005-0000-0000-0000B2390000}"/>
    <cellStyle name="Normal 3 15 9 15" xfId="26837" xr:uid="{00000000-0005-0000-0000-0000B3390000}"/>
    <cellStyle name="Normal 3 15 9 2" xfId="9255" xr:uid="{00000000-0005-0000-0000-0000B4390000}"/>
    <cellStyle name="Normal 3 15 9 2 2" xfId="26843" xr:uid="{00000000-0005-0000-0000-0000B5390000}"/>
    <cellStyle name="Normal 3 15 9 3" xfId="9256" xr:uid="{00000000-0005-0000-0000-0000B6390000}"/>
    <cellStyle name="Normal 3 15 9 3 2" xfId="26844" xr:uid="{00000000-0005-0000-0000-0000B7390000}"/>
    <cellStyle name="Normal 3 15 9 4" xfId="9257" xr:uid="{00000000-0005-0000-0000-0000B8390000}"/>
    <cellStyle name="Normal 3 15 9 4 2" xfId="26845" xr:uid="{00000000-0005-0000-0000-0000B9390000}"/>
    <cellStyle name="Normal 3 15 9 5" xfId="9258" xr:uid="{00000000-0005-0000-0000-0000BA390000}"/>
    <cellStyle name="Normal 3 15 9 5 2" xfId="26846" xr:uid="{00000000-0005-0000-0000-0000BB390000}"/>
    <cellStyle name="Normal 3 15 9 6" xfId="9259" xr:uid="{00000000-0005-0000-0000-0000BC390000}"/>
    <cellStyle name="Normal 3 15 9 6 2" xfId="26847" xr:uid="{00000000-0005-0000-0000-0000BD390000}"/>
    <cellStyle name="Normal 3 15 9 7" xfId="9260" xr:uid="{00000000-0005-0000-0000-0000BE390000}"/>
    <cellStyle name="Normal 3 15 9 7 2" xfId="26848" xr:uid="{00000000-0005-0000-0000-0000BF390000}"/>
    <cellStyle name="Normal 3 15 9 8" xfId="9261" xr:uid="{00000000-0005-0000-0000-0000C0390000}"/>
    <cellStyle name="Normal 3 15 9 8 2" xfId="26849" xr:uid="{00000000-0005-0000-0000-0000C1390000}"/>
    <cellStyle name="Normal 3 15 9 9" xfId="9262" xr:uid="{00000000-0005-0000-0000-0000C2390000}"/>
    <cellStyle name="Normal 3 15 9 9 2" xfId="26850" xr:uid="{00000000-0005-0000-0000-0000C3390000}"/>
    <cellStyle name="Normal 3 16" xfId="9263" xr:uid="{00000000-0005-0000-0000-0000C4390000}"/>
    <cellStyle name="Normal 3 16 10" xfId="9264" xr:uid="{00000000-0005-0000-0000-0000C5390000}"/>
    <cellStyle name="Normal 3 16 10 10" xfId="9265" xr:uid="{00000000-0005-0000-0000-0000C6390000}"/>
    <cellStyle name="Normal 3 16 10 10 2" xfId="26852" xr:uid="{00000000-0005-0000-0000-0000C7390000}"/>
    <cellStyle name="Normal 3 16 10 11" xfId="9266" xr:uid="{00000000-0005-0000-0000-0000C8390000}"/>
    <cellStyle name="Normal 3 16 10 11 2" xfId="26853" xr:uid="{00000000-0005-0000-0000-0000C9390000}"/>
    <cellStyle name="Normal 3 16 10 12" xfId="9267" xr:uid="{00000000-0005-0000-0000-0000CA390000}"/>
    <cellStyle name="Normal 3 16 10 12 2" xfId="26854" xr:uid="{00000000-0005-0000-0000-0000CB390000}"/>
    <cellStyle name="Normal 3 16 10 13" xfId="9268" xr:uid="{00000000-0005-0000-0000-0000CC390000}"/>
    <cellStyle name="Normal 3 16 10 13 2" xfId="26855" xr:uid="{00000000-0005-0000-0000-0000CD390000}"/>
    <cellStyle name="Normal 3 16 10 14" xfId="9269" xr:uid="{00000000-0005-0000-0000-0000CE390000}"/>
    <cellStyle name="Normal 3 16 10 14 2" xfId="26856" xr:uid="{00000000-0005-0000-0000-0000CF390000}"/>
    <cellStyle name="Normal 3 16 10 15" xfId="26851" xr:uid="{00000000-0005-0000-0000-0000D0390000}"/>
    <cellStyle name="Normal 3 16 10 2" xfId="9270" xr:uid="{00000000-0005-0000-0000-0000D1390000}"/>
    <cellStyle name="Normal 3 16 10 2 2" xfId="26857" xr:uid="{00000000-0005-0000-0000-0000D2390000}"/>
    <cellStyle name="Normal 3 16 10 3" xfId="9271" xr:uid="{00000000-0005-0000-0000-0000D3390000}"/>
    <cellStyle name="Normal 3 16 10 3 2" xfId="26858" xr:uid="{00000000-0005-0000-0000-0000D4390000}"/>
    <cellStyle name="Normal 3 16 10 4" xfId="9272" xr:uid="{00000000-0005-0000-0000-0000D5390000}"/>
    <cellStyle name="Normal 3 16 10 4 2" xfId="26859" xr:uid="{00000000-0005-0000-0000-0000D6390000}"/>
    <cellStyle name="Normal 3 16 10 5" xfId="9273" xr:uid="{00000000-0005-0000-0000-0000D7390000}"/>
    <cellStyle name="Normal 3 16 10 5 2" xfId="26860" xr:uid="{00000000-0005-0000-0000-0000D8390000}"/>
    <cellStyle name="Normal 3 16 10 6" xfId="9274" xr:uid="{00000000-0005-0000-0000-0000D9390000}"/>
    <cellStyle name="Normal 3 16 10 6 2" xfId="26861" xr:uid="{00000000-0005-0000-0000-0000DA390000}"/>
    <cellStyle name="Normal 3 16 10 7" xfId="9275" xr:uid="{00000000-0005-0000-0000-0000DB390000}"/>
    <cellStyle name="Normal 3 16 10 7 2" xfId="26862" xr:uid="{00000000-0005-0000-0000-0000DC390000}"/>
    <cellStyle name="Normal 3 16 10 8" xfId="9276" xr:uid="{00000000-0005-0000-0000-0000DD390000}"/>
    <cellStyle name="Normal 3 16 10 8 2" xfId="26863" xr:uid="{00000000-0005-0000-0000-0000DE390000}"/>
    <cellStyle name="Normal 3 16 10 9" xfId="9277" xr:uid="{00000000-0005-0000-0000-0000DF390000}"/>
    <cellStyle name="Normal 3 16 10 9 2" xfId="26864" xr:uid="{00000000-0005-0000-0000-0000E0390000}"/>
    <cellStyle name="Normal 3 16 11" xfId="9278" xr:uid="{00000000-0005-0000-0000-0000E1390000}"/>
    <cellStyle name="Normal 3 16 11 10" xfId="9279" xr:uid="{00000000-0005-0000-0000-0000E2390000}"/>
    <cellStyle name="Normal 3 16 11 10 2" xfId="26866" xr:uid="{00000000-0005-0000-0000-0000E3390000}"/>
    <cellStyle name="Normal 3 16 11 11" xfId="9280" xr:uid="{00000000-0005-0000-0000-0000E4390000}"/>
    <cellStyle name="Normal 3 16 11 11 2" xfId="26867" xr:uid="{00000000-0005-0000-0000-0000E5390000}"/>
    <cellStyle name="Normal 3 16 11 12" xfId="9281" xr:uid="{00000000-0005-0000-0000-0000E6390000}"/>
    <cellStyle name="Normal 3 16 11 12 2" xfId="26868" xr:uid="{00000000-0005-0000-0000-0000E7390000}"/>
    <cellStyle name="Normal 3 16 11 13" xfId="9282" xr:uid="{00000000-0005-0000-0000-0000E8390000}"/>
    <cellStyle name="Normal 3 16 11 13 2" xfId="26869" xr:uid="{00000000-0005-0000-0000-0000E9390000}"/>
    <cellStyle name="Normal 3 16 11 14" xfId="9283" xr:uid="{00000000-0005-0000-0000-0000EA390000}"/>
    <cellStyle name="Normal 3 16 11 14 2" xfId="26870" xr:uid="{00000000-0005-0000-0000-0000EB390000}"/>
    <cellStyle name="Normal 3 16 11 15" xfId="26865" xr:uid="{00000000-0005-0000-0000-0000EC390000}"/>
    <cellStyle name="Normal 3 16 11 2" xfId="9284" xr:uid="{00000000-0005-0000-0000-0000ED390000}"/>
    <cellStyle name="Normal 3 16 11 2 2" xfId="26871" xr:uid="{00000000-0005-0000-0000-0000EE390000}"/>
    <cellStyle name="Normal 3 16 11 3" xfId="9285" xr:uid="{00000000-0005-0000-0000-0000EF390000}"/>
    <cellStyle name="Normal 3 16 11 3 2" xfId="26872" xr:uid="{00000000-0005-0000-0000-0000F0390000}"/>
    <cellStyle name="Normal 3 16 11 4" xfId="9286" xr:uid="{00000000-0005-0000-0000-0000F1390000}"/>
    <cellStyle name="Normal 3 16 11 4 2" xfId="26873" xr:uid="{00000000-0005-0000-0000-0000F2390000}"/>
    <cellStyle name="Normal 3 16 11 5" xfId="9287" xr:uid="{00000000-0005-0000-0000-0000F3390000}"/>
    <cellStyle name="Normal 3 16 11 5 2" xfId="26874" xr:uid="{00000000-0005-0000-0000-0000F4390000}"/>
    <cellStyle name="Normal 3 16 11 6" xfId="9288" xr:uid="{00000000-0005-0000-0000-0000F5390000}"/>
    <cellStyle name="Normal 3 16 11 6 2" xfId="26875" xr:uid="{00000000-0005-0000-0000-0000F6390000}"/>
    <cellStyle name="Normal 3 16 11 7" xfId="9289" xr:uid="{00000000-0005-0000-0000-0000F7390000}"/>
    <cellStyle name="Normal 3 16 11 7 2" xfId="26876" xr:uid="{00000000-0005-0000-0000-0000F8390000}"/>
    <cellStyle name="Normal 3 16 11 8" xfId="9290" xr:uid="{00000000-0005-0000-0000-0000F9390000}"/>
    <cellStyle name="Normal 3 16 11 8 2" xfId="26877" xr:uid="{00000000-0005-0000-0000-0000FA390000}"/>
    <cellStyle name="Normal 3 16 11 9" xfId="9291" xr:uid="{00000000-0005-0000-0000-0000FB390000}"/>
    <cellStyle name="Normal 3 16 11 9 2" xfId="26878" xr:uid="{00000000-0005-0000-0000-0000FC390000}"/>
    <cellStyle name="Normal 3 16 12" xfId="9292" xr:uid="{00000000-0005-0000-0000-0000FD390000}"/>
    <cellStyle name="Normal 3 16 12 10" xfId="9293" xr:uid="{00000000-0005-0000-0000-0000FE390000}"/>
    <cellStyle name="Normal 3 16 12 10 2" xfId="26880" xr:uid="{00000000-0005-0000-0000-0000FF390000}"/>
    <cellStyle name="Normal 3 16 12 11" xfId="9294" xr:uid="{00000000-0005-0000-0000-0000003A0000}"/>
    <cellStyle name="Normal 3 16 12 11 2" xfId="26881" xr:uid="{00000000-0005-0000-0000-0000013A0000}"/>
    <cellStyle name="Normal 3 16 12 12" xfId="9295" xr:uid="{00000000-0005-0000-0000-0000023A0000}"/>
    <cellStyle name="Normal 3 16 12 12 2" xfId="26882" xr:uid="{00000000-0005-0000-0000-0000033A0000}"/>
    <cellStyle name="Normal 3 16 12 13" xfId="9296" xr:uid="{00000000-0005-0000-0000-0000043A0000}"/>
    <cellStyle name="Normal 3 16 12 13 2" xfId="26883" xr:uid="{00000000-0005-0000-0000-0000053A0000}"/>
    <cellStyle name="Normal 3 16 12 14" xfId="9297" xr:uid="{00000000-0005-0000-0000-0000063A0000}"/>
    <cellStyle name="Normal 3 16 12 14 2" xfId="26884" xr:uid="{00000000-0005-0000-0000-0000073A0000}"/>
    <cellStyle name="Normal 3 16 12 15" xfId="26879" xr:uid="{00000000-0005-0000-0000-0000083A0000}"/>
    <cellStyle name="Normal 3 16 12 2" xfId="9298" xr:uid="{00000000-0005-0000-0000-0000093A0000}"/>
    <cellStyle name="Normal 3 16 12 2 2" xfId="26885" xr:uid="{00000000-0005-0000-0000-00000A3A0000}"/>
    <cellStyle name="Normal 3 16 12 3" xfId="9299" xr:uid="{00000000-0005-0000-0000-00000B3A0000}"/>
    <cellStyle name="Normal 3 16 12 3 2" xfId="26886" xr:uid="{00000000-0005-0000-0000-00000C3A0000}"/>
    <cellStyle name="Normal 3 16 12 4" xfId="9300" xr:uid="{00000000-0005-0000-0000-00000D3A0000}"/>
    <cellStyle name="Normal 3 16 12 4 2" xfId="26887" xr:uid="{00000000-0005-0000-0000-00000E3A0000}"/>
    <cellStyle name="Normal 3 16 12 5" xfId="9301" xr:uid="{00000000-0005-0000-0000-00000F3A0000}"/>
    <cellStyle name="Normal 3 16 12 5 2" xfId="26888" xr:uid="{00000000-0005-0000-0000-0000103A0000}"/>
    <cellStyle name="Normal 3 16 12 6" xfId="9302" xr:uid="{00000000-0005-0000-0000-0000113A0000}"/>
    <cellStyle name="Normal 3 16 12 6 2" xfId="26889" xr:uid="{00000000-0005-0000-0000-0000123A0000}"/>
    <cellStyle name="Normal 3 16 12 7" xfId="9303" xr:uid="{00000000-0005-0000-0000-0000133A0000}"/>
    <cellStyle name="Normal 3 16 12 7 2" xfId="26890" xr:uid="{00000000-0005-0000-0000-0000143A0000}"/>
    <cellStyle name="Normal 3 16 12 8" xfId="9304" xr:uid="{00000000-0005-0000-0000-0000153A0000}"/>
    <cellStyle name="Normal 3 16 12 8 2" xfId="26891" xr:uid="{00000000-0005-0000-0000-0000163A0000}"/>
    <cellStyle name="Normal 3 16 12 9" xfId="9305" xr:uid="{00000000-0005-0000-0000-0000173A0000}"/>
    <cellStyle name="Normal 3 16 12 9 2" xfId="26892" xr:uid="{00000000-0005-0000-0000-0000183A0000}"/>
    <cellStyle name="Normal 3 16 13" xfId="9306" xr:uid="{00000000-0005-0000-0000-0000193A0000}"/>
    <cellStyle name="Normal 3 16 13 10" xfId="9307" xr:uid="{00000000-0005-0000-0000-00001A3A0000}"/>
    <cellStyle name="Normal 3 16 13 10 2" xfId="26894" xr:uid="{00000000-0005-0000-0000-00001B3A0000}"/>
    <cellStyle name="Normal 3 16 13 11" xfId="9308" xr:uid="{00000000-0005-0000-0000-00001C3A0000}"/>
    <cellStyle name="Normal 3 16 13 11 2" xfId="26895" xr:uid="{00000000-0005-0000-0000-00001D3A0000}"/>
    <cellStyle name="Normal 3 16 13 12" xfId="9309" xr:uid="{00000000-0005-0000-0000-00001E3A0000}"/>
    <cellStyle name="Normal 3 16 13 12 2" xfId="26896" xr:uid="{00000000-0005-0000-0000-00001F3A0000}"/>
    <cellStyle name="Normal 3 16 13 13" xfId="9310" xr:uid="{00000000-0005-0000-0000-0000203A0000}"/>
    <cellStyle name="Normal 3 16 13 13 2" xfId="26897" xr:uid="{00000000-0005-0000-0000-0000213A0000}"/>
    <cellStyle name="Normal 3 16 13 14" xfId="9311" xr:uid="{00000000-0005-0000-0000-0000223A0000}"/>
    <cellStyle name="Normal 3 16 13 14 2" xfId="26898" xr:uid="{00000000-0005-0000-0000-0000233A0000}"/>
    <cellStyle name="Normal 3 16 13 15" xfId="26893" xr:uid="{00000000-0005-0000-0000-0000243A0000}"/>
    <cellStyle name="Normal 3 16 13 2" xfId="9312" xr:uid="{00000000-0005-0000-0000-0000253A0000}"/>
    <cellStyle name="Normal 3 16 13 2 2" xfId="26899" xr:uid="{00000000-0005-0000-0000-0000263A0000}"/>
    <cellStyle name="Normal 3 16 13 3" xfId="9313" xr:uid="{00000000-0005-0000-0000-0000273A0000}"/>
    <cellStyle name="Normal 3 16 13 3 2" xfId="26900" xr:uid="{00000000-0005-0000-0000-0000283A0000}"/>
    <cellStyle name="Normal 3 16 13 4" xfId="9314" xr:uid="{00000000-0005-0000-0000-0000293A0000}"/>
    <cellStyle name="Normal 3 16 13 4 2" xfId="26901" xr:uid="{00000000-0005-0000-0000-00002A3A0000}"/>
    <cellStyle name="Normal 3 16 13 5" xfId="9315" xr:uid="{00000000-0005-0000-0000-00002B3A0000}"/>
    <cellStyle name="Normal 3 16 13 5 2" xfId="26902" xr:uid="{00000000-0005-0000-0000-00002C3A0000}"/>
    <cellStyle name="Normal 3 16 13 6" xfId="9316" xr:uid="{00000000-0005-0000-0000-00002D3A0000}"/>
    <cellStyle name="Normal 3 16 13 6 2" xfId="26903" xr:uid="{00000000-0005-0000-0000-00002E3A0000}"/>
    <cellStyle name="Normal 3 16 13 7" xfId="9317" xr:uid="{00000000-0005-0000-0000-00002F3A0000}"/>
    <cellStyle name="Normal 3 16 13 7 2" xfId="26904" xr:uid="{00000000-0005-0000-0000-0000303A0000}"/>
    <cellStyle name="Normal 3 16 13 8" xfId="9318" xr:uid="{00000000-0005-0000-0000-0000313A0000}"/>
    <cellStyle name="Normal 3 16 13 8 2" xfId="26905" xr:uid="{00000000-0005-0000-0000-0000323A0000}"/>
    <cellStyle name="Normal 3 16 13 9" xfId="9319" xr:uid="{00000000-0005-0000-0000-0000333A0000}"/>
    <cellStyle name="Normal 3 16 13 9 2" xfId="26906" xr:uid="{00000000-0005-0000-0000-0000343A0000}"/>
    <cellStyle name="Normal 3 16 14" xfId="9320" xr:uid="{00000000-0005-0000-0000-0000353A0000}"/>
    <cellStyle name="Normal 3 16 14 10" xfId="9321" xr:uid="{00000000-0005-0000-0000-0000363A0000}"/>
    <cellStyle name="Normal 3 16 14 10 2" xfId="26908" xr:uid="{00000000-0005-0000-0000-0000373A0000}"/>
    <cellStyle name="Normal 3 16 14 11" xfId="9322" xr:uid="{00000000-0005-0000-0000-0000383A0000}"/>
    <cellStyle name="Normal 3 16 14 11 2" xfId="26909" xr:uid="{00000000-0005-0000-0000-0000393A0000}"/>
    <cellStyle name="Normal 3 16 14 12" xfId="9323" xr:uid="{00000000-0005-0000-0000-00003A3A0000}"/>
    <cellStyle name="Normal 3 16 14 12 2" xfId="26910" xr:uid="{00000000-0005-0000-0000-00003B3A0000}"/>
    <cellStyle name="Normal 3 16 14 13" xfId="9324" xr:uid="{00000000-0005-0000-0000-00003C3A0000}"/>
    <cellStyle name="Normal 3 16 14 13 2" xfId="26911" xr:uid="{00000000-0005-0000-0000-00003D3A0000}"/>
    <cellStyle name="Normal 3 16 14 14" xfId="9325" xr:uid="{00000000-0005-0000-0000-00003E3A0000}"/>
    <cellStyle name="Normal 3 16 14 14 2" xfId="26912" xr:uid="{00000000-0005-0000-0000-00003F3A0000}"/>
    <cellStyle name="Normal 3 16 14 15" xfId="26907" xr:uid="{00000000-0005-0000-0000-0000403A0000}"/>
    <cellStyle name="Normal 3 16 14 2" xfId="9326" xr:uid="{00000000-0005-0000-0000-0000413A0000}"/>
    <cellStyle name="Normal 3 16 14 2 2" xfId="26913" xr:uid="{00000000-0005-0000-0000-0000423A0000}"/>
    <cellStyle name="Normal 3 16 14 3" xfId="9327" xr:uid="{00000000-0005-0000-0000-0000433A0000}"/>
    <cellStyle name="Normal 3 16 14 3 2" xfId="26914" xr:uid="{00000000-0005-0000-0000-0000443A0000}"/>
    <cellStyle name="Normal 3 16 14 4" xfId="9328" xr:uid="{00000000-0005-0000-0000-0000453A0000}"/>
    <cellStyle name="Normal 3 16 14 4 2" xfId="26915" xr:uid="{00000000-0005-0000-0000-0000463A0000}"/>
    <cellStyle name="Normal 3 16 14 5" xfId="9329" xr:uid="{00000000-0005-0000-0000-0000473A0000}"/>
    <cellStyle name="Normal 3 16 14 5 2" xfId="26916" xr:uid="{00000000-0005-0000-0000-0000483A0000}"/>
    <cellStyle name="Normal 3 16 14 6" xfId="9330" xr:uid="{00000000-0005-0000-0000-0000493A0000}"/>
    <cellStyle name="Normal 3 16 14 6 2" xfId="26917" xr:uid="{00000000-0005-0000-0000-00004A3A0000}"/>
    <cellStyle name="Normal 3 16 14 7" xfId="9331" xr:uid="{00000000-0005-0000-0000-00004B3A0000}"/>
    <cellStyle name="Normal 3 16 14 7 2" xfId="26918" xr:uid="{00000000-0005-0000-0000-00004C3A0000}"/>
    <cellStyle name="Normal 3 16 14 8" xfId="9332" xr:uid="{00000000-0005-0000-0000-00004D3A0000}"/>
    <cellStyle name="Normal 3 16 14 8 2" xfId="26919" xr:uid="{00000000-0005-0000-0000-00004E3A0000}"/>
    <cellStyle name="Normal 3 16 14 9" xfId="9333" xr:uid="{00000000-0005-0000-0000-00004F3A0000}"/>
    <cellStyle name="Normal 3 16 14 9 2" xfId="26920" xr:uid="{00000000-0005-0000-0000-0000503A0000}"/>
    <cellStyle name="Normal 3 16 15" xfId="9334" xr:uid="{00000000-0005-0000-0000-0000513A0000}"/>
    <cellStyle name="Normal 3 16 16" xfId="9335" xr:uid="{00000000-0005-0000-0000-0000523A0000}"/>
    <cellStyle name="Normal 3 16 17" xfId="9336" xr:uid="{00000000-0005-0000-0000-0000533A0000}"/>
    <cellStyle name="Normal 3 16 17 10" xfId="9337" xr:uid="{00000000-0005-0000-0000-0000543A0000}"/>
    <cellStyle name="Normal 3 16 17 10 2" xfId="26922" xr:uid="{00000000-0005-0000-0000-0000553A0000}"/>
    <cellStyle name="Normal 3 16 17 11" xfId="9338" xr:uid="{00000000-0005-0000-0000-0000563A0000}"/>
    <cellStyle name="Normal 3 16 17 11 2" xfId="26923" xr:uid="{00000000-0005-0000-0000-0000573A0000}"/>
    <cellStyle name="Normal 3 16 17 12" xfId="9339" xr:uid="{00000000-0005-0000-0000-0000583A0000}"/>
    <cellStyle name="Normal 3 16 17 12 2" xfId="26924" xr:uid="{00000000-0005-0000-0000-0000593A0000}"/>
    <cellStyle name="Normal 3 16 17 13" xfId="9340" xr:uid="{00000000-0005-0000-0000-00005A3A0000}"/>
    <cellStyle name="Normal 3 16 17 13 2" xfId="26925" xr:uid="{00000000-0005-0000-0000-00005B3A0000}"/>
    <cellStyle name="Normal 3 16 17 14" xfId="9341" xr:uid="{00000000-0005-0000-0000-00005C3A0000}"/>
    <cellStyle name="Normal 3 16 17 14 2" xfId="26926" xr:uid="{00000000-0005-0000-0000-00005D3A0000}"/>
    <cellStyle name="Normal 3 16 17 15" xfId="26921" xr:uid="{00000000-0005-0000-0000-00005E3A0000}"/>
    <cellStyle name="Normal 3 16 17 2" xfId="9342" xr:uid="{00000000-0005-0000-0000-00005F3A0000}"/>
    <cellStyle name="Normal 3 16 17 2 2" xfId="26927" xr:uid="{00000000-0005-0000-0000-0000603A0000}"/>
    <cellStyle name="Normal 3 16 17 3" xfId="9343" xr:uid="{00000000-0005-0000-0000-0000613A0000}"/>
    <cellStyle name="Normal 3 16 17 3 2" xfId="26928" xr:uid="{00000000-0005-0000-0000-0000623A0000}"/>
    <cellStyle name="Normal 3 16 17 4" xfId="9344" xr:uid="{00000000-0005-0000-0000-0000633A0000}"/>
    <cellStyle name="Normal 3 16 17 4 2" xfId="26929" xr:uid="{00000000-0005-0000-0000-0000643A0000}"/>
    <cellStyle name="Normal 3 16 17 5" xfId="9345" xr:uid="{00000000-0005-0000-0000-0000653A0000}"/>
    <cellStyle name="Normal 3 16 17 5 2" xfId="26930" xr:uid="{00000000-0005-0000-0000-0000663A0000}"/>
    <cellStyle name="Normal 3 16 17 6" xfId="9346" xr:uid="{00000000-0005-0000-0000-0000673A0000}"/>
    <cellStyle name="Normal 3 16 17 6 2" xfId="26931" xr:uid="{00000000-0005-0000-0000-0000683A0000}"/>
    <cellStyle name="Normal 3 16 17 7" xfId="9347" xr:uid="{00000000-0005-0000-0000-0000693A0000}"/>
    <cellStyle name="Normal 3 16 17 7 2" xfId="26932" xr:uid="{00000000-0005-0000-0000-00006A3A0000}"/>
    <cellStyle name="Normal 3 16 17 8" xfId="9348" xr:uid="{00000000-0005-0000-0000-00006B3A0000}"/>
    <cellStyle name="Normal 3 16 17 8 2" xfId="26933" xr:uid="{00000000-0005-0000-0000-00006C3A0000}"/>
    <cellStyle name="Normal 3 16 17 9" xfId="9349" xr:uid="{00000000-0005-0000-0000-00006D3A0000}"/>
    <cellStyle name="Normal 3 16 17 9 2" xfId="26934" xr:uid="{00000000-0005-0000-0000-00006E3A0000}"/>
    <cellStyle name="Normal 3 16 18" xfId="9350" xr:uid="{00000000-0005-0000-0000-00006F3A0000}"/>
    <cellStyle name="Normal 3 16 18 10" xfId="9351" xr:uid="{00000000-0005-0000-0000-0000703A0000}"/>
    <cellStyle name="Normal 3 16 18 10 2" xfId="26936" xr:uid="{00000000-0005-0000-0000-0000713A0000}"/>
    <cellStyle name="Normal 3 16 18 11" xfId="9352" xr:uid="{00000000-0005-0000-0000-0000723A0000}"/>
    <cellStyle name="Normal 3 16 18 11 2" xfId="26937" xr:uid="{00000000-0005-0000-0000-0000733A0000}"/>
    <cellStyle name="Normal 3 16 18 12" xfId="9353" xr:uid="{00000000-0005-0000-0000-0000743A0000}"/>
    <cellStyle name="Normal 3 16 18 12 2" xfId="26938" xr:uid="{00000000-0005-0000-0000-0000753A0000}"/>
    <cellStyle name="Normal 3 16 18 13" xfId="9354" xr:uid="{00000000-0005-0000-0000-0000763A0000}"/>
    <cellStyle name="Normal 3 16 18 13 2" xfId="26939" xr:uid="{00000000-0005-0000-0000-0000773A0000}"/>
    <cellStyle name="Normal 3 16 18 14" xfId="9355" xr:uid="{00000000-0005-0000-0000-0000783A0000}"/>
    <cellStyle name="Normal 3 16 18 14 2" xfId="26940" xr:uid="{00000000-0005-0000-0000-0000793A0000}"/>
    <cellStyle name="Normal 3 16 18 15" xfId="26935" xr:uid="{00000000-0005-0000-0000-00007A3A0000}"/>
    <cellStyle name="Normal 3 16 18 2" xfId="9356" xr:uid="{00000000-0005-0000-0000-00007B3A0000}"/>
    <cellStyle name="Normal 3 16 18 2 2" xfId="26941" xr:uid="{00000000-0005-0000-0000-00007C3A0000}"/>
    <cellStyle name="Normal 3 16 18 3" xfId="9357" xr:uid="{00000000-0005-0000-0000-00007D3A0000}"/>
    <cellStyle name="Normal 3 16 18 3 2" xfId="26942" xr:uid="{00000000-0005-0000-0000-00007E3A0000}"/>
    <cellStyle name="Normal 3 16 18 4" xfId="9358" xr:uid="{00000000-0005-0000-0000-00007F3A0000}"/>
    <cellStyle name="Normal 3 16 18 4 2" xfId="26943" xr:uid="{00000000-0005-0000-0000-0000803A0000}"/>
    <cellStyle name="Normal 3 16 18 5" xfId="9359" xr:uid="{00000000-0005-0000-0000-0000813A0000}"/>
    <cellStyle name="Normal 3 16 18 5 2" xfId="26944" xr:uid="{00000000-0005-0000-0000-0000823A0000}"/>
    <cellStyle name="Normal 3 16 18 6" xfId="9360" xr:uid="{00000000-0005-0000-0000-0000833A0000}"/>
    <cellStyle name="Normal 3 16 18 6 2" xfId="26945" xr:uid="{00000000-0005-0000-0000-0000843A0000}"/>
    <cellStyle name="Normal 3 16 18 7" xfId="9361" xr:uid="{00000000-0005-0000-0000-0000853A0000}"/>
    <cellStyle name="Normal 3 16 18 7 2" xfId="26946" xr:uid="{00000000-0005-0000-0000-0000863A0000}"/>
    <cellStyle name="Normal 3 16 18 8" xfId="9362" xr:uid="{00000000-0005-0000-0000-0000873A0000}"/>
    <cellStyle name="Normal 3 16 18 8 2" xfId="26947" xr:uid="{00000000-0005-0000-0000-0000883A0000}"/>
    <cellStyle name="Normal 3 16 18 9" xfId="9363" xr:uid="{00000000-0005-0000-0000-0000893A0000}"/>
    <cellStyle name="Normal 3 16 18 9 2" xfId="26948" xr:uid="{00000000-0005-0000-0000-00008A3A0000}"/>
    <cellStyle name="Normal 3 16 2" xfId="9364" xr:uid="{00000000-0005-0000-0000-00008B3A0000}"/>
    <cellStyle name="Normal 3 16 2 10" xfId="9365" xr:uid="{00000000-0005-0000-0000-00008C3A0000}"/>
    <cellStyle name="Normal 3 16 2 10 2" xfId="26950" xr:uid="{00000000-0005-0000-0000-00008D3A0000}"/>
    <cellStyle name="Normal 3 16 2 11" xfId="9366" xr:uid="{00000000-0005-0000-0000-00008E3A0000}"/>
    <cellStyle name="Normal 3 16 2 11 2" xfId="26951" xr:uid="{00000000-0005-0000-0000-00008F3A0000}"/>
    <cellStyle name="Normal 3 16 2 12" xfId="9367" xr:uid="{00000000-0005-0000-0000-0000903A0000}"/>
    <cellStyle name="Normal 3 16 2 12 2" xfId="26952" xr:uid="{00000000-0005-0000-0000-0000913A0000}"/>
    <cellStyle name="Normal 3 16 2 13" xfId="9368" xr:uid="{00000000-0005-0000-0000-0000923A0000}"/>
    <cellStyle name="Normal 3 16 2 13 2" xfId="26953" xr:uid="{00000000-0005-0000-0000-0000933A0000}"/>
    <cellStyle name="Normal 3 16 2 14" xfId="9369" xr:uid="{00000000-0005-0000-0000-0000943A0000}"/>
    <cellStyle name="Normal 3 16 2 14 2" xfId="26954" xr:uid="{00000000-0005-0000-0000-0000953A0000}"/>
    <cellStyle name="Normal 3 16 2 15" xfId="9370" xr:uid="{00000000-0005-0000-0000-0000963A0000}"/>
    <cellStyle name="Normal 3 16 2 15 2" xfId="26955" xr:uid="{00000000-0005-0000-0000-0000973A0000}"/>
    <cellStyle name="Normal 3 16 2 16" xfId="9371" xr:uid="{00000000-0005-0000-0000-0000983A0000}"/>
    <cellStyle name="Normal 3 16 2 16 2" xfId="26956" xr:uid="{00000000-0005-0000-0000-0000993A0000}"/>
    <cellStyle name="Normal 3 16 2 17" xfId="9372" xr:uid="{00000000-0005-0000-0000-00009A3A0000}"/>
    <cellStyle name="Normal 3 16 2 17 2" xfId="26957" xr:uid="{00000000-0005-0000-0000-00009B3A0000}"/>
    <cellStyle name="Normal 3 16 2 18" xfId="26949" xr:uid="{00000000-0005-0000-0000-00009C3A0000}"/>
    <cellStyle name="Normal 3 16 2 2" xfId="9373" xr:uid="{00000000-0005-0000-0000-00009D3A0000}"/>
    <cellStyle name="Normal 3 16 2 3" xfId="9374" xr:uid="{00000000-0005-0000-0000-00009E3A0000}"/>
    <cellStyle name="Normal 3 16 2 4" xfId="9375" xr:uid="{00000000-0005-0000-0000-00009F3A0000}"/>
    <cellStyle name="Normal 3 16 2 5" xfId="9376" xr:uid="{00000000-0005-0000-0000-0000A03A0000}"/>
    <cellStyle name="Normal 3 16 2 5 2" xfId="26958" xr:uid="{00000000-0005-0000-0000-0000A13A0000}"/>
    <cellStyle name="Normal 3 16 2 6" xfId="9377" xr:uid="{00000000-0005-0000-0000-0000A23A0000}"/>
    <cellStyle name="Normal 3 16 2 6 2" xfId="26959" xr:uid="{00000000-0005-0000-0000-0000A33A0000}"/>
    <cellStyle name="Normal 3 16 2 7" xfId="9378" xr:uid="{00000000-0005-0000-0000-0000A43A0000}"/>
    <cellStyle name="Normal 3 16 2 7 2" xfId="26960" xr:uid="{00000000-0005-0000-0000-0000A53A0000}"/>
    <cellStyle name="Normal 3 16 2 8" xfId="9379" xr:uid="{00000000-0005-0000-0000-0000A63A0000}"/>
    <cellStyle name="Normal 3 16 2 8 2" xfId="26961" xr:uid="{00000000-0005-0000-0000-0000A73A0000}"/>
    <cellStyle name="Normal 3 16 2 9" xfId="9380" xr:uid="{00000000-0005-0000-0000-0000A83A0000}"/>
    <cellStyle name="Normal 3 16 2 9 2" xfId="26962" xr:uid="{00000000-0005-0000-0000-0000A93A0000}"/>
    <cellStyle name="Normal 3 16 3" xfId="9381" xr:uid="{00000000-0005-0000-0000-0000AA3A0000}"/>
    <cellStyle name="Normal 3 16 4" xfId="9382" xr:uid="{00000000-0005-0000-0000-0000AB3A0000}"/>
    <cellStyle name="Normal 3 16 5" xfId="9383" xr:uid="{00000000-0005-0000-0000-0000AC3A0000}"/>
    <cellStyle name="Normal 3 16 6" xfId="9384" xr:uid="{00000000-0005-0000-0000-0000AD3A0000}"/>
    <cellStyle name="Normal 3 16 6 10" xfId="9385" xr:uid="{00000000-0005-0000-0000-0000AE3A0000}"/>
    <cellStyle name="Normal 3 16 6 10 2" xfId="26964" xr:uid="{00000000-0005-0000-0000-0000AF3A0000}"/>
    <cellStyle name="Normal 3 16 6 11" xfId="9386" xr:uid="{00000000-0005-0000-0000-0000B03A0000}"/>
    <cellStyle name="Normal 3 16 6 11 2" xfId="26965" xr:uid="{00000000-0005-0000-0000-0000B13A0000}"/>
    <cellStyle name="Normal 3 16 6 12" xfId="9387" xr:uid="{00000000-0005-0000-0000-0000B23A0000}"/>
    <cellStyle name="Normal 3 16 6 12 2" xfId="26966" xr:uid="{00000000-0005-0000-0000-0000B33A0000}"/>
    <cellStyle name="Normal 3 16 6 13" xfId="9388" xr:uid="{00000000-0005-0000-0000-0000B43A0000}"/>
    <cellStyle name="Normal 3 16 6 13 2" xfId="26967" xr:uid="{00000000-0005-0000-0000-0000B53A0000}"/>
    <cellStyle name="Normal 3 16 6 14" xfId="9389" xr:uid="{00000000-0005-0000-0000-0000B63A0000}"/>
    <cellStyle name="Normal 3 16 6 14 2" xfId="26968" xr:uid="{00000000-0005-0000-0000-0000B73A0000}"/>
    <cellStyle name="Normal 3 16 6 15" xfId="9390" xr:uid="{00000000-0005-0000-0000-0000B83A0000}"/>
    <cellStyle name="Normal 3 16 6 15 2" xfId="26969" xr:uid="{00000000-0005-0000-0000-0000B93A0000}"/>
    <cellStyle name="Normal 3 16 6 16" xfId="26963" xr:uid="{00000000-0005-0000-0000-0000BA3A0000}"/>
    <cellStyle name="Normal 3 16 6 2" xfId="9391" xr:uid="{00000000-0005-0000-0000-0000BB3A0000}"/>
    <cellStyle name="Normal 3 16 6 2 10" xfId="9392" xr:uid="{00000000-0005-0000-0000-0000BC3A0000}"/>
    <cellStyle name="Normal 3 16 6 2 10 2" xfId="26971" xr:uid="{00000000-0005-0000-0000-0000BD3A0000}"/>
    <cellStyle name="Normal 3 16 6 2 11" xfId="9393" xr:uid="{00000000-0005-0000-0000-0000BE3A0000}"/>
    <cellStyle name="Normal 3 16 6 2 11 2" xfId="26972" xr:uid="{00000000-0005-0000-0000-0000BF3A0000}"/>
    <cellStyle name="Normal 3 16 6 2 12" xfId="9394" xr:uid="{00000000-0005-0000-0000-0000C03A0000}"/>
    <cellStyle name="Normal 3 16 6 2 12 2" xfId="26973" xr:uid="{00000000-0005-0000-0000-0000C13A0000}"/>
    <cellStyle name="Normal 3 16 6 2 13" xfId="9395" xr:uid="{00000000-0005-0000-0000-0000C23A0000}"/>
    <cellStyle name="Normal 3 16 6 2 13 2" xfId="26974" xr:uid="{00000000-0005-0000-0000-0000C33A0000}"/>
    <cellStyle name="Normal 3 16 6 2 14" xfId="9396" xr:uid="{00000000-0005-0000-0000-0000C43A0000}"/>
    <cellStyle name="Normal 3 16 6 2 14 2" xfId="26975" xr:uid="{00000000-0005-0000-0000-0000C53A0000}"/>
    <cellStyle name="Normal 3 16 6 2 15" xfId="26970" xr:uid="{00000000-0005-0000-0000-0000C63A0000}"/>
    <cellStyle name="Normal 3 16 6 2 2" xfId="9397" xr:uid="{00000000-0005-0000-0000-0000C73A0000}"/>
    <cellStyle name="Normal 3 16 6 2 2 2" xfId="26976" xr:uid="{00000000-0005-0000-0000-0000C83A0000}"/>
    <cellStyle name="Normal 3 16 6 2 3" xfId="9398" xr:uid="{00000000-0005-0000-0000-0000C93A0000}"/>
    <cellStyle name="Normal 3 16 6 2 3 2" xfId="26977" xr:uid="{00000000-0005-0000-0000-0000CA3A0000}"/>
    <cellStyle name="Normal 3 16 6 2 4" xfId="9399" xr:uid="{00000000-0005-0000-0000-0000CB3A0000}"/>
    <cellStyle name="Normal 3 16 6 2 4 2" xfId="26978" xr:uid="{00000000-0005-0000-0000-0000CC3A0000}"/>
    <cellStyle name="Normal 3 16 6 2 5" xfId="9400" xr:uid="{00000000-0005-0000-0000-0000CD3A0000}"/>
    <cellStyle name="Normal 3 16 6 2 5 2" xfId="26979" xr:uid="{00000000-0005-0000-0000-0000CE3A0000}"/>
    <cellStyle name="Normal 3 16 6 2 6" xfId="9401" xr:uid="{00000000-0005-0000-0000-0000CF3A0000}"/>
    <cellStyle name="Normal 3 16 6 2 6 2" xfId="26980" xr:uid="{00000000-0005-0000-0000-0000D03A0000}"/>
    <cellStyle name="Normal 3 16 6 2 7" xfId="9402" xr:uid="{00000000-0005-0000-0000-0000D13A0000}"/>
    <cellStyle name="Normal 3 16 6 2 7 2" xfId="26981" xr:uid="{00000000-0005-0000-0000-0000D23A0000}"/>
    <cellStyle name="Normal 3 16 6 2 8" xfId="9403" xr:uid="{00000000-0005-0000-0000-0000D33A0000}"/>
    <cellStyle name="Normal 3 16 6 2 8 2" xfId="26982" xr:uid="{00000000-0005-0000-0000-0000D43A0000}"/>
    <cellStyle name="Normal 3 16 6 2 9" xfId="9404" xr:uid="{00000000-0005-0000-0000-0000D53A0000}"/>
    <cellStyle name="Normal 3 16 6 2 9 2" xfId="26983" xr:uid="{00000000-0005-0000-0000-0000D63A0000}"/>
    <cellStyle name="Normal 3 16 6 3" xfId="9405" xr:uid="{00000000-0005-0000-0000-0000D73A0000}"/>
    <cellStyle name="Normal 3 16 6 3 2" xfId="26984" xr:uid="{00000000-0005-0000-0000-0000D83A0000}"/>
    <cellStyle name="Normal 3 16 6 4" xfId="9406" xr:uid="{00000000-0005-0000-0000-0000D93A0000}"/>
    <cellStyle name="Normal 3 16 6 4 2" xfId="26985" xr:uid="{00000000-0005-0000-0000-0000DA3A0000}"/>
    <cellStyle name="Normal 3 16 6 5" xfId="9407" xr:uid="{00000000-0005-0000-0000-0000DB3A0000}"/>
    <cellStyle name="Normal 3 16 6 5 2" xfId="26986" xr:uid="{00000000-0005-0000-0000-0000DC3A0000}"/>
    <cellStyle name="Normal 3 16 6 6" xfId="9408" xr:uid="{00000000-0005-0000-0000-0000DD3A0000}"/>
    <cellStyle name="Normal 3 16 6 6 2" xfId="26987" xr:uid="{00000000-0005-0000-0000-0000DE3A0000}"/>
    <cellStyle name="Normal 3 16 6 7" xfId="9409" xr:uid="{00000000-0005-0000-0000-0000DF3A0000}"/>
    <cellStyle name="Normal 3 16 6 7 2" xfId="26988" xr:uid="{00000000-0005-0000-0000-0000E03A0000}"/>
    <cellStyle name="Normal 3 16 6 8" xfId="9410" xr:uid="{00000000-0005-0000-0000-0000E13A0000}"/>
    <cellStyle name="Normal 3 16 6 8 2" xfId="26989" xr:uid="{00000000-0005-0000-0000-0000E23A0000}"/>
    <cellStyle name="Normal 3 16 6 9" xfId="9411" xr:uid="{00000000-0005-0000-0000-0000E33A0000}"/>
    <cellStyle name="Normal 3 16 6 9 2" xfId="26990" xr:uid="{00000000-0005-0000-0000-0000E43A0000}"/>
    <cellStyle name="Normal 3 16 7" xfId="9412" xr:uid="{00000000-0005-0000-0000-0000E53A0000}"/>
    <cellStyle name="Normal 3 16 7 10" xfId="9413" xr:uid="{00000000-0005-0000-0000-0000E63A0000}"/>
    <cellStyle name="Normal 3 16 7 10 2" xfId="26992" xr:uid="{00000000-0005-0000-0000-0000E73A0000}"/>
    <cellStyle name="Normal 3 16 7 11" xfId="9414" xr:uid="{00000000-0005-0000-0000-0000E83A0000}"/>
    <cellStyle name="Normal 3 16 7 11 2" xfId="26993" xr:uid="{00000000-0005-0000-0000-0000E93A0000}"/>
    <cellStyle name="Normal 3 16 7 12" xfId="9415" xr:uid="{00000000-0005-0000-0000-0000EA3A0000}"/>
    <cellStyle name="Normal 3 16 7 12 2" xfId="26994" xr:uid="{00000000-0005-0000-0000-0000EB3A0000}"/>
    <cellStyle name="Normal 3 16 7 13" xfId="9416" xr:uid="{00000000-0005-0000-0000-0000EC3A0000}"/>
    <cellStyle name="Normal 3 16 7 13 2" xfId="26995" xr:uid="{00000000-0005-0000-0000-0000ED3A0000}"/>
    <cellStyle name="Normal 3 16 7 14" xfId="9417" xr:uid="{00000000-0005-0000-0000-0000EE3A0000}"/>
    <cellStyle name="Normal 3 16 7 14 2" xfId="26996" xr:uid="{00000000-0005-0000-0000-0000EF3A0000}"/>
    <cellStyle name="Normal 3 16 7 15" xfId="9418" xr:uid="{00000000-0005-0000-0000-0000F03A0000}"/>
    <cellStyle name="Normal 3 16 7 15 2" xfId="26997" xr:uid="{00000000-0005-0000-0000-0000F13A0000}"/>
    <cellStyle name="Normal 3 16 7 16" xfId="26991" xr:uid="{00000000-0005-0000-0000-0000F23A0000}"/>
    <cellStyle name="Normal 3 16 7 2" xfId="9419" xr:uid="{00000000-0005-0000-0000-0000F33A0000}"/>
    <cellStyle name="Normal 3 16 7 2 10" xfId="9420" xr:uid="{00000000-0005-0000-0000-0000F43A0000}"/>
    <cellStyle name="Normal 3 16 7 2 10 2" xfId="26999" xr:uid="{00000000-0005-0000-0000-0000F53A0000}"/>
    <cellStyle name="Normal 3 16 7 2 11" xfId="9421" xr:uid="{00000000-0005-0000-0000-0000F63A0000}"/>
    <cellStyle name="Normal 3 16 7 2 11 2" xfId="27000" xr:uid="{00000000-0005-0000-0000-0000F73A0000}"/>
    <cellStyle name="Normal 3 16 7 2 12" xfId="9422" xr:uid="{00000000-0005-0000-0000-0000F83A0000}"/>
    <cellStyle name="Normal 3 16 7 2 12 2" xfId="27001" xr:uid="{00000000-0005-0000-0000-0000F93A0000}"/>
    <cellStyle name="Normal 3 16 7 2 13" xfId="9423" xr:uid="{00000000-0005-0000-0000-0000FA3A0000}"/>
    <cellStyle name="Normal 3 16 7 2 13 2" xfId="27002" xr:uid="{00000000-0005-0000-0000-0000FB3A0000}"/>
    <cellStyle name="Normal 3 16 7 2 14" xfId="9424" xr:uid="{00000000-0005-0000-0000-0000FC3A0000}"/>
    <cellStyle name="Normal 3 16 7 2 14 2" xfId="27003" xr:uid="{00000000-0005-0000-0000-0000FD3A0000}"/>
    <cellStyle name="Normal 3 16 7 2 15" xfId="26998" xr:uid="{00000000-0005-0000-0000-0000FE3A0000}"/>
    <cellStyle name="Normal 3 16 7 2 2" xfId="9425" xr:uid="{00000000-0005-0000-0000-0000FF3A0000}"/>
    <cellStyle name="Normal 3 16 7 2 2 2" xfId="27004" xr:uid="{00000000-0005-0000-0000-0000003B0000}"/>
    <cellStyle name="Normal 3 16 7 2 3" xfId="9426" xr:uid="{00000000-0005-0000-0000-0000013B0000}"/>
    <cellStyle name="Normal 3 16 7 2 3 2" xfId="27005" xr:uid="{00000000-0005-0000-0000-0000023B0000}"/>
    <cellStyle name="Normal 3 16 7 2 4" xfId="9427" xr:uid="{00000000-0005-0000-0000-0000033B0000}"/>
    <cellStyle name="Normal 3 16 7 2 4 2" xfId="27006" xr:uid="{00000000-0005-0000-0000-0000043B0000}"/>
    <cellStyle name="Normal 3 16 7 2 5" xfId="9428" xr:uid="{00000000-0005-0000-0000-0000053B0000}"/>
    <cellStyle name="Normal 3 16 7 2 5 2" xfId="27007" xr:uid="{00000000-0005-0000-0000-0000063B0000}"/>
    <cellStyle name="Normal 3 16 7 2 6" xfId="9429" xr:uid="{00000000-0005-0000-0000-0000073B0000}"/>
    <cellStyle name="Normal 3 16 7 2 6 2" xfId="27008" xr:uid="{00000000-0005-0000-0000-0000083B0000}"/>
    <cellStyle name="Normal 3 16 7 2 7" xfId="9430" xr:uid="{00000000-0005-0000-0000-0000093B0000}"/>
    <cellStyle name="Normal 3 16 7 2 7 2" xfId="27009" xr:uid="{00000000-0005-0000-0000-00000A3B0000}"/>
    <cellStyle name="Normal 3 16 7 2 8" xfId="9431" xr:uid="{00000000-0005-0000-0000-00000B3B0000}"/>
    <cellStyle name="Normal 3 16 7 2 8 2" xfId="27010" xr:uid="{00000000-0005-0000-0000-00000C3B0000}"/>
    <cellStyle name="Normal 3 16 7 2 9" xfId="9432" xr:uid="{00000000-0005-0000-0000-00000D3B0000}"/>
    <cellStyle name="Normal 3 16 7 2 9 2" xfId="27011" xr:uid="{00000000-0005-0000-0000-00000E3B0000}"/>
    <cellStyle name="Normal 3 16 7 3" xfId="9433" xr:uid="{00000000-0005-0000-0000-00000F3B0000}"/>
    <cellStyle name="Normal 3 16 7 3 2" xfId="27012" xr:uid="{00000000-0005-0000-0000-0000103B0000}"/>
    <cellStyle name="Normal 3 16 7 4" xfId="9434" xr:uid="{00000000-0005-0000-0000-0000113B0000}"/>
    <cellStyle name="Normal 3 16 7 4 2" xfId="27013" xr:uid="{00000000-0005-0000-0000-0000123B0000}"/>
    <cellStyle name="Normal 3 16 7 5" xfId="9435" xr:uid="{00000000-0005-0000-0000-0000133B0000}"/>
    <cellStyle name="Normal 3 16 7 5 2" xfId="27014" xr:uid="{00000000-0005-0000-0000-0000143B0000}"/>
    <cellStyle name="Normal 3 16 7 6" xfId="9436" xr:uid="{00000000-0005-0000-0000-0000153B0000}"/>
    <cellStyle name="Normal 3 16 7 6 2" xfId="27015" xr:uid="{00000000-0005-0000-0000-0000163B0000}"/>
    <cellStyle name="Normal 3 16 7 7" xfId="9437" xr:uid="{00000000-0005-0000-0000-0000173B0000}"/>
    <cellStyle name="Normal 3 16 7 7 2" xfId="27016" xr:uid="{00000000-0005-0000-0000-0000183B0000}"/>
    <cellStyle name="Normal 3 16 7 8" xfId="9438" xr:uid="{00000000-0005-0000-0000-0000193B0000}"/>
    <cellStyle name="Normal 3 16 7 8 2" xfId="27017" xr:uid="{00000000-0005-0000-0000-00001A3B0000}"/>
    <cellStyle name="Normal 3 16 7 9" xfId="9439" xr:uid="{00000000-0005-0000-0000-00001B3B0000}"/>
    <cellStyle name="Normal 3 16 7 9 2" xfId="27018" xr:uid="{00000000-0005-0000-0000-00001C3B0000}"/>
    <cellStyle name="Normal 3 16 8" xfId="9440" xr:uid="{00000000-0005-0000-0000-00001D3B0000}"/>
    <cellStyle name="Normal 3 16 8 10" xfId="9441" xr:uid="{00000000-0005-0000-0000-00001E3B0000}"/>
    <cellStyle name="Normal 3 16 8 10 2" xfId="27020" xr:uid="{00000000-0005-0000-0000-00001F3B0000}"/>
    <cellStyle name="Normal 3 16 8 11" xfId="9442" xr:uid="{00000000-0005-0000-0000-0000203B0000}"/>
    <cellStyle name="Normal 3 16 8 11 2" xfId="27021" xr:uid="{00000000-0005-0000-0000-0000213B0000}"/>
    <cellStyle name="Normal 3 16 8 12" xfId="9443" xr:uid="{00000000-0005-0000-0000-0000223B0000}"/>
    <cellStyle name="Normal 3 16 8 12 2" xfId="27022" xr:uid="{00000000-0005-0000-0000-0000233B0000}"/>
    <cellStyle name="Normal 3 16 8 13" xfId="9444" xr:uid="{00000000-0005-0000-0000-0000243B0000}"/>
    <cellStyle name="Normal 3 16 8 13 2" xfId="27023" xr:uid="{00000000-0005-0000-0000-0000253B0000}"/>
    <cellStyle name="Normal 3 16 8 14" xfId="9445" xr:uid="{00000000-0005-0000-0000-0000263B0000}"/>
    <cellStyle name="Normal 3 16 8 14 2" xfId="27024" xr:uid="{00000000-0005-0000-0000-0000273B0000}"/>
    <cellStyle name="Normal 3 16 8 15" xfId="9446" xr:uid="{00000000-0005-0000-0000-0000283B0000}"/>
    <cellStyle name="Normal 3 16 8 15 2" xfId="27025" xr:uid="{00000000-0005-0000-0000-0000293B0000}"/>
    <cellStyle name="Normal 3 16 8 16" xfId="27019" xr:uid="{00000000-0005-0000-0000-00002A3B0000}"/>
    <cellStyle name="Normal 3 16 8 2" xfId="9447" xr:uid="{00000000-0005-0000-0000-00002B3B0000}"/>
    <cellStyle name="Normal 3 16 8 2 10" xfId="9448" xr:uid="{00000000-0005-0000-0000-00002C3B0000}"/>
    <cellStyle name="Normal 3 16 8 2 10 2" xfId="27027" xr:uid="{00000000-0005-0000-0000-00002D3B0000}"/>
    <cellStyle name="Normal 3 16 8 2 11" xfId="9449" xr:uid="{00000000-0005-0000-0000-00002E3B0000}"/>
    <cellStyle name="Normal 3 16 8 2 11 2" xfId="27028" xr:uid="{00000000-0005-0000-0000-00002F3B0000}"/>
    <cellStyle name="Normal 3 16 8 2 12" xfId="9450" xr:uid="{00000000-0005-0000-0000-0000303B0000}"/>
    <cellStyle name="Normal 3 16 8 2 12 2" xfId="27029" xr:uid="{00000000-0005-0000-0000-0000313B0000}"/>
    <cellStyle name="Normal 3 16 8 2 13" xfId="9451" xr:uid="{00000000-0005-0000-0000-0000323B0000}"/>
    <cellStyle name="Normal 3 16 8 2 13 2" xfId="27030" xr:uid="{00000000-0005-0000-0000-0000333B0000}"/>
    <cellStyle name="Normal 3 16 8 2 14" xfId="9452" xr:uid="{00000000-0005-0000-0000-0000343B0000}"/>
    <cellStyle name="Normal 3 16 8 2 14 2" xfId="27031" xr:uid="{00000000-0005-0000-0000-0000353B0000}"/>
    <cellStyle name="Normal 3 16 8 2 15" xfId="27026" xr:uid="{00000000-0005-0000-0000-0000363B0000}"/>
    <cellStyle name="Normal 3 16 8 2 2" xfId="9453" xr:uid="{00000000-0005-0000-0000-0000373B0000}"/>
    <cellStyle name="Normal 3 16 8 2 2 2" xfId="27032" xr:uid="{00000000-0005-0000-0000-0000383B0000}"/>
    <cellStyle name="Normal 3 16 8 2 3" xfId="9454" xr:uid="{00000000-0005-0000-0000-0000393B0000}"/>
    <cellStyle name="Normal 3 16 8 2 3 2" xfId="27033" xr:uid="{00000000-0005-0000-0000-00003A3B0000}"/>
    <cellStyle name="Normal 3 16 8 2 4" xfId="9455" xr:uid="{00000000-0005-0000-0000-00003B3B0000}"/>
    <cellStyle name="Normal 3 16 8 2 4 2" xfId="27034" xr:uid="{00000000-0005-0000-0000-00003C3B0000}"/>
    <cellStyle name="Normal 3 16 8 2 5" xfId="9456" xr:uid="{00000000-0005-0000-0000-00003D3B0000}"/>
    <cellStyle name="Normal 3 16 8 2 5 2" xfId="27035" xr:uid="{00000000-0005-0000-0000-00003E3B0000}"/>
    <cellStyle name="Normal 3 16 8 2 6" xfId="9457" xr:uid="{00000000-0005-0000-0000-00003F3B0000}"/>
    <cellStyle name="Normal 3 16 8 2 6 2" xfId="27036" xr:uid="{00000000-0005-0000-0000-0000403B0000}"/>
    <cellStyle name="Normal 3 16 8 2 7" xfId="9458" xr:uid="{00000000-0005-0000-0000-0000413B0000}"/>
    <cellStyle name="Normal 3 16 8 2 7 2" xfId="27037" xr:uid="{00000000-0005-0000-0000-0000423B0000}"/>
    <cellStyle name="Normal 3 16 8 2 8" xfId="9459" xr:uid="{00000000-0005-0000-0000-0000433B0000}"/>
    <cellStyle name="Normal 3 16 8 2 8 2" xfId="27038" xr:uid="{00000000-0005-0000-0000-0000443B0000}"/>
    <cellStyle name="Normal 3 16 8 2 9" xfId="9460" xr:uid="{00000000-0005-0000-0000-0000453B0000}"/>
    <cellStyle name="Normal 3 16 8 2 9 2" xfId="27039" xr:uid="{00000000-0005-0000-0000-0000463B0000}"/>
    <cellStyle name="Normal 3 16 8 3" xfId="9461" xr:uid="{00000000-0005-0000-0000-0000473B0000}"/>
    <cellStyle name="Normal 3 16 8 3 2" xfId="27040" xr:uid="{00000000-0005-0000-0000-0000483B0000}"/>
    <cellStyle name="Normal 3 16 8 4" xfId="9462" xr:uid="{00000000-0005-0000-0000-0000493B0000}"/>
    <cellStyle name="Normal 3 16 8 4 2" xfId="27041" xr:uid="{00000000-0005-0000-0000-00004A3B0000}"/>
    <cellStyle name="Normal 3 16 8 5" xfId="9463" xr:uid="{00000000-0005-0000-0000-00004B3B0000}"/>
    <cellStyle name="Normal 3 16 8 5 2" xfId="27042" xr:uid="{00000000-0005-0000-0000-00004C3B0000}"/>
    <cellStyle name="Normal 3 16 8 6" xfId="9464" xr:uid="{00000000-0005-0000-0000-00004D3B0000}"/>
    <cellStyle name="Normal 3 16 8 6 2" xfId="27043" xr:uid="{00000000-0005-0000-0000-00004E3B0000}"/>
    <cellStyle name="Normal 3 16 8 7" xfId="9465" xr:uid="{00000000-0005-0000-0000-00004F3B0000}"/>
    <cellStyle name="Normal 3 16 8 7 2" xfId="27044" xr:uid="{00000000-0005-0000-0000-0000503B0000}"/>
    <cellStyle name="Normal 3 16 8 8" xfId="9466" xr:uid="{00000000-0005-0000-0000-0000513B0000}"/>
    <cellStyle name="Normal 3 16 8 8 2" xfId="27045" xr:uid="{00000000-0005-0000-0000-0000523B0000}"/>
    <cellStyle name="Normal 3 16 8 9" xfId="9467" xr:uid="{00000000-0005-0000-0000-0000533B0000}"/>
    <cellStyle name="Normal 3 16 8 9 2" xfId="27046" xr:uid="{00000000-0005-0000-0000-0000543B0000}"/>
    <cellStyle name="Normal 3 16 9" xfId="9468" xr:uid="{00000000-0005-0000-0000-0000553B0000}"/>
    <cellStyle name="Normal 3 16 9 10" xfId="9469" xr:uid="{00000000-0005-0000-0000-0000563B0000}"/>
    <cellStyle name="Normal 3 16 9 10 2" xfId="27048" xr:uid="{00000000-0005-0000-0000-0000573B0000}"/>
    <cellStyle name="Normal 3 16 9 11" xfId="9470" xr:uid="{00000000-0005-0000-0000-0000583B0000}"/>
    <cellStyle name="Normal 3 16 9 11 2" xfId="27049" xr:uid="{00000000-0005-0000-0000-0000593B0000}"/>
    <cellStyle name="Normal 3 16 9 12" xfId="9471" xr:uid="{00000000-0005-0000-0000-00005A3B0000}"/>
    <cellStyle name="Normal 3 16 9 12 2" xfId="27050" xr:uid="{00000000-0005-0000-0000-00005B3B0000}"/>
    <cellStyle name="Normal 3 16 9 13" xfId="9472" xr:uid="{00000000-0005-0000-0000-00005C3B0000}"/>
    <cellStyle name="Normal 3 16 9 13 2" xfId="27051" xr:uid="{00000000-0005-0000-0000-00005D3B0000}"/>
    <cellStyle name="Normal 3 16 9 14" xfId="9473" xr:uid="{00000000-0005-0000-0000-00005E3B0000}"/>
    <cellStyle name="Normal 3 16 9 14 2" xfId="27052" xr:uid="{00000000-0005-0000-0000-00005F3B0000}"/>
    <cellStyle name="Normal 3 16 9 15" xfId="27047" xr:uid="{00000000-0005-0000-0000-0000603B0000}"/>
    <cellStyle name="Normal 3 16 9 2" xfId="9474" xr:uid="{00000000-0005-0000-0000-0000613B0000}"/>
    <cellStyle name="Normal 3 16 9 2 2" xfId="27053" xr:uid="{00000000-0005-0000-0000-0000623B0000}"/>
    <cellStyle name="Normal 3 16 9 3" xfId="9475" xr:uid="{00000000-0005-0000-0000-0000633B0000}"/>
    <cellStyle name="Normal 3 16 9 3 2" xfId="27054" xr:uid="{00000000-0005-0000-0000-0000643B0000}"/>
    <cellStyle name="Normal 3 16 9 4" xfId="9476" xr:uid="{00000000-0005-0000-0000-0000653B0000}"/>
    <cellStyle name="Normal 3 16 9 4 2" xfId="27055" xr:uid="{00000000-0005-0000-0000-0000663B0000}"/>
    <cellStyle name="Normal 3 16 9 5" xfId="9477" xr:uid="{00000000-0005-0000-0000-0000673B0000}"/>
    <cellStyle name="Normal 3 16 9 5 2" xfId="27056" xr:uid="{00000000-0005-0000-0000-0000683B0000}"/>
    <cellStyle name="Normal 3 16 9 6" xfId="9478" xr:uid="{00000000-0005-0000-0000-0000693B0000}"/>
    <cellStyle name="Normal 3 16 9 6 2" xfId="27057" xr:uid="{00000000-0005-0000-0000-00006A3B0000}"/>
    <cellStyle name="Normal 3 16 9 7" xfId="9479" xr:uid="{00000000-0005-0000-0000-00006B3B0000}"/>
    <cellStyle name="Normal 3 16 9 7 2" xfId="27058" xr:uid="{00000000-0005-0000-0000-00006C3B0000}"/>
    <cellStyle name="Normal 3 16 9 8" xfId="9480" xr:uid="{00000000-0005-0000-0000-00006D3B0000}"/>
    <cellStyle name="Normal 3 16 9 8 2" xfId="27059" xr:uid="{00000000-0005-0000-0000-00006E3B0000}"/>
    <cellStyle name="Normal 3 16 9 9" xfId="9481" xr:uid="{00000000-0005-0000-0000-00006F3B0000}"/>
    <cellStyle name="Normal 3 16 9 9 2" xfId="27060" xr:uid="{00000000-0005-0000-0000-0000703B0000}"/>
    <cellStyle name="Normal 3 17" xfId="9482" xr:uid="{00000000-0005-0000-0000-0000713B0000}"/>
    <cellStyle name="Normal 3 17 10" xfId="9483" xr:uid="{00000000-0005-0000-0000-0000723B0000}"/>
    <cellStyle name="Normal 3 17 10 10" xfId="9484" xr:uid="{00000000-0005-0000-0000-0000733B0000}"/>
    <cellStyle name="Normal 3 17 10 10 2" xfId="27062" xr:uid="{00000000-0005-0000-0000-0000743B0000}"/>
    <cellStyle name="Normal 3 17 10 11" xfId="9485" xr:uid="{00000000-0005-0000-0000-0000753B0000}"/>
    <cellStyle name="Normal 3 17 10 11 2" xfId="27063" xr:uid="{00000000-0005-0000-0000-0000763B0000}"/>
    <cellStyle name="Normal 3 17 10 12" xfId="9486" xr:uid="{00000000-0005-0000-0000-0000773B0000}"/>
    <cellStyle name="Normal 3 17 10 12 2" xfId="27064" xr:uid="{00000000-0005-0000-0000-0000783B0000}"/>
    <cellStyle name="Normal 3 17 10 13" xfId="9487" xr:uid="{00000000-0005-0000-0000-0000793B0000}"/>
    <cellStyle name="Normal 3 17 10 13 2" xfId="27065" xr:uid="{00000000-0005-0000-0000-00007A3B0000}"/>
    <cellStyle name="Normal 3 17 10 14" xfId="9488" xr:uid="{00000000-0005-0000-0000-00007B3B0000}"/>
    <cellStyle name="Normal 3 17 10 14 2" xfId="27066" xr:uid="{00000000-0005-0000-0000-00007C3B0000}"/>
    <cellStyle name="Normal 3 17 10 15" xfId="27061" xr:uid="{00000000-0005-0000-0000-00007D3B0000}"/>
    <cellStyle name="Normal 3 17 10 2" xfId="9489" xr:uid="{00000000-0005-0000-0000-00007E3B0000}"/>
    <cellStyle name="Normal 3 17 10 2 2" xfId="27067" xr:uid="{00000000-0005-0000-0000-00007F3B0000}"/>
    <cellStyle name="Normal 3 17 10 3" xfId="9490" xr:uid="{00000000-0005-0000-0000-0000803B0000}"/>
    <cellStyle name="Normal 3 17 10 3 2" xfId="27068" xr:uid="{00000000-0005-0000-0000-0000813B0000}"/>
    <cellStyle name="Normal 3 17 10 4" xfId="9491" xr:uid="{00000000-0005-0000-0000-0000823B0000}"/>
    <cellStyle name="Normal 3 17 10 4 2" xfId="27069" xr:uid="{00000000-0005-0000-0000-0000833B0000}"/>
    <cellStyle name="Normal 3 17 10 5" xfId="9492" xr:uid="{00000000-0005-0000-0000-0000843B0000}"/>
    <cellStyle name="Normal 3 17 10 5 2" xfId="27070" xr:uid="{00000000-0005-0000-0000-0000853B0000}"/>
    <cellStyle name="Normal 3 17 10 6" xfId="9493" xr:uid="{00000000-0005-0000-0000-0000863B0000}"/>
    <cellStyle name="Normal 3 17 10 6 2" xfId="27071" xr:uid="{00000000-0005-0000-0000-0000873B0000}"/>
    <cellStyle name="Normal 3 17 10 7" xfId="9494" xr:uid="{00000000-0005-0000-0000-0000883B0000}"/>
    <cellStyle name="Normal 3 17 10 7 2" xfId="27072" xr:uid="{00000000-0005-0000-0000-0000893B0000}"/>
    <cellStyle name="Normal 3 17 10 8" xfId="9495" xr:uid="{00000000-0005-0000-0000-00008A3B0000}"/>
    <cellStyle name="Normal 3 17 10 8 2" xfId="27073" xr:uid="{00000000-0005-0000-0000-00008B3B0000}"/>
    <cellStyle name="Normal 3 17 10 9" xfId="9496" xr:uid="{00000000-0005-0000-0000-00008C3B0000}"/>
    <cellStyle name="Normal 3 17 10 9 2" xfId="27074" xr:uid="{00000000-0005-0000-0000-00008D3B0000}"/>
    <cellStyle name="Normal 3 17 11" xfId="9497" xr:uid="{00000000-0005-0000-0000-00008E3B0000}"/>
    <cellStyle name="Normal 3 17 11 10" xfId="9498" xr:uid="{00000000-0005-0000-0000-00008F3B0000}"/>
    <cellStyle name="Normal 3 17 11 10 2" xfId="27076" xr:uid="{00000000-0005-0000-0000-0000903B0000}"/>
    <cellStyle name="Normal 3 17 11 11" xfId="9499" xr:uid="{00000000-0005-0000-0000-0000913B0000}"/>
    <cellStyle name="Normal 3 17 11 11 2" xfId="27077" xr:uid="{00000000-0005-0000-0000-0000923B0000}"/>
    <cellStyle name="Normal 3 17 11 12" xfId="9500" xr:uid="{00000000-0005-0000-0000-0000933B0000}"/>
    <cellStyle name="Normal 3 17 11 12 2" xfId="27078" xr:uid="{00000000-0005-0000-0000-0000943B0000}"/>
    <cellStyle name="Normal 3 17 11 13" xfId="9501" xr:uid="{00000000-0005-0000-0000-0000953B0000}"/>
    <cellStyle name="Normal 3 17 11 13 2" xfId="27079" xr:uid="{00000000-0005-0000-0000-0000963B0000}"/>
    <cellStyle name="Normal 3 17 11 14" xfId="9502" xr:uid="{00000000-0005-0000-0000-0000973B0000}"/>
    <cellStyle name="Normal 3 17 11 14 2" xfId="27080" xr:uid="{00000000-0005-0000-0000-0000983B0000}"/>
    <cellStyle name="Normal 3 17 11 15" xfId="27075" xr:uid="{00000000-0005-0000-0000-0000993B0000}"/>
    <cellStyle name="Normal 3 17 11 2" xfId="9503" xr:uid="{00000000-0005-0000-0000-00009A3B0000}"/>
    <cellStyle name="Normal 3 17 11 2 2" xfId="27081" xr:uid="{00000000-0005-0000-0000-00009B3B0000}"/>
    <cellStyle name="Normal 3 17 11 3" xfId="9504" xr:uid="{00000000-0005-0000-0000-00009C3B0000}"/>
    <cellStyle name="Normal 3 17 11 3 2" xfId="27082" xr:uid="{00000000-0005-0000-0000-00009D3B0000}"/>
    <cellStyle name="Normal 3 17 11 4" xfId="9505" xr:uid="{00000000-0005-0000-0000-00009E3B0000}"/>
    <cellStyle name="Normal 3 17 11 4 2" xfId="27083" xr:uid="{00000000-0005-0000-0000-00009F3B0000}"/>
    <cellStyle name="Normal 3 17 11 5" xfId="9506" xr:uid="{00000000-0005-0000-0000-0000A03B0000}"/>
    <cellStyle name="Normal 3 17 11 5 2" xfId="27084" xr:uid="{00000000-0005-0000-0000-0000A13B0000}"/>
    <cellStyle name="Normal 3 17 11 6" xfId="9507" xr:uid="{00000000-0005-0000-0000-0000A23B0000}"/>
    <cellStyle name="Normal 3 17 11 6 2" xfId="27085" xr:uid="{00000000-0005-0000-0000-0000A33B0000}"/>
    <cellStyle name="Normal 3 17 11 7" xfId="9508" xr:uid="{00000000-0005-0000-0000-0000A43B0000}"/>
    <cellStyle name="Normal 3 17 11 7 2" xfId="27086" xr:uid="{00000000-0005-0000-0000-0000A53B0000}"/>
    <cellStyle name="Normal 3 17 11 8" xfId="9509" xr:uid="{00000000-0005-0000-0000-0000A63B0000}"/>
    <cellStyle name="Normal 3 17 11 8 2" xfId="27087" xr:uid="{00000000-0005-0000-0000-0000A73B0000}"/>
    <cellStyle name="Normal 3 17 11 9" xfId="9510" xr:uid="{00000000-0005-0000-0000-0000A83B0000}"/>
    <cellStyle name="Normal 3 17 11 9 2" xfId="27088" xr:uid="{00000000-0005-0000-0000-0000A93B0000}"/>
    <cellStyle name="Normal 3 17 12" xfId="9511" xr:uid="{00000000-0005-0000-0000-0000AA3B0000}"/>
    <cellStyle name="Normal 3 17 12 10" xfId="9512" xr:uid="{00000000-0005-0000-0000-0000AB3B0000}"/>
    <cellStyle name="Normal 3 17 12 10 2" xfId="27090" xr:uid="{00000000-0005-0000-0000-0000AC3B0000}"/>
    <cellStyle name="Normal 3 17 12 11" xfId="9513" xr:uid="{00000000-0005-0000-0000-0000AD3B0000}"/>
    <cellStyle name="Normal 3 17 12 11 2" xfId="27091" xr:uid="{00000000-0005-0000-0000-0000AE3B0000}"/>
    <cellStyle name="Normal 3 17 12 12" xfId="9514" xr:uid="{00000000-0005-0000-0000-0000AF3B0000}"/>
    <cellStyle name="Normal 3 17 12 12 2" xfId="27092" xr:uid="{00000000-0005-0000-0000-0000B03B0000}"/>
    <cellStyle name="Normal 3 17 12 13" xfId="9515" xr:uid="{00000000-0005-0000-0000-0000B13B0000}"/>
    <cellStyle name="Normal 3 17 12 13 2" xfId="27093" xr:uid="{00000000-0005-0000-0000-0000B23B0000}"/>
    <cellStyle name="Normal 3 17 12 14" xfId="9516" xr:uid="{00000000-0005-0000-0000-0000B33B0000}"/>
    <cellStyle name="Normal 3 17 12 14 2" xfId="27094" xr:uid="{00000000-0005-0000-0000-0000B43B0000}"/>
    <cellStyle name="Normal 3 17 12 15" xfId="27089" xr:uid="{00000000-0005-0000-0000-0000B53B0000}"/>
    <cellStyle name="Normal 3 17 12 2" xfId="9517" xr:uid="{00000000-0005-0000-0000-0000B63B0000}"/>
    <cellStyle name="Normal 3 17 12 2 2" xfId="27095" xr:uid="{00000000-0005-0000-0000-0000B73B0000}"/>
    <cellStyle name="Normal 3 17 12 3" xfId="9518" xr:uid="{00000000-0005-0000-0000-0000B83B0000}"/>
    <cellStyle name="Normal 3 17 12 3 2" xfId="27096" xr:uid="{00000000-0005-0000-0000-0000B93B0000}"/>
    <cellStyle name="Normal 3 17 12 4" xfId="9519" xr:uid="{00000000-0005-0000-0000-0000BA3B0000}"/>
    <cellStyle name="Normal 3 17 12 4 2" xfId="27097" xr:uid="{00000000-0005-0000-0000-0000BB3B0000}"/>
    <cellStyle name="Normal 3 17 12 5" xfId="9520" xr:uid="{00000000-0005-0000-0000-0000BC3B0000}"/>
    <cellStyle name="Normal 3 17 12 5 2" xfId="27098" xr:uid="{00000000-0005-0000-0000-0000BD3B0000}"/>
    <cellStyle name="Normal 3 17 12 6" xfId="9521" xr:uid="{00000000-0005-0000-0000-0000BE3B0000}"/>
    <cellStyle name="Normal 3 17 12 6 2" xfId="27099" xr:uid="{00000000-0005-0000-0000-0000BF3B0000}"/>
    <cellStyle name="Normal 3 17 12 7" xfId="9522" xr:uid="{00000000-0005-0000-0000-0000C03B0000}"/>
    <cellStyle name="Normal 3 17 12 7 2" xfId="27100" xr:uid="{00000000-0005-0000-0000-0000C13B0000}"/>
    <cellStyle name="Normal 3 17 12 8" xfId="9523" xr:uid="{00000000-0005-0000-0000-0000C23B0000}"/>
    <cellStyle name="Normal 3 17 12 8 2" xfId="27101" xr:uid="{00000000-0005-0000-0000-0000C33B0000}"/>
    <cellStyle name="Normal 3 17 12 9" xfId="9524" xr:uid="{00000000-0005-0000-0000-0000C43B0000}"/>
    <cellStyle name="Normal 3 17 12 9 2" xfId="27102" xr:uid="{00000000-0005-0000-0000-0000C53B0000}"/>
    <cellStyle name="Normal 3 17 13" xfId="9525" xr:uid="{00000000-0005-0000-0000-0000C63B0000}"/>
    <cellStyle name="Normal 3 17 13 10" xfId="9526" xr:uid="{00000000-0005-0000-0000-0000C73B0000}"/>
    <cellStyle name="Normal 3 17 13 10 2" xfId="27104" xr:uid="{00000000-0005-0000-0000-0000C83B0000}"/>
    <cellStyle name="Normal 3 17 13 11" xfId="9527" xr:uid="{00000000-0005-0000-0000-0000C93B0000}"/>
    <cellStyle name="Normal 3 17 13 11 2" xfId="27105" xr:uid="{00000000-0005-0000-0000-0000CA3B0000}"/>
    <cellStyle name="Normal 3 17 13 12" xfId="9528" xr:uid="{00000000-0005-0000-0000-0000CB3B0000}"/>
    <cellStyle name="Normal 3 17 13 12 2" xfId="27106" xr:uid="{00000000-0005-0000-0000-0000CC3B0000}"/>
    <cellStyle name="Normal 3 17 13 13" xfId="9529" xr:uid="{00000000-0005-0000-0000-0000CD3B0000}"/>
    <cellStyle name="Normal 3 17 13 13 2" xfId="27107" xr:uid="{00000000-0005-0000-0000-0000CE3B0000}"/>
    <cellStyle name="Normal 3 17 13 14" xfId="9530" xr:uid="{00000000-0005-0000-0000-0000CF3B0000}"/>
    <cellStyle name="Normal 3 17 13 14 2" xfId="27108" xr:uid="{00000000-0005-0000-0000-0000D03B0000}"/>
    <cellStyle name="Normal 3 17 13 15" xfId="27103" xr:uid="{00000000-0005-0000-0000-0000D13B0000}"/>
    <cellStyle name="Normal 3 17 13 2" xfId="9531" xr:uid="{00000000-0005-0000-0000-0000D23B0000}"/>
    <cellStyle name="Normal 3 17 13 2 2" xfId="27109" xr:uid="{00000000-0005-0000-0000-0000D33B0000}"/>
    <cellStyle name="Normal 3 17 13 3" xfId="9532" xr:uid="{00000000-0005-0000-0000-0000D43B0000}"/>
    <cellStyle name="Normal 3 17 13 3 2" xfId="27110" xr:uid="{00000000-0005-0000-0000-0000D53B0000}"/>
    <cellStyle name="Normal 3 17 13 4" xfId="9533" xr:uid="{00000000-0005-0000-0000-0000D63B0000}"/>
    <cellStyle name="Normal 3 17 13 4 2" xfId="27111" xr:uid="{00000000-0005-0000-0000-0000D73B0000}"/>
    <cellStyle name="Normal 3 17 13 5" xfId="9534" xr:uid="{00000000-0005-0000-0000-0000D83B0000}"/>
    <cellStyle name="Normal 3 17 13 5 2" xfId="27112" xr:uid="{00000000-0005-0000-0000-0000D93B0000}"/>
    <cellStyle name="Normal 3 17 13 6" xfId="9535" xr:uid="{00000000-0005-0000-0000-0000DA3B0000}"/>
    <cellStyle name="Normal 3 17 13 6 2" xfId="27113" xr:uid="{00000000-0005-0000-0000-0000DB3B0000}"/>
    <cellStyle name="Normal 3 17 13 7" xfId="9536" xr:uid="{00000000-0005-0000-0000-0000DC3B0000}"/>
    <cellStyle name="Normal 3 17 13 7 2" xfId="27114" xr:uid="{00000000-0005-0000-0000-0000DD3B0000}"/>
    <cellStyle name="Normal 3 17 13 8" xfId="9537" xr:uid="{00000000-0005-0000-0000-0000DE3B0000}"/>
    <cellStyle name="Normal 3 17 13 8 2" xfId="27115" xr:uid="{00000000-0005-0000-0000-0000DF3B0000}"/>
    <cellStyle name="Normal 3 17 13 9" xfId="9538" xr:uid="{00000000-0005-0000-0000-0000E03B0000}"/>
    <cellStyle name="Normal 3 17 13 9 2" xfId="27116" xr:uid="{00000000-0005-0000-0000-0000E13B0000}"/>
    <cellStyle name="Normal 3 17 14" xfId="9539" xr:uid="{00000000-0005-0000-0000-0000E23B0000}"/>
    <cellStyle name="Normal 3 17 14 10" xfId="9540" xr:uid="{00000000-0005-0000-0000-0000E33B0000}"/>
    <cellStyle name="Normal 3 17 14 10 2" xfId="27118" xr:uid="{00000000-0005-0000-0000-0000E43B0000}"/>
    <cellStyle name="Normal 3 17 14 11" xfId="9541" xr:uid="{00000000-0005-0000-0000-0000E53B0000}"/>
    <cellStyle name="Normal 3 17 14 11 2" xfId="27119" xr:uid="{00000000-0005-0000-0000-0000E63B0000}"/>
    <cellStyle name="Normal 3 17 14 12" xfId="9542" xr:uid="{00000000-0005-0000-0000-0000E73B0000}"/>
    <cellStyle name="Normal 3 17 14 12 2" xfId="27120" xr:uid="{00000000-0005-0000-0000-0000E83B0000}"/>
    <cellStyle name="Normal 3 17 14 13" xfId="9543" xr:uid="{00000000-0005-0000-0000-0000E93B0000}"/>
    <cellStyle name="Normal 3 17 14 13 2" xfId="27121" xr:uid="{00000000-0005-0000-0000-0000EA3B0000}"/>
    <cellStyle name="Normal 3 17 14 14" xfId="9544" xr:uid="{00000000-0005-0000-0000-0000EB3B0000}"/>
    <cellStyle name="Normal 3 17 14 14 2" xfId="27122" xr:uid="{00000000-0005-0000-0000-0000EC3B0000}"/>
    <cellStyle name="Normal 3 17 14 15" xfId="27117" xr:uid="{00000000-0005-0000-0000-0000ED3B0000}"/>
    <cellStyle name="Normal 3 17 14 2" xfId="9545" xr:uid="{00000000-0005-0000-0000-0000EE3B0000}"/>
    <cellStyle name="Normal 3 17 14 2 2" xfId="27123" xr:uid="{00000000-0005-0000-0000-0000EF3B0000}"/>
    <cellStyle name="Normal 3 17 14 3" xfId="9546" xr:uid="{00000000-0005-0000-0000-0000F03B0000}"/>
    <cellStyle name="Normal 3 17 14 3 2" xfId="27124" xr:uid="{00000000-0005-0000-0000-0000F13B0000}"/>
    <cellStyle name="Normal 3 17 14 4" xfId="9547" xr:uid="{00000000-0005-0000-0000-0000F23B0000}"/>
    <cellStyle name="Normal 3 17 14 4 2" xfId="27125" xr:uid="{00000000-0005-0000-0000-0000F33B0000}"/>
    <cellStyle name="Normal 3 17 14 5" xfId="9548" xr:uid="{00000000-0005-0000-0000-0000F43B0000}"/>
    <cellStyle name="Normal 3 17 14 5 2" xfId="27126" xr:uid="{00000000-0005-0000-0000-0000F53B0000}"/>
    <cellStyle name="Normal 3 17 14 6" xfId="9549" xr:uid="{00000000-0005-0000-0000-0000F63B0000}"/>
    <cellStyle name="Normal 3 17 14 6 2" xfId="27127" xr:uid="{00000000-0005-0000-0000-0000F73B0000}"/>
    <cellStyle name="Normal 3 17 14 7" xfId="9550" xr:uid="{00000000-0005-0000-0000-0000F83B0000}"/>
    <cellStyle name="Normal 3 17 14 7 2" xfId="27128" xr:uid="{00000000-0005-0000-0000-0000F93B0000}"/>
    <cellStyle name="Normal 3 17 14 8" xfId="9551" xr:uid="{00000000-0005-0000-0000-0000FA3B0000}"/>
    <cellStyle name="Normal 3 17 14 8 2" xfId="27129" xr:uid="{00000000-0005-0000-0000-0000FB3B0000}"/>
    <cellStyle name="Normal 3 17 14 9" xfId="9552" xr:uid="{00000000-0005-0000-0000-0000FC3B0000}"/>
    <cellStyle name="Normal 3 17 14 9 2" xfId="27130" xr:uid="{00000000-0005-0000-0000-0000FD3B0000}"/>
    <cellStyle name="Normal 3 17 15" xfId="9553" xr:uid="{00000000-0005-0000-0000-0000FE3B0000}"/>
    <cellStyle name="Normal 3 17 16" xfId="9554" xr:uid="{00000000-0005-0000-0000-0000FF3B0000}"/>
    <cellStyle name="Normal 3 17 17" xfId="9555" xr:uid="{00000000-0005-0000-0000-0000003C0000}"/>
    <cellStyle name="Normal 3 17 17 10" xfId="9556" xr:uid="{00000000-0005-0000-0000-0000013C0000}"/>
    <cellStyle name="Normal 3 17 17 10 2" xfId="27132" xr:uid="{00000000-0005-0000-0000-0000023C0000}"/>
    <cellStyle name="Normal 3 17 17 11" xfId="9557" xr:uid="{00000000-0005-0000-0000-0000033C0000}"/>
    <cellStyle name="Normal 3 17 17 11 2" xfId="27133" xr:uid="{00000000-0005-0000-0000-0000043C0000}"/>
    <cellStyle name="Normal 3 17 17 12" xfId="9558" xr:uid="{00000000-0005-0000-0000-0000053C0000}"/>
    <cellStyle name="Normal 3 17 17 12 2" xfId="27134" xr:uid="{00000000-0005-0000-0000-0000063C0000}"/>
    <cellStyle name="Normal 3 17 17 13" xfId="9559" xr:uid="{00000000-0005-0000-0000-0000073C0000}"/>
    <cellStyle name="Normal 3 17 17 13 2" xfId="27135" xr:uid="{00000000-0005-0000-0000-0000083C0000}"/>
    <cellStyle name="Normal 3 17 17 14" xfId="9560" xr:uid="{00000000-0005-0000-0000-0000093C0000}"/>
    <cellStyle name="Normal 3 17 17 14 2" xfId="27136" xr:uid="{00000000-0005-0000-0000-00000A3C0000}"/>
    <cellStyle name="Normal 3 17 17 15" xfId="27131" xr:uid="{00000000-0005-0000-0000-00000B3C0000}"/>
    <cellStyle name="Normal 3 17 17 2" xfId="9561" xr:uid="{00000000-0005-0000-0000-00000C3C0000}"/>
    <cellStyle name="Normal 3 17 17 2 2" xfId="27137" xr:uid="{00000000-0005-0000-0000-00000D3C0000}"/>
    <cellStyle name="Normal 3 17 17 3" xfId="9562" xr:uid="{00000000-0005-0000-0000-00000E3C0000}"/>
    <cellStyle name="Normal 3 17 17 3 2" xfId="27138" xr:uid="{00000000-0005-0000-0000-00000F3C0000}"/>
    <cellStyle name="Normal 3 17 17 4" xfId="9563" xr:uid="{00000000-0005-0000-0000-0000103C0000}"/>
    <cellStyle name="Normal 3 17 17 4 2" xfId="27139" xr:uid="{00000000-0005-0000-0000-0000113C0000}"/>
    <cellStyle name="Normal 3 17 17 5" xfId="9564" xr:uid="{00000000-0005-0000-0000-0000123C0000}"/>
    <cellStyle name="Normal 3 17 17 5 2" xfId="27140" xr:uid="{00000000-0005-0000-0000-0000133C0000}"/>
    <cellStyle name="Normal 3 17 17 6" xfId="9565" xr:uid="{00000000-0005-0000-0000-0000143C0000}"/>
    <cellStyle name="Normal 3 17 17 6 2" xfId="27141" xr:uid="{00000000-0005-0000-0000-0000153C0000}"/>
    <cellStyle name="Normal 3 17 17 7" xfId="9566" xr:uid="{00000000-0005-0000-0000-0000163C0000}"/>
    <cellStyle name="Normal 3 17 17 7 2" xfId="27142" xr:uid="{00000000-0005-0000-0000-0000173C0000}"/>
    <cellStyle name="Normal 3 17 17 8" xfId="9567" xr:uid="{00000000-0005-0000-0000-0000183C0000}"/>
    <cellStyle name="Normal 3 17 17 8 2" xfId="27143" xr:uid="{00000000-0005-0000-0000-0000193C0000}"/>
    <cellStyle name="Normal 3 17 17 9" xfId="9568" xr:uid="{00000000-0005-0000-0000-00001A3C0000}"/>
    <cellStyle name="Normal 3 17 17 9 2" xfId="27144" xr:uid="{00000000-0005-0000-0000-00001B3C0000}"/>
    <cellStyle name="Normal 3 17 18" xfId="9569" xr:uid="{00000000-0005-0000-0000-00001C3C0000}"/>
    <cellStyle name="Normal 3 17 18 10" xfId="9570" xr:uid="{00000000-0005-0000-0000-00001D3C0000}"/>
    <cellStyle name="Normal 3 17 18 10 2" xfId="27146" xr:uid="{00000000-0005-0000-0000-00001E3C0000}"/>
    <cellStyle name="Normal 3 17 18 11" xfId="9571" xr:uid="{00000000-0005-0000-0000-00001F3C0000}"/>
    <cellStyle name="Normal 3 17 18 11 2" xfId="27147" xr:uid="{00000000-0005-0000-0000-0000203C0000}"/>
    <cellStyle name="Normal 3 17 18 12" xfId="9572" xr:uid="{00000000-0005-0000-0000-0000213C0000}"/>
    <cellStyle name="Normal 3 17 18 12 2" xfId="27148" xr:uid="{00000000-0005-0000-0000-0000223C0000}"/>
    <cellStyle name="Normal 3 17 18 13" xfId="9573" xr:uid="{00000000-0005-0000-0000-0000233C0000}"/>
    <cellStyle name="Normal 3 17 18 13 2" xfId="27149" xr:uid="{00000000-0005-0000-0000-0000243C0000}"/>
    <cellStyle name="Normal 3 17 18 14" xfId="9574" xr:uid="{00000000-0005-0000-0000-0000253C0000}"/>
    <cellStyle name="Normal 3 17 18 14 2" xfId="27150" xr:uid="{00000000-0005-0000-0000-0000263C0000}"/>
    <cellStyle name="Normal 3 17 18 15" xfId="27145" xr:uid="{00000000-0005-0000-0000-0000273C0000}"/>
    <cellStyle name="Normal 3 17 18 2" xfId="9575" xr:uid="{00000000-0005-0000-0000-0000283C0000}"/>
    <cellStyle name="Normal 3 17 18 2 2" xfId="27151" xr:uid="{00000000-0005-0000-0000-0000293C0000}"/>
    <cellStyle name="Normal 3 17 18 3" xfId="9576" xr:uid="{00000000-0005-0000-0000-00002A3C0000}"/>
    <cellStyle name="Normal 3 17 18 3 2" xfId="27152" xr:uid="{00000000-0005-0000-0000-00002B3C0000}"/>
    <cellStyle name="Normal 3 17 18 4" xfId="9577" xr:uid="{00000000-0005-0000-0000-00002C3C0000}"/>
    <cellStyle name="Normal 3 17 18 4 2" xfId="27153" xr:uid="{00000000-0005-0000-0000-00002D3C0000}"/>
    <cellStyle name="Normal 3 17 18 5" xfId="9578" xr:uid="{00000000-0005-0000-0000-00002E3C0000}"/>
    <cellStyle name="Normal 3 17 18 5 2" xfId="27154" xr:uid="{00000000-0005-0000-0000-00002F3C0000}"/>
    <cellStyle name="Normal 3 17 18 6" xfId="9579" xr:uid="{00000000-0005-0000-0000-0000303C0000}"/>
    <cellStyle name="Normal 3 17 18 6 2" xfId="27155" xr:uid="{00000000-0005-0000-0000-0000313C0000}"/>
    <cellStyle name="Normal 3 17 18 7" xfId="9580" xr:uid="{00000000-0005-0000-0000-0000323C0000}"/>
    <cellStyle name="Normal 3 17 18 7 2" xfId="27156" xr:uid="{00000000-0005-0000-0000-0000333C0000}"/>
    <cellStyle name="Normal 3 17 18 8" xfId="9581" xr:uid="{00000000-0005-0000-0000-0000343C0000}"/>
    <cellStyle name="Normal 3 17 18 8 2" xfId="27157" xr:uid="{00000000-0005-0000-0000-0000353C0000}"/>
    <cellStyle name="Normal 3 17 18 9" xfId="9582" xr:uid="{00000000-0005-0000-0000-0000363C0000}"/>
    <cellStyle name="Normal 3 17 18 9 2" xfId="27158" xr:uid="{00000000-0005-0000-0000-0000373C0000}"/>
    <cellStyle name="Normal 3 17 2" xfId="9583" xr:uid="{00000000-0005-0000-0000-0000383C0000}"/>
    <cellStyle name="Normal 3 17 2 10" xfId="9584" xr:uid="{00000000-0005-0000-0000-0000393C0000}"/>
    <cellStyle name="Normal 3 17 2 10 2" xfId="27160" xr:uid="{00000000-0005-0000-0000-00003A3C0000}"/>
    <cellStyle name="Normal 3 17 2 11" xfId="9585" xr:uid="{00000000-0005-0000-0000-00003B3C0000}"/>
    <cellStyle name="Normal 3 17 2 11 2" xfId="27161" xr:uid="{00000000-0005-0000-0000-00003C3C0000}"/>
    <cellStyle name="Normal 3 17 2 12" xfId="9586" xr:uid="{00000000-0005-0000-0000-00003D3C0000}"/>
    <cellStyle name="Normal 3 17 2 12 2" xfId="27162" xr:uid="{00000000-0005-0000-0000-00003E3C0000}"/>
    <cellStyle name="Normal 3 17 2 13" xfId="9587" xr:uid="{00000000-0005-0000-0000-00003F3C0000}"/>
    <cellStyle name="Normal 3 17 2 13 2" xfId="27163" xr:uid="{00000000-0005-0000-0000-0000403C0000}"/>
    <cellStyle name="Normal 3 17 2 14" xfId="9588" xr:uid="{00000000-0005-0000-0000-0000413C0000}"/>
    <cellStyle name="Normal 3 17 2 14 2" xfId="27164" xr:uid="{00000000-0005-0000-0000-0000423C0000}"/>
    <cellStyle name="Normal 3 17 2 15" xfId="9589" xr:uid="{00000000-0005-0000-0000-0000433C0000}"/>
    <cellStyle name="Normal 3 17 2 15 2" xfId="27165" xr:uid="{00000000-0005-0000-0000-0000443C0000}"/>
    <cellStyle name="Normal 3 17 2 16" xfId="9590" xr:uid="{00000000-0005-0000-0000-0000453C0000}"/>
    <cellStyle name="Normal 3 17 2 16 2" xfId="27166" xr:uid="{00000000-0005-0000-0000-0000463C0000}"/>
    <cellStyle name="Normal 3 17 2 17" xfId="9591" xr:uid="{00000000-0005-0000-0000-0000473C0000}"/>
    <cellStyle name="Normal 3 17 2 17 2" xfId="27167" xr:uid="{00000000-0005-0000-0000-0000483C0000}"/>
    <cellStyle name="Normal 3 17 2 18" xfId="27159" xr:uid="{00000000-0005-0000-0000-0000493C0000}"/>
    <cellStyle name="Normal 3 17 2 2" xfId="9592" xr:uid="{00000000-0005-0000-0000-00004A3C0000}"/>
    <cellStyle name="Normal 3 17 2 3" xfId="9593" xr:uid="{00000000-0005-0000-0000-00004B3C0000}"/>
    <cellStyle name="Normal 3 17 2 4" xfId="9594" xr:uid="{00000000-0005-0000-0000-00004C3C0000}"/>
    <cellStyle name="Normal 3 17 2 5" xfId="9595" xr:uid="{00000000-0005-0000-0000-00004D3C0000}"/>
    <cellStyle name="Normal 3 17 2 5 2" xfId="27168" xr:uid="{00000000-0005-0000-0000-00004E3C0000}"/>
    <cellStyle name="Normal 3 17 2 6" xfId="9596" xr:uid="{00000000-0005-0000-0000-00004F3C0000}"/>
    <cellStyle name="Normal 3 17 2 6 2" xfId="27169" xr:uid="{00000000-0005-0000-0000-0000503C0000}"/>
    <cellStyle name="Normal 3 17 2 7" xfId="9597" xr:uid="{00000000-0005-0000-0000-0000513C0000}"/>
    <cellStyle name="Normal 3 17 2 7 2" xfId="27170" xr:uid="{00000000-0005-0000-0000-0000523C0000}"/>
    <cellStyle name="Normal 3 17 2 8" xfId="9598" xr:uid="{00000000-0005-0000-0000-0000533C0000}"/>
    <cellStyle name="Normal 3 17 2 8 2" xfId="27171" xr:uid="{00000000-0005-0000-0000-0000543C0000}"/>
    <cellStyle name="Normal 3 17 2 9" xfId="9599" xr:uid="{00000000-0005-0000-0000-0000553C0000}"/>
    <cellStyle name="Normal 3 17 2 9 2" xfId="27172" xr:uid="{00000000-0005-0000-0000-0000563C0000}"/>
    <cellStyle name="Normal 3 17 3" xfId="9600" xr:uid="{00000000-0005-0000-0000-0000573C0000}"/>
    <cellStyle name="Normal 3 17 4" xfId="9601" xr:uid="{00000000-0005-0000-0000-0000583C0000}"/>
    <cellStyle name="Normal 3 17 5" xfId="9602" xr:uid="{00000000-0005-0000-0000-0000593C0000}"/>
    <cellStyle name="Normal 3 17 6" xfId="9603" xr:uid="{00000000-0005-0000-0000-00005A3C0000}"/>
    <cellStyle name="Normal 3 17 6 10" xfId="9604" xr:uid="{00000000-0005-0000-0000-00005B3C0000}"/>
    <cellStyle name="Normal 3 17 6 10 2" xfId="27174" xr:uid="{00000000-0005-0000-0000-00005C3C0000}"/>
    <cellStyle name="Normal 3 17 6 11" xfId="9605" xr:uid="{00000000-0005-0000-0000-00005D3C0000}"/>
    <cellStyle name="Normal 3 17 6 11 2" xfId="27175" xr:uid="{00000000-0005-0000-0000-00005E3C0000}"/>
    <cellStyle name="Normal 3 17 6 12" xfId="9606" xr:uid="{00000000-0005-0000-0000-00005F3C0000}"/>
    <cellStyle name="Normal 3 17 6 12 2" xfId="27176" xr:uid="{00000000-0005-0000-0000-0000603C0000}"/>
    <cellStyle name="Normal 3 17 6 13" xfId="9607" xr:uid="{00000000-0005-0000-0000-0000613C0000}"/>
    <cellStyle name="Normal 3 17 6 13 2" xfId="27177" xr:uid="{00000000-0005-0000-0000-0000623C0000}"/>
    <cellStyle name="Normal 3 17 6 14" xfId="9608" xr:uid="{00000000-0005-0000-0000-0000633C0000}"/>
    <cellStyle name="Normal 3 17 6 14 2" xfId="27178" xr:uid="{00000000-0005-0000-0000-0000643C0000}"/>
    <cellStyle name="Normal 3 17 6 15" xfId="9609" xr:uid="{00000000-0005-0000-0000-0000653C0000}"/>
    <cellStyle name="Normal 3 17 6 15 2" xfId="27179" xr:uid="{00000000-0005-0000-0000-0000663C0000}"/>
    <cellStyle name="Normal 3 17 6 16" xfId="27173" xr:uid="{00000000-0005-0000-0000-0000673C0000}"/>
    <cellStyle name="Normal 3 17 6 2" xfId="9610" xr:uid="{00000000-0005-0000-0000-0000683C0000}"/>
    <cellStyle name="Normal 3 17 6 2 10" xfId="9611" xr:uid="{00000000-0005-0000-0000-0000693C0000}"/>
    <cellStyle name="Normal 3 17 6 2 10 2" xfId="27181" xr:uid="{00000000-0005-0000-0000-00006A3C0000}"/>
    <cellStyle name="Normal 3 17 6 2 11" xfId="9612" xr:uid="{00000000-0005-0000-0000-00006B3C0000}"/>
    <cellStyle name="Normal 3 17 6 2 11 2" xfId="27182" xr:uid="{00000000-0005-0000-0000-00006C3C0000}"/>
    <cellStyle name="Normal 3 17 6 2 12" xfId="9613" xr:uid="{00000000-0005-0000-0000-00006D3C0000}"/>
    <cellStyle name="Normal 3 17 6 2 12 2" xfId="27183" xr:uid="{00000000-0005-0000-0000-00006E3C0000}"/>
    <cellStyle name="Normal 3 17 6 2 13" xfId="9614" xr:uid="{00000000-0005-0000-0000-00006F3C0000}"/>
    <cellStyle name="Normal 3 17 6 2 13 2" xfId="27184" xr:uid="{00000000-0005-0000-0000-0000703C0000}"/>
    <cellStyle name="Normal 3 17 6 2 14" xfId="9615" xr:uid="{00000000-0005-0000-0000-0000713C0000}"/>
    <cellStyle name="Normal 3 17 6 2 14 2" xfId="27185" xr:uid="{00000000-0005-0000-0000-0000723C0000}"/>
    <cellStyle name="Normal 3 17 6 2 15" xfId="27180" xr:uid="{00000000-0005-0000-0000-0000733C0000}"/>
    <cellStyle name="Normal 3 17 6 2 2" xfId="9616" xr:uid="{00000000-0005-0000-0000-0000743C0000}"/>
    <cellStyle name="Normal 3 17 6 2 2 2" xfId="27186" xr:uid="{00000000-0005-0000-0000-0000753C0000}"/>
    <cellStyle name="Normal 3 17 6 2 3" xfId="9617" xr:uid="{00000000-0005-0000-0000-0000763C0000}"/>
    <cellStyle name="Normal 3 17 6 2 3 2" xfId="27187" xr:uid="{00000000-0005-0000-0000-0000773C0000}"/>
    <cellStyle name="Normal 3 17 6 2 4" xfId="9618" xr:uid="{00000000-0005-0000-0000-0000783C0000}"/>
    <cellStyle name="Normal 3 17 6 2 4 2" xfId="27188" xr:uid="{00000000-0005-0000-0000-0000793C0000}"/>
    <cellStyle name="Normal 3 17 6 2 5" xfId="9619" xr:uid="{00000000-0005-0000-0000-00007A3C0000}"/>
    <cellStyle name="Normal 3 17 6 2 5 2" xfId="27189" xr:uid="{00000000-0005-0000-0000-00007B3C0000}"/>
    <cellStyle name="Normal 3 17 6 2 6" xfId="9620" xr:uid="{00000000-0005-0000-0000-00007C3C0000}"/>
    <cellStyle name="Normal 3 17 6 2 6 2" xfId="27190" xr:uid="{00000000-0005-0000-0000-00007D3C0000}"/>
    <cellStyle name="Normal 3 17 6 2 7" xfId="9621" xr:uid="{00000000-0005-0000-0000-00007E3C0000}"/>
    <cellStyle name="Normal 3 17 6 2 7 2" xfId="27191" xr:uid="{00000000-0005-0000-0000-00007F3C0000}"/>
    <cellStyle name="Normal 3 17 6 2 8" xfId="9622" xr:uid="{00000000-0005-0000-0000-0000803C0000}"/>
    <cellStyle name="Normal 3 17 6 2 8 2" xfId="27192" xr:uid="{00000000-0005-0000-0000-0000813C0000}"/>
    <cellStyle name="Normal 3 17 6 2 9" xfId="9623" xr:uid="{00000000-0005-0000-0000-0000823C0000}"/>
    <cellStyle name="Normal 3 17 6 2 9 2" xfId="27193" xr:uid="{00000000-0005-0000-0000-0000833C0000}"/>
    <cellStyle name="Normal 3 17 6 3" xfId="9624" xr:uid="{00000000-0005-0000-0000-0000843C0000}"/>
    <cellStyle name="Normal 3 17 6 3 2" xfId="27194" xr:uid="{00000000-0005-0000-0000-0000853C0000}"/>
    <cellStyle name="Normal 3 17 6 4" xfId="9625" xr:uid="{00000000-0005-0000-0000-0000863C0000}"/>
    <cellStyle name="Normal 3 17 6 4 2" xfId="27195" xr:uid="{00000000-0005-0000-0000-0000873C0000}"/>
    <cellStyle name="Normal 3 17 6 5" xfId="9626" xr:uid="{00000000-0005-0000-0000-0000883C0000}"/>
    <cellStyle name="Normal 3 17 6 5 2" xfId="27196" xr:uid="{00000000-0005-0000-0000-0000893C0000}"/>
    <cellStyle name="Normal 3 17 6 6" xfId="9627" xr:uid="{00000000-0005-0000-0000-00008A3C0000}"/>
    <cellStyle name="Normal 3 17 6 6 2" xfId="27197" xr:uid="{00000000-0005-0000-0000-00008B3C0000}"/>
    <cellStyle name="Normal 3 17 6 7" xfId="9628" xr:uid="{00000000-0005-0000-0000-00008C3C0000}"/>
    <cellStyle name="Normal 3 17 6 7 2" xfId="27198" xr:uid="{00000000-0005-0000-0000-00008D3C0000}"/>
    <cellStyle name="Normal 3 17 6 8" xfId="9629" xr:uid="{00000000-0005-0000-0000-00008E3C0000}"/>
    <cellStyle name="Normal 3 17 6 8 2" xfId="27199" xr:uid="{00000000-0005-0000-0000-00008F3C0000}"/>
    <cellStyle name="Normal 3 17 6 9" xfId="9630" xr:uid="{00000000-0005-0000-0000-0000903C0000}"/>
    <cellStyle name="Normal 3 17 6 9 2" xfId="27200" xr:uid="{00000000-0005-0000-0000-0000913C0000}"/>
    <cellStyle name="Normal 3 17 7" xfId="9631" xr:uid="{00000000-0005-0000-0000-0000923C0000}"/>
    <cellStyle name="Normal 3 17 7 10" xfId="9632" xr:uid="{00000000-0005-0000-0000-0000933C0000}"/>
    <cellStyle name="Normal 3 17 7 10 2" xfId="27202" xr:uid="{00000000-0005-0000-0000-0000943C0000}"/>
    <cellStyle name="Normal 3 17 7 11" xfId="9633" xr:uid="{00000000-0005-0000-0000-0000953C0000}"/>
    <cellStyle name="Normal 3 17 7 11 2" xfId="27203" xr:uid="{00000000-0005-0000-0000-0000963C0000}"/>
    <cellStyle name="Normal 3 17 7 12" xfId="9634" xr:uid="{00000000-0005-0000-0000-0000973C0000}"/>
    <cellStyle name="Normal 3 17 7 12 2" xfId="27204" xr:uid="{00000000-0005-0000-0000-0000983C0000}"/>
    <cellStyle name="Normal 3 17 7 13" xfId="9635" xr:uid="{00000000-0005-0000-0000-0000993C0000}"/>
    <cellStyle name="Normal 3 17 7 13 2" xfId="27205" xr:uid="{00000000-0005-0000-0000-00009A3C0000}"/>
    <cellStyle name="Normal 3 17 7 14" xfId="9636" xr:uid="{00000000-0005-0000-0000-00009B3C0000}"/>
    <cellStyle name="Normal 3 17 7 14 2" xfId="27206" xr:uid="{00000000-0005-0000-0000-00009C3C0000}"/>
    <cellStyle name="Normal 3 17 7 15" xfId="9637" xr:uid="{00000000-0005-0000-0000-00009D3C0000}"/>
    <cellStyle name="Normal 3 17 7 15 2" xfId="27207" xr:uid="{00000000-0005-0000-0000-00009E3C0000}"/>
    <cellStyle name="Normal 3 17 7 16" xfId="27201" xr:uid="{00000000-0005-0000-0000-00009F3C0000}"/>
    <cellStyle name="Normal 3 17 7 2" xfId="9638" xr:uid="{00000000-0005-0000-0000-0000A03C0000}"/>
    <cellStyle name="Normal 3 17 7 2 10" xfId="9639" xr:uid="{00000000-0005-0000-0000-0000A13C0000}"/>
    <cellStyle name="Normal 3 17 7 2 10 2" xfId="27209" xr:uid="{00000000-0005-0000-0000-0000A23C0000}"/>
    <cellStyle name="Normal 3 17 7 2 11" xfId="9640" xr:uid="{00000000-0005-0000-0000-0000A33C0000}"/>
    <cellStyle name="Normal 3 17 7 2 11 2" xfId="27210" xr:uid="{00000000-0005-0000-0000-0000A43C0000}"/>
    <cellStyle name="Normal 3 17 7 2 12" xfId="9641" xr:uid="{00000000-0005-0000-0000-0000A53C0000}"/>
    <cellStyle name="Normal 3 17 7 2 12 2" xfId="27211" xr:uid="{00000000-0005-0000-0000-0000A63C0000}"/>
    <cellStyle name="Normal 3 17 7 2 13" xfId="9642" xr:uid="{00000000-0005-0000-0000-0000A73C0000}"/>
    <cellStyle name="Normal 3 17 7 2 13 2" xfId="27212" xr:uid="{00000000-0005-0000-0000-0000A83C0000}"/>
    <cellStyle name="Normal 3 17 7 2 14" xfId="9643" xr:uid="{00000000-0005-0000-0000-0000A93C0000}"/>
    <cellStyle name="Normal 3 17 7 2 14 2" xfId="27213" xr:uid="{00000000-0005-0000-0000-0000AA3C0000}"/>
    <cellStyle name="Normal 3 17 7 2 15" xfId="27208" xr:uid="{00000000-0005-0000-0000-0000AB3C0000}"/>
    <cellStyle name="Normal 3 17 7 2 2" xfId="9644" xr:uid="{00000000-0005-0000-0000-0000AC3C0000}"/>
    <cellStyle name="Normal 3 17 7 2 2 2" xfId="27214" xr:uid="{00000000-0005-0000-0000-0000AD3C0000}"/>
    <cellStyle name="Normal 3 17 7 2 3" xfId="9645" xr:uid="{00000000-0005-0000-0000-0000AE3C0000}"/>
    <cellStyle name="Normal 3 17 7 2 3 2" xfId="27215" xr:uid="{00000000-0005-0000-0000-0000AF3C0000}"/>
    <cellStyle name="Normal 3 17 7 2 4" xfId="9646" xr:uid="{00000000-0005-0000-0000-0000B03C0000}"/>
    <cellStyle name="Normal 3 17 7 2 4 2" xfId="27216" xr:uid="{00000000-0005-0000-0000-0000B13C0000}"/>
    <cellStyle name="Normal 3 17 7 2 5" xfId="9647" xr:uid="{00000000-0005-0000-0000-0000B23C0000}"/>
    <cellStyle name="Normal 3 17 7 2 5 2" xfId="27217" xr:uid="{00000000-0005-0000-0000-0000B33C0000}"/>
    <cellStyle name="Normal 3 17 7 2 6" xfId="9648" xr:uid="{00000000-0005-0000-0000-0000B43C0000}"/>
    <cellStyle name="Normal 3 17 7 2 6 2" xfId="27218" xr:uid="{00000000-0005-0000-0000-0000B53C0000}"/>
    <cellStyle name="Normal 3 17 7 2 7" xfId="9649" xr:uid="{00000000-0005-0000-0000-0000B63C0000}"/>
    <cellStyle name="Normal 3 17 7 2 7 2" xfId="27219" xr:uid="{00000000-0005-0000-0000-0000B73C0000}"/>
    <cellStyle name="Normal 3 17 7 2 8" xfId="9650" xr:uid="{00000000-0005-0000-0000-0000B83C0000}"/>
    <cellStyle name="Normal 3 17 7 2 8 2" xfId="27220" xr:uid="{00000000-0005-0000-0000-0000B93C0000}"/>
    <cellStyle name="Normal 3 17 7 2 9" xfId="9651" xr:uid="{00000000-0005-0000-0000-0000BA3C0000}"/>
    <cellStyle name="Normal 3 17 7 2 9 2" xfId="27221" xr:uid="{00000000-0005-0000-0000-0000BB3C0000}"/>
    <cellStyle name="Normal 3 17 7 3" xfId="9652" xr:uid="{00000000-0005-0000-0000-0000BC3C0000}"/>
    <cellStyle name="Normal 3 17 7 3 2" xfId="27222" xr:uid="{00000000-0005-0000-0000-0000BD3C0000}"/>
    <cellStyle name="Normal 3 17 7 4" xfId="9653" xr:uid="{00000000-0005-0000-0000-0000BE3C0000}"/>
    <cellStyle name="Normal 3 17 7 4 2" xfId="27223" xr:uid="{00000000-0005-0000-0000-0000BF3C0000}"/>
    <cellStyle name="Normal 3 17 7 5" xfId="9654" xr:uid="{00000000-0005-0000-0000-0000C03C0000}"/>
    <cellStyle name="Normal 3 17 7 5 2" xfId="27224" xr:uid="{00000000-0005-0000-0000-0000C13C0000}"/>
    <cellStyle name="Normal 3 17 7 6" xfId="9655" xr:uid="{00000000-0005-0000-0000-0000C23C0000}"/>
    <cellStyle name="Normal 3 17 7 6 2" xfId="27225" xr:uid="{00000000-0005-0000-0000-0000C33C0000}"/>
    <cellStyle name="Normal 3 17 7 7" xfId="9656" xr:uid="{00000000-0005-0000-0000-0000C43C0000}"/>
    <cellStyle name="Normal 3 17 7 7 2" xfId="27226" xr:uid="{00000000-0005-0000-0000-0000C53C0000}"/>
    <cellStyle name="Normal 3 17 7 8" xfId="9657" xr:uid="{00000000-0005-0000-0000-0000C63C0000}"/>
    <cellStyle name="Normal 3 17 7 8 2" xfId="27227" xr:uid="{00000000-0005-0000-0000-0000C73C0000}"/>
    <cellStyle name="Normal 3 17 7 9" xfId="9658" xr:uid="{00000000-0005-0000-0000-0000C83C0000}"/>
    <cellStyle name="Normal 3 17 7 9 2" xfId="27228" xr:uid="{00000000-0005-0000-0000-0000C93C0000}"/>
    <cellStyle name="Normal 3 17 8" xfId="9659" xr:uid="{00000000-0005-0000-0000-0000CA3C0000}"/>
    <cellStyle name="Normal 3 17 8 10" xfId="9660" xr:uid="{00000000-0005-0000-0000-0000CB3C0000}"/>
    <cellStyle name="Normal 3 17 8 10 2" xfId="27230" xr:uid="{00000000-0005-0000-0000-0000CC3C0000}"/>
    <cellStyle name="Normal 3 17 8 11" xfId="9661" xr:uid="{00000000-0005-0000-0000-0000CD3C0000}"/>
    <cellStyle name="Normal 3 17 8 11 2" xfId="27231" xr:uid="{00000000-0005-0000-0000-0000CE3C0000}"/>
    <cellStyle name="Normal 3 17 8 12" xfId="9662" xr:uid="{00000000-0005-0000-0000-0000CF3C0000}"/>
    <cellStyle name="Normal 3 17 8 12 2" xfId="27232" xr:uid="{00000000-0005-0000-0000-0000D03C0000}"/>
    <cellStyle name="Normal 3 17 8 13" xfId="9663" xr:uid="{00000000-0005-0000-0000-0000D13C0000}"/>
    <cellStyle name="Normal 3 17 8 13 2" xfId="27233" xr:uid="{00000000-0005-0000-0000-0000D23C0000}"/>
    <cellStyle name="Normal 3 17 8 14" xfId="9664" xr:uid="{00000000-0005-0000-0000-0000D33C0000}"/>
    <cellStyle name="Normal 3 17 8 14 2" xfId="27234" xr:uid="{00000000-0005-0000-0000-0000D43C0000}"/>
    <cellStyle name="Normal 3 17 8 15" xfId="9665" xr:uid="{00000000-0005-0000-0000-0000D53C0000}"/>
    <cellStyle name="Normal 3 17 8 15 2" xfId="27235" xr:uid="{00000000-0005-0000-0000-0000D63C0000}"/>
    <cellStyle name="Normal 3 17 8 16" xfId="27229" xr:uid="{00000000-0005-0000-0000-0000D73C0000}"/>
    <cellStyle name="Normal 3 17 8 2" xfId="9666" xr:uid="{00000000-0005-0000-0000-0000D83C0000}"/>
    <cellStyle name="Normal 3 17 8 2 10" xfId="9667" xr:uid="{00000000-0005-0000-0000-0000D93C0000}"/>
    <cellStyle name="Normal 3 17 8 2 10 2" xfId="27237" xr:uid="{00000000-0005-0000-0000-0000DA3C0000}"/>
    <cellStyle name="Normal 3 17 8 2 11" xfId="9668" xr:uid="{00000000-0005-0000-0000-0000DB3C0000}"/>
    <cellStyle name="Normal 3 17 8 2 11 2" xfId="27238" xr:uid="{00000000-0005-0000-0000-0000DC3C0000}"/>
    <cellStyle name="Normal 3 17 8 2 12" xfId="9669" xr:uid="{00000000-0005-0000-0000-0000DD3C0000}"/>
    <cellStyle name="Normal 3 17 8 2 12 2" xfId="27239" xr:uid="{00000000-0005-0000-0000-0000DE3C0000}"/>
    <cellStyle name="Normal 3 17 8 2 13" xfId="9670" xr:uid="{00000000-0005-0000-0000-0000DF3C0000}"/>
    <cellStyle name="Normal 3 17 8 2 13 2" xfId="27240" xr:uid="{00000000-0005-0000-0000-0000E03C0000}"/>
    <cellStyle name="Normal 3 17 8 2 14" xfId="9671" xr:uid="{00000000-0005-0000-0000-0000E13C0000}"/>
    <cellStyle name="Normal 3 17 8 2 14 2" xfId="27241" xr:uid="{00000000-0005-0000-0000-0000E23C0000}"/>
    <cellStyle name="Normal 3 17 8 2 15" xfId="27236" xr:uid="{00000000-0005-0000-0000-0000E33C0000}"/>
    <cellStyle name="Normal 3 17 8 2 2" xfId="9672" xr:uid="{00000000-0005-0000-0000-0000E43C0000}"/>
    <cellStyle name="Normal 3 17 8 2 2 2" xfId="27242" xr:uid="{00000000-0005-0000-0000-0000E53C0000}"/>
    <cellStyle name="Normal 3 17 8 2 3" xfId="9673" xr:uid="{00000000-0005-0000-0000-0000E63C0000}"/>
    <cellStyle name="Normal 3 17 8 2 3 2" xfId="27243" xr:uid="{00000000-0005-0000-0000-0000E73C0000}"/>
    <cellStyle name="Normal 3 17 8 2 4" xfId="9674" xr:uid="{00000000-0005-0000-0000-0000E83C0000}"/>
    <cellStyle name="Normal 3 17 8 2 4 2" xfId="27244" xr:uid="{00000000-0005-0000-0000-0000E93C0000}"/>
    <cellStyle name="Normal 3 17 8 2 5" xfId="9675" xr:uid="{00000000-0005-0000-0000-0000EA3C0000}"/>
    <cellStyle name="Normal 3 17 8 2 5 2" xfId="27245" xr:uid="{00000000-0005-0000-0000-0000EB3C0000}"/>
    <cellStyle name="Normal 3 17 8 2 6" xfId="9676" xr:uid="{00000000-0005-0000-0000-0000EC3C0000}"/>
    <cellStyle name="Normal 3 17 8 2 6 2" xfId="27246" xr:uid="{00000000-0005-0000-0000-0000ED3C0000}"/>
    <cellStyle name="Normal 3 17 8 2 7" xfId="9677" xr:uid="{00000000-0005-0000-0000-0000EE3C0000}"/>
    <cellStyle name="Normal 3 17 8 2 7 2" xfId="27247" xr:uid="{00000000-0005-0000-0000-0000EF3C0000}"/>
    <cellStyle name="Normal 3 17 8 2 8" xfId="9678" xr:uid="{00000000-0005-0000-0000-0000F03C0000}"/>
    <cellStyle name="Normal 3 17 8 2 8 2" xfId="27248" xr:uid="{00000000-0005-0000-0000-0000F13C0000}"/>
    <cellStyle name="Normal 3 17 8 2 9" xfId="9679" xr:uid="{00000000-0005-0000-0000-0000F23C0000}"/>
    <cellStyle name="Normal 3 17 8 2 9 2" xfId="27249" xr:uid="{00000000-0005-0000-0000-0000F33C0000}"/>
    <cellStyle name="Normal 3 17 8 3" xfId="9680" xr:uid="{00000000-0005-0000-0000-0000F43C0000}"/>
    <cellStyle name="Normal 3 17 8 3 2" xfId="27250" xr:uid="{00000000-0005-0000-0000-0000F53C0000}"/>
    <cellStyle name="Normal 3 17 8 4" xfId="9681" xr:uid="{00000000-0005-0000-0000-0000F63C0000}"/>
    <cellStyle name="Normal 3 17 8 4 2" xfId="27251" xr:uid="{00000000-0005-0000-0000-0000F73C0000}"/>
    <cellStyle name="Normal 3 17 8 5" xfId="9682" xr:uid="{00000000-0005-0000-0000-0000F83C0000}"/>
    <cellStyle name="Normal 3 17 8 5 2" xfId="27252" xr:uid="{00000000-0005-0000-0000-0000F93C0000}"/>
    <cellStyle name="Normal 3 17 8 6" xfId="9683" xr:uid="{00000000-0005-0000-0000-0000FA3C0000}"/>
    <cellStyle name="Normal 3 17 8 6 2" xfId="27253" xr:uid="{00000000-0005-0000-0000-0000FB3C0000}"/>
    <cellStyle name="Normal 3 17 8 7" xfId="9684" xr:uid="{00000000-0005-0000-0000-0000FC3C0000}"/>
    <cellStyle name="Normal 3 17 8 7 2" xfId="27254" xr:uid="{00000000-0005-0000-0000-0000FD3C0000}"/>
    <cellStyle name="Normal 3 17 8 8" xfId="9685" xr:uid="{00000000-0005-0000-0000-0000FE3C0000}"/>
    <cellStyle name="Normal 3 17 8 8 2" xfId="27255" xr:uid="{00000000-0005-0000-0000-0000FF3C0000}"/>
    <cellStyle name="Normal 3 17 8 9" xfId="9686" xr:uid="{00000000-0005-0000-0000-0000003D0000}"/>
    <cellStyle name="Normal 3 17 8 9 2" xfId="27256" xr:uid="{00000000-0005-0000-0000-0000013D0000}"/>
    <cellStyle name="Normal 3 17 9" xfId="9687" xr:uid="{00000000-0005-0000-0000-0000023D0000}"/>
    <cellStyle name="Normal 3 17 9 10" xfId="9688" xr:uid="{00000000-0005-0000-0000-0000033D0000}"/>
    <cellStyle name="Normal 3 17 9 10 2" xfId="27258" xr:uid="{00000000-0005-0000-0000-0000043D0000}"/>
    <cellStyle name="Normal 3 17 9 11" xfId="9689" xr:uid="{00000000-0005-0000-0000-0000053D0000}"/>
    <cellStyle name="Normal 3 17 9 11 2" xfId="27259" xr:uid="{00000000-0005-0000-0000-0000063D0000}"/>
    <cellStyle name="Normal 3 17 9 12" xfId="9690" xr:uid="{00000000-0005-0000-0000-0000073D0000}"/>
    <cellStyle name="Normal 3 17 9 12 2" xfId="27260" xr:uid="{00000000-0005-0000-0000-0000083D0000}"/>
    <cellStyle name="Normal 3 17 9 13" xfId="9691" xr:uid="{00000000-0005-0000-0000-0000093D0000}"/>
    <cellStyle name="Normal 3 17 9 13 2" xfId="27261" xr:uid="{00000000-0005-0000-0000-00000A3D0000}"/>
    <cellStyle name="Normal 3 17 9 14" xfId="9692" xr:uid="{00000000-0005-0000-0000-00000B3D0000}"/>
    <cellStyle name="Normal 3 17 9 14 2" xfId="27262" xr:uid="{00000000-0005-0000-0000-00000C3D0000}"/>
    <cellStyle name="Normal 3 17 9 15" xfId="27257" xr:uid="{00000000-0005-0000-0000-00000D3D0000}"/>
    <cellStyle name="Normal 3 17 9 2" xfId="9693" xr:uid="{00000000-0005-0000-0000-00000E3D0000}"/>
    <cellStyle name="Normal 3 17 9 2 2" xfId="27263" xr:uid="{00000000-0005-0000-0000-00000F3D0000}"/>
    <cellStyle name="Normal 3 17 9 3" xfId="9694" xr:uid="{00000000-0005-0000-0000-0000103D0000}"/>
    <cellStyle name="Normal 3 17 9 3 2" xfId="27264" xr:uid="{00000000-0005-0000-0000-0000113D0000}"/>
    <cellStyle name="Normal 3 17 9 4" xfId="9695" xr:uid="{00000000-0005-0000-0000-0000123D0000}"/>
    <cellStyle name="Normal 3 17 9 4 2" xfId="27265" xr:uid="{00000000-0005-0000-0000-0000133D0000}"/>
    <cellStyle name="Normal 3 17 9 5" xfId="9696" xr:uid="{00000000-0005-0000-0000-0000143D0000}"/>
    <cellStyle name="Normal 3 17 9 5 2" xfId="27266" xr:uid="{00000000-0005-0000-0000-0000153D0000}"/>
    <cellStyle name="Normal 3 17 9 6" xfId="9697" xr:uid="{00000000-0005-0000-0000-0000163D0000}"/>
    <cellStyle name="Normal 3 17 9 6 2" xfId="27267" xr:uid="{00000000-0005-0000-0000-0000173D0000}"/>
    <cellStyle name="Normal 3 17 9 7" xfId="9698" xr:uid="{00000000-0005-0000-0000-0000183D0000}"/>
    <cellStyle name="Normal 3 17 9 7 2" xfId="27268" xr:uid="{00000000-0005-0000-0000-0000193D0000}"/>
    <cellStyle name="Normal 3 17 9 8" xfId="9699" xr:uid="{00000000-0005-0000-0000-00001A3D0000}"/>
    <cellStyle name="Normal 3 17 9 8 2" xfId="27269" xr:uid="{00000000-0005-0000-0000-00001B3D0000}"/>
    <cellStyle name="Normal 3 17 9 9" xfId="9700" xr:uid="{00000000-0005-0000-0000-00001C3D0000}"/>
    <cellStyle name="Normal 3 17 9 9 2" xfId="27270" xr:uid="{00000000-0005-0000-0000-00001D3D0000}"/>
    <cellStyle name="Normal 3 18" xfId="9701" xr:uid="{00000000-0005-0000-0000-00001E3D0000}"/>
    <cellStyle name="Normal 3 18 10" xfId="9702" xr:uid="{00000000-0005-0000-0000-00001F3D0000}"/>
    <cellStyle name="Normal 3 18 10 10" xfId="9703" xr:uid="{00000000-0005-0000-0000-0000203D0000}"/>
    <cellStyle name="Normal 3 18 10 10 2" xfId="27273" xr:uid="{00000000-0005-0000-0000-0000213D0000}"/>
    <cellStyle name="Normal 3 18 10 11" xfId="9704" xr:uid="{00000000-0005-0000-0000-0000223D0000}"/>
    <cellStyle name="Normal 3 18 10 11 2" xfId="27274" xr:uid="{00000000-0005-0000-0000-0000233D0000}"/>
    <cellStyle name="Normal 3 18 10 12" xfId="9705" xr:uid="{00000000-0005-0000-0000-0000243D0000}"/>
    <cellStyle name="Normal 3 18 10 12 2" xfId="27275" xr:uid="{00000000-0005-0000-0000-0000253D0000}"/>
    <cellStyle name="Normal 3 18 10 13" xfId="9706" xr:uid="{00000000-0005-0000-0000-0000263D0000}"/>
    <cellStyle name="Normal 3 18 10 13 2" xfId="27276" xr:uid="{00000000-0005-0000-0000-0000273D0000}"/>
    <cellStyle name="Normal 3 18 10 14" xfId="9707" xr:uid="{00000000-0005-0000-0000-0000283D0000}"/>
    <cellStyle name="Normal 3 18 10 14 2" xfId="27277" xr:uid="{00000000-0005-0000-0000-0000293D0000}"/>
    <cellStyle name="Normal 3 18 10 15" xfId="27272" xr:uid="{00000000-0005-0000-0000-00002A3D0000}"/>
    <cellStyle name="Normal 3 18 10 2" xfId="9708" xr:uid="{00000000-0005-0000-0000-00002B3D0000}"/>
    <cellStyle name="Normal 3 18 10 2 2" xfId="27278" xr:uid="{00000000-0005-0000-0000-00002C3D0000}"/>
    <cellStyle name="Normal 3 18 10 3" xfId="9709" xr:uid="{00000000-0005-0000-0000-00002D3D0000}"/>
    <cellStyle name="Normal 3 18 10 3 2" xfId="27279" xr:uid="{00000000-0005-0000-0000-00002E3D0000}"/>
    <cellStyle name="Normal 3 18 10 4" xfId="9710" xr:uid="{00000000-0005-0000-0000-00002F3D0000}"/>
    <cellStyle name="Normal 3 18 10 4 2" xfId="27280" xr:uid="{00000000-0005-0000-0000-0000303D0000}"/>
    <cellStyle name="Normal 3 18 10 5" xfId="9711" xr:uid="{00000000-0005-0000-0000-0000313D0000}"/>
    <cellStyle name="Normal 3 18 10 5 2" xfId="27281" xr:uid="{00000000-0005-0000-0000-0000323D0000}"/>
    <cellStyle name="Normal 3 18 10 6" xfId="9712" xr:uid="{00000000-0005-0000-0000-0000333D0000}"/>
    <cellStyle name="Normal 3 18 10 6 2" xfId="27282" xr:uid="{00000000-0005-0000-0000-0000343D0000}"/>
    <cellStyle name="Normal 3 18 10 7" xfId="9713" xr:uid="{00000000-0005-0000-0000-0000353D0000}"/>
    <cellStyle name="Normal 3 18 10 7 2" xfId="27283" xr:uid="{00000000-0005-0000-0000-0000363D0000}"/>
    <cellStyle name="Normal 3 18 10 8" xfId="9714" xr:uid="{00000000-0005-0000-0000-0000373D0000}"/>
    <cellStyle name="Normal 3 18 10 8 2" xfId="27284" xr:uid="{00000000-0005-0000-0000-0000383D0000}"/>
    <cellStyle name="Normal 3 18 10 9" xfId="9715" xr:uid="{00000000-0005-0000-0000-0000393D0000}"/>
    <cellStyle name="Normal 3 18 10 9 2" xfId="27285" xr:uid="{00000000-0005-0000-0000-00003A3D0000}"/>
    <cellStyle name="Normal 3 18 11" xfId="9716" xr:uid="{00000000-0005-0000-0000-00003B3D0000}"/>
    <cellStyle name="Normal 3 18 11 10" xfId="9717" xr:uid="{00000000-0005-0000-0000-00003C3D0000}"/>
    <cellStyle name="Normal 3 18 11 10 2" xfId="27287" xr:uid="{00000000-0005-0000-0000-00003D3D0000}"/>
    <cellStyle name="Normal 3 18 11 11" xfId="9718" xr:uid="{00000000-0005-0000-0000-00003E3D0000}"/>
    <cellStyle name="Normal 3 18 11 11 2" xfId="27288" xr:uid="{00000000-0005-0000-0000-00003F3D0000}"/>
    <cellStyle name="Normal 3 18 11 12" xfId="9719" xr:uid="{00000000-0005-0000-0000-0000403D0000}"/>
    <cellStyle name="Normal 3 18 11 12 2" xfId="27289" xr:uid="{00000000-0005-0000-0000-0000413D0000}"/>
    <cellStyle name="Normal 3 18 11 13" xfId="9720" xr:uid="{00000000-0005-0000-0000-0000423D0000}"/>
    <cellStyle name="Normal 3 18 11 13 2" xfId="27290" xr:uid="{00000000-0005-0000-0000-0000433D0000}"/>
    <cellStyle name="Normal 3 18 11 14" xfId="9721" xr:uid="{00000000-0005-0000-0000-0000443D0000}"/>
    <cellStyle name="Normal 3 18 11 14 2" xfId="27291" xr:uid="{00000000-0005-0000-0000-0000453D0000}"/>
    <cellStyle name="Normal 3 18 11 15" xfId="27286" xr:uid="{00000000-0005-0000-0000-0000463D0000}"/>
    <cellStyle name="Normal 3 18 11 2" xfId="9722" xr:uid="{00000000-0005-0000-0000-0000473D0000}"/>
    <cellStyle name="Normal 3 18 11 2 2" xfId="27292" xr:uid="{00000000-0005-0000-0000-0000483D0000}"/>
    <cellStyle name="Normal 3 18 11 3" xfId="9723" xr:uid="{00000000-0005-0000-0000-0000493D0000}"/>
    <cellStyle name="Normal 3 18 11 3 2" xfId="27293" xr:uid="{00000000-0005-0000-0000-00004A3D0000}"/>
    <cellStyle name="Normal 3 18 11 4" xfId="9724" xr:uid="{00000000-0005-0000-0000-00004B3D0000}"/>
    <cellStyle name="Normal 3 18 11 4 2" xfId="27294" xr:uid="{00000000-0005-0000-0000-00004C3D0000}"/>
    <cellStyle name="Normal 3 18 11 5" xfId="9725" xr:uid="{00000000-0005-0000-0000-00004D3D0000}"/>
    <cellStyle name="Normal 3 18 11 5 2" xfId="27295" xr:uid="{00000000-0005-0000-0000-00004E3D0000}"/>
    <cellStyle name="Normal 3 18 11 6" xfId="9726" xr:uid="{00000000-0005-0000-0000-00004F3D0000}"/>
    <cellStyle name="Normal 3 18 11 6 2" xfId="27296" xr:uid="{00000000-0005-0000-0000-0000503D0000}"/>
    <cellStyle name="Normal 3 18 11 7" xfId="9727" xr:uid="{00000000-0005-0000-0000-0000513D0000}"/>
    <cellStyle name="Normal 3 18 11 7 2" xfId="27297" xr:uid="{00000000-0005-0000-0000-0000523D0000}"/>
    <cellStyle name="Normal 3 18 11 8" xfId="9728" xr:uid="{00000000-0005-0000-0000-0000533D0000}"/>
    <cellStyle name="Normal 3 18 11 8 2" xfId="27298" xr:uid="{00000000-0005-0000-0000-0000543D0000}"/>
    <cellStyle name="Normal 3 18 11 9" xfId="9729" xr:uid="{00000000-0005-0000-0000-0000553D0000}"/>
    <cellStyle name="Normal 3 18 11 9 2" xfId="27299" xr:uid="{00000000-0005-0000-0000-0000563D0000}"/>
    <cellStyle name="Normal 3 18 12" xfId="9730" xr:uid="{00000000-0005-0000-0000-0000573D0000}"/>
    <cellStyle name="Normal 3 18 12 10" xfId="9731" xr:uid="{00000000-0005-0000-0000-0000583D0000}"/>
    <cellStyle name="Normal 3 18 12 10 2" xfId="27301" xr:uid="{00000000-0005-0000-0000-0000593D0000}"/>
    <cellStyle name="Normal 3 18 12 11" xfId="9732" xr:uid="{00000000-0005-0000-0000-00005A3D0000}"/>
    <cellStyle name="Normal 3 18 12 11 2" xfId="27302" xr:uid="{00000000-0005-0000-0000-00005B3D0000}"/>
    <cellStyle name="Normal 3 18 12 12" xfId="9733" xr:uid="{00000000-0005-0000-0000-00005C3D0000}"/>
    <cellStyle name="Normal 3 18 12 12 2" xfId="27303" xr:uid="{00000000-0005-0000-0000-00005D3D0000}"/>
    <cellStyle name="Normal 3 18 12 13" xfId="9734" xr:uid="{00000000-0005-0000-0000-00005E3D0000}"/>
    <cellStyle name="Normal 3 18 12 13 2" xfId="27304" xr:uid="{00000000-0005-0000-0000-00005F3D0000}"/>
    <cellStyle name="Normal 3 18 12 14" xfId="9735" xr:uid="{00000000-0005-0000-0000-0000603D0000}"/>
    <cellStyle name="Normal 3 18 12 14 2" xfId="27305" xr:uid="{00000000-0005-0000-0000-0000613D0000}"/>
    <cellStyle name="Normal 3 18 12 15" xfId="27300" xr:uid="{00000000-0005-0000-0000-0000623D0000}"/>
    <cellStyle name="Normal 3 18 12 2" xfId="9736" xr:uid="{00000000-0005-0000-0000-0000633D0000}"/>
    <cellStyle name="Normal 3 18 12 2 2" xfId="27306" xr:uid="{00000000-0005-0000-0000-0000643D0000}"/>
    <cellStyle name="Normal 3 18 12 3" xfId="9737" xr:uid="{00000000-0005-0000-0000-0000653D0000}"/>
    <cellStyle name="Normal 3 18 12 3 2" xfId="27307" xr:uid="{00000000-0005-0000-0000-0000663D0000}"/>
    <cellStyle name="Normal 3 18 12 4" xfId="9738" xr:uid="{00000000-0005-0000-0000-0000673D0000}"/>
    <cellStyle name="Normal 3 18 12 4 2" xfId="27308" xr:uid="{00000000-0005-0000-0000-0000683D0000}"/>
    <cellStyle name="Normal 3 18 12 5" xfId="9739" xr:uid="{00000000-0005-0000-0000-0000693D0000}"/>
    <cellStyle name="Normal 3 18 12 5 2" xfId="27309" xr:uid="{00000000-0005-0000-0000-00006A3D0000}"/>
    <cellStyle name="Normal 3 18 12 6" xfId="9740" xr:uid="{00000000-0005-0000-0000-00006B3D0000}"/>
    <cellStyle name="Normal 3 18 12 6 2" xfId="27310" xr:uid="{00000000-0005-0000-0000-00006C3D0000}"/>
    <cellStyle name="Normal 3 18 12 7" xfId="9741" xr:uid="{00000000-0005-0000-0000-00006D3D0000}"/>
    <cellStyle name="Normal 3 18 12 7 2" xfId="27311" xr:uid="{00000000-0005-0000-0000-00006E3D0000}"/>
    <cellStyle name="Normal 3 18 12 8" xfId="9742" xr:uid="{00000000-0005-0000-0000-00006F3D0000}"/>
    <cellStyle name="Normal 3 18 12 8 2" xfId="27312" xr:uid="{00000000-0005-0000-0000-0000703D0000}"/>
    <cellStyle name="Normal 3 18 12 9" xfId="9743" xr:uid="{00000000-0005-0000-0000-0000713D0000}"/>
    <cellStyle name="Normal 3 18 12 9 2" xfId="27313" xr:uid="{00000000-0005-0000-0000-0000723D0000}"/>
    <cellStyle name="Normal 3 18 13" xfId="9744" xr:uid="{00000000-0005-0000-0000-0000733D0000}"/>
    <cellStyle name="Normal 3 18 13 10" xfId="9745" xr:uid="{00000000-0005-0000-0000-0000743D0000}"/>
    <cellStyle name="Normal 3 18 13 10 2" xfId="27315" xr:uid="{00000000-0005-0000-0000-0000753D0000}"/>
    <cellStyle name="Normal 3 18 13 11" xfId="9746" xr:uid="{00000000-0005-0000-0000-0000763D0000}"/>
    <cellStyle name="Normal 3 18 13 11 2" xfId="27316" xr:uid="{00000000-0005-0000-0000-0000773D0000}"/>
    <cellStyle name="Normal 3 18 13 12" xfId="9747" xr:uid="{00000000-0005-0000-0000-0000783D0000}"/>
    <cellStyle name="Normal 3 18 13 12 2" xfId="27317" xr:uid="{00000000-0005-0000-0000-0000793D0000}"/>
    <cellStyle name="Normal 3 18 13 13" xfId="9748" xr:uid="{00000000-0005-0000-0000-00007A3D0000}"/>
    <cellStyle name="Normal 3 18 13 13 2" xfId="27318" xr:uid="{00000000-0005-0000-0000-00007B3D0000}"/>
    <cellStyle name="Normal 3 18 13 14" xfId="9749" xr:uid="{00000000-0005-0000-0000-00007C3D0000}"/>
    <cellStyle name="Normal 3 18 13 14 2" xfId="27319" xr:uid="{00000000-0005-0000-0000-00007D3D0000}"/>
    <cellStyle name="Normal 3 18 13 15" xfId="27314" xr:uid="{00000000-0005-0000-0000-00007E3D0000}"/>
    <cellStyle name="Normal 3 18 13 2" xfId="9750" xr:uid="{00000000-0005-0000-0000-00007F3D0000}"/>
    <cellStyle name="Normal 3 18 13 2 2" xfId="27320" xr:uid="{00000000-0005-0000-0000-0000803D0000}"/>
    <cellStyle name="Normal 3 18 13 3" xfId="9751" xr:uid="{00000000-0005-0000-0000-0000813D0000}"/>
    <cellStyle name="Normal 3 18 13 3 2" xfId="27321" xr:uid="{00000000-0005-0000-0000-0000823D0000}"/>
    <cellStyle name="Normal 3 18 13 4" xfId="9752" xr:uid="{00000000-0005-0000-0000-0000833D0000}"/>
    <cellStyle name="Normal 3 18 13 4 2" xfId="27322" xr:uid="{00000000-0005-0000-0000-0000843D0000}"/>
    <cellStyle name="Normal 3 18 13 5" xfId="9753" xr:uid="{00000000-0005-0000-0000-0000853D0000}"/>
    <cellStyle name="Normal 3 18 13 5 2" xfId="27323" xr:uid="{00000000-0005-0000-0000-0000863D0000}"/>
    <cellStyle name="Normal 3 18 13 6" xfId="9754" xr:uid="{00000000-0005-0000-0000-0000873D0000}"/>
    <cellStyle name="Normal 3 18 13 6 2" xfId="27324" xr:uid="{00000000-0005-0000-0000-0000883D0000}"/>
    <cellStyle name="Normal 3 18 13 7" xfId="9755" xr:uid="{00000000-0005-0000-0000-0000893D0000}"/>
    <cellStyle name="Normal 3 18 13 7 2" xfId="27325" xr:uid="{00000000-0005-0000-0000-00008A3D0000}"/>
    <cellStyle name="Normal 3 18 13 8" xfId="9756" xr:uid="{00000000-0005-0000-0000-00008B3D0000}"/>
    <cellStyle name="Normal 3 18 13 8 2" xfId="27326" xr:uid="{00000000-0005-0000-0000-00008C3D0000}"/>
    <cellStyle name="Normal 3 18 13 9" xfId="9757" xr:uid="{00000000-0005-0000-0000-00008D3D0000}"/>
    <cellStyle name="Normal 3 18 13 9 2" xfId="27327" xr:uid="{00000000-0005-0000-0000-00008E3D0000}"/>
    <cellStyle name="Normal 3 18 14" xfId="9758" xr:uid="{00000000-0005-0000-0000-00008F3D0000}"/>
    <cellStyle name="Normal 3 18 14 10" xfId="9759" xr:uid="{00000000-0005-0000-0000-0000903D0000}"/>
    <cellStyle name="Normal 3 18 14 10 2" xfId="27329" xr:uid="{00000000-0005-0000-0000-0000913D0000}"/>
    <cellStyle name="Normal 3 18 14 11" xfId="9760" xr:uid="{00000000-0005-0000-0000-0000923D0000}"/>
    <cellStyle name="Normal 3 18 14 11 2" xfId="27330" xr:uid="{00000000-0005-0000-0000-0000933D0000}"/>
    <cellStyle name="Normal 3 18 14 12" xfId="9761" xr:uid="{00000000-0005-0000-0000-0000943D0000}"/>
    <cellStyle name="Normal 3 18 14 12 2" xfId="27331" xr:uid="{00000000-0005-0000-0000-0000953D0000}"/>
    <cellStyle name="Normal 3 18 14 13" xfId="9762" xr:uid="{00000000-0005-0000-0000-0000963D0000}"/>
    <cellStyle name="Normal 3 18 14 13 2" xfId="27332" xr:uid="{00000000-0005-0000-0000-0000973D0000}"/>
    <cellStyle name="Normal 3 18 14 14" xfId="9763" xr:uid="{00000000-0005-0000-0000-0000983D0000}"/>
    <cellStyle name="Normal 3 18 14 14 2" xfId="27333" xr:uid="{00000000-0005-0000-0000-0000993D0000}"/>
    <cellStyle name="Normal 3 18 14 15" xfId="27328" xr:uid="{00000000-0005-0000-0000-00009A3D0000}"/>
    <cellStyle name="Normal 3 18 14 2" xfId="9764" xr:uid="{00000000-0005-0000-0000-00009B3D0000}"/>
    <cellStyle name="Normal 3 18 14 2 2" xfId="27334" xr:uid="{00000000-0005-0000-0000-00009C3D0000}"/>
    <cellStyle name="Normal 3 18 14 3" xfId="9765" xr:uid="{00000000-0005-0000-0000-00009D3D0000}"/>
    <cellStyle name="Normal 3 18 14 3 2" xfId="27335" xr:uid="{00000000-0005-0000-0000-00009E3D0000}"/>
    <cellStyle name="Normal 3 18 14 4" xfId="9766" xr:uid="{00000000-0005-0000-0000-00009F3D0000}"/>
    <cellStyle name="Normal 3 18 14 4 2" xfId="27336" xr:uid="{00000000-0005-0000-0000-0000A03D0000}"/>
    <cellStyle name="Normal 3 18 14 5" xfId="9767" xr:uid="{00000000-0005-0000-0000-0000A13D0000}"/>
    <cellStyle name="Normal 3 18 14 5 2" xfId="27337" xr:uid="{00000000-0005-0000-0000-0000A23D0000}"/>
    <cellStyle name="Normal 3 18 14 6" xfId="9768" xr:uid="{00000000-0005-0000-0000-0000A33D0000}"/>
    <cellStyle name="Normal 3 18 14 6 2" xfId="27338" xr:uid="{00000000-0005-0000-0000-0000A43D0000}"/>
    <cellStyle name="Normal 3 18 14 7" xfId="9769" xr:uid="{00000000-0005-0000-0000-0000A53D0000}"/>
    <cellStyle name="Normal 3 18 14 7 2" xfId="27339" xr:uid="{00000000-0005-0000-0000-0000A63D0000}"/>
    <cellStyle name="Normal 3 18 14 8" xfId="9770" xr:uid="{00000000-0005-0000-0000-0000A73D0000}"/>
    <cellStyle name="Normal 3 18 14 8 2" xfId="27340" xr:uid="{00000000-0005-0000-0000-0000A83D0000}"/>
    <cellStyle name="Normal 3 18 14 9" xfId="9771" xr:uid="{00000000-0005-0000-0000-0000A93D0000}"/>
    <cellStyle name="Normal 3 18 14 9 2" xfId="27341" xr:uid="{00000000-0005-0000-0000-0000AA3D0000}"/>
    <cellStyle name="Normal 3 18 15" xfId="9772" xr:uid="{00000000-0005-0000-0000-0000AB3D0000}"/>
    <cellStyle name="Normal 3 18 15 2" xfId="27342" xr:uid="{00000000-0005-0000-0000-0000AC3D0000}"/>
    <cellStyle name="Normal 3 18 16" xfId="9773" xr:uid="{00000000-0005-0000-0000-0000AD3D0000}"/>
    <cellStyle name="Normal 3 18 16 2" xfId="27343" xr:uid="{00000000-0005-0000-0000-0000AE3D0000}"/>
    <cellStyle name="Normal 3 18 17" xfId="9774" xr:uid="{00000000-0005-0000-0000-0000AF3D0000}"/>
    <cellStyle name="Normal 3 18 17 2" xfId="27344" xr:uid="{00000000-0005-0000-0000-0000B03D0000}"/>
    <cellStyle name="Normal 3 18 18" xfId="9775" xr:uid="{00000000-0005-0000-0000-0000B13D0000}"/>
    <cellStyle name="Normal 3 18 18 2" xfId="27345" xr:uid="{00000000-0005-0000-0000-0000B23D0000}"/>
    <cellStyle name="Normal 3 18 19" xfId="9776" xr:uid="{00000000-0005-0000-0000-0000B33D0000}"/>
    <cellStyle name="Normal 3 18 19 2" xfId="27346" xr:uid="{00000000-0005-0000-0000-0000B43D0000}"/>
    <cellStyle name="Normal 3 18 2" xfId="9777" xr:uid="{00000000-0005-0000-0000-0000B53D0000}"/>
    <cellStyle name="Normal 3 18 20" xfId="9778" xr:uid="{00000000-0005-0000-0000-0000B63D0000}"/>
    <cellStyle name="Normal 3 18 20 2" xfId="27347" xr:uid="{00000000-0005-0000-0000-0000B73D0000}"/>
    <cellStyle name="Normal 3 18 21" xfId="9779" xr:uid="{00000000-0005-0000-0000-0000B83D0000}"/>
    <cellStyle name="Normal 3 18 21 2" xfId="27348" xr:uid="{00000000-0005-0000-0000-0000B93D0000}"/>
    <cellStyle name="Normal 3 18 22" xfId="9780" xr:uid="{00000000-0005-0000-0000-0000BA3D0000}"/>
    <cellStyle name="Normal 3 18 22 2" xfId="27349" xr:uid="{00000000-0005-0000-0000-0000BB3D0000}"/>
    <cellStyle name="Normal 3 18 23" xfId="9781" xr:uid="{00000000-0005-0000-0000-0000BC3D0000}"/>
    <cellStyle name="Normal 3 18 23 2" xfId="27350" xr:uid="{00000000-0005-0000-0000-0000BD3D0000}"/>
    <cellStyle name="Normal 3 18 24" xfId="9782" xr:uid="{00000000-0005-0000-0000-0000BE3D0000}"/>
    <cellStyle name="Normal 3 18 24 2" xfId="27351" xr:uid="{00000000-0005-0000-0000-0000BF3D0000}"/>
    <cellStyle name="Normal 3 18 25" xfId="9783" xr:uid="{00000000-0005-0000-0000-0000C03D0000}"/>
    <cellStyle name="Normal 3 18 25 2" xfId="27352" xr:uid="{00000000-0005-0000-0000-0000C13D0000}"/>
    <cellStyle name="Normal 3 18 26" xfId="9784" xr:uid="{00000000-0005-0000-0000-0000C23D0000}"/>
    <cellStyle name="Normal 3 18 26 2" xfId="27353" xr:uid="{00000000-0005-0000-0000-0000C33D0000}"/>
    <cellStyle name="Normal 3 18 27" xfId="9785" xr:uid="{00000000-0005-0000-0000-0000C43D0000}"/>
    <cellStyle name="Normal 3 18 27 2" xfId="27354" xr:uid="{00000000-0005-0000-0000-0000C53D0000}"/>
    <cellStyle name="Normal 3 18 28" xfId="27271" xr:uid="{00000000-0005-0000-0000-0000C63D0000}"/>
    <cellStyle name="Normal 3 18 3" xfId="9786" xr:uid="{00000000-0005-0000-0000-0000C73D0000}"/>
    <cellStyle name="Normal 3 18 4" xfId="9787" xr:uid="{00000000-0005-0000-0000-0000C83D0000}"/>
    <cellStyle name="Normal 3 18 5" xfId="9788" xr:uid="{00000000-0005-0000-0000-0000C93D0000}"/>
    <cellStyle name="Normal 3 18 6" xfId="9789" xr:uid="{00000000-0005-0000-0000-0000CA3D0000}"/>
    <cellStyle name="Normal 3 18 6 10" xfId="9790" xr:uid="{00000000-0005-0000-0000-0000CB3D0000}"/>
    <cellStyle name="Normal 3 18 6 10 2" xfId="27356" xr:uid="{00000000-0005-0000-0000-0000CC3D0000}"/>
    <cellStyle name="Normal 3 18 6 11" xfId="9791" xr:uid="{00000000-0005-0000-0000-0000CD3D0000}"/>
    <cellStyle name="Normal 3 18 6 11 2" xfId="27357" xr:uid="{00000000-0005-0000-0000-0000CE3D0000}"/>
    <cellStyle name="Normal 3 18 6 12" xfId="9792" xr:uid="{00000000-0005-0000-0000-0000CF3D0000}"/>
    <cellStyle name="Normal 3 18 6 12 2" xfId="27358" xr:uid="{00000000-0005-0000-0000-0000D03D0000}"/>
    <cellStyle name="Normal 3 18 6 13" xfId="9793" xr:uid="{00000000-0005-0000-0000-0000D13D0000}"/>
    <cellStyle name="Normal 3 18 6 13 2" xfId="27359" xr:uid="{00000000-0005-0000-0000-0000D23D0000}"/>
    <cellStyle name="Normal 3 18 6 14" xfId="9794" xr:uid="{00000000-0005-0000-0000-0000D33D0000}"/>
    <cellStyle name="Normal 3 18 6 14 2" xfId="27360" xr:uid="{00000000-0005-0000-0000-0000D43D0000}"/>
    <cellStyle name="Normal 3 18 6 15" xfId="9795" xr:uid="{00000000-0005-0000-0000-0000D53D0000}"/>
    <cellStyle name="Normal 3 18 6 15 2" xfId="27361" xr:uid="{00000000-0005-0000-0000-0000D63D0000}"/>
    <cellStyle name="Normal 3 18 6 16" xfId="27355" xr:uid="{00000000-0005-0000-0000-0000D73D0000}"/>
    <cellStyle name="Normal 3 18 6 2" xfId="9796" xr:uid="{00000000-0005-0000-0000-0000D83D0000}"/>
    <cellStyle name="Normal 3 18 6 2 10" xfId="9797" xr:uid="{00000000-0005-0000-0000-0000D93D0000}"/>
    <cellStyle name="Normal 3 18 6 2 10 2" xfId="27363" xr:uid="{00000000-0005-0000-0000-0000DA3D0000}"/>
    <cellStyle name="Normal 3 18 6 2 11" xfId="9798" xr:uid="{00000000-0005-0000-0000-0000DB3D0000}"/>
    <cellStyle name="Normal 3 18 6 2 11 2" xfId="27364" xr:uid="{00000000-0005-0000-0000-0000DC3D0000}"/>
    <cellStyle name="Normal 3 18 6 2 12" xfId="9799" xr:uid="{00000000-0005-0000-0000-0000DD3D0000}"/>
    <cellStyle name="Normal 3 18 6 2 12 2" xfId="27365" xr:uid="{00000000-0005-0000-0000-0000DE3D0000}"/>
    <cellStyle name="Normal 3 18 6 2 13" xfId="9800" xr:uid="{00000000-0005-0000-0000-0000DF3D0000}"/>
    <cellStyle name="Normal 3 18 6 2 13 2" xfId="27366" xr:uid="{00000000-0005-0000-0000-0000E03D0000}"/>
    <cellStyle name="Normal 3 18 6 2 14" xfId="9801" xr:uid="{00000000-0005-0000-0000-0000E13D0000}"/>
    <cellStyle name="Normal 3 18 6 2 14 2" xfId="27367" xr:uid="{00000000-0005-0000-0000-0000E23D0000}"/>
    <cellStyle name="Normal 3 18 6 2 15" xfId="27362" xr:uid="{00000000-0005-0000-0000-0000E33D0000}"/>
    <cellStyle name="Normal 3 18 6 2 2" xfId="9802" xr:uid="{00000000-0005-0000-0000-0000E43D0000}"/>
    <cellStyle name="Normal 3 18 6 2 2 2" xfId="27368" xr:uid="{00000000-0005-0000-0000-0000E53D0000}"/>
    <cellStyle name="Normal 3 18 6 2 3" xfId="9803" xr:uid="{00000000-0005-0000-0000-0000E63D0000}"/>
    <cellStyle name="Normal 3 18 6 2 3 2" xfId="27369" xr:uid="{00000000-0005-0000-0000-0000E73D0000}"/>
    <cellStyle name="Normal 3 18 6 2 4" xfId="9804" xr:uid="{00000000-0005-0000-0000-0000E83D0000}"/>
    <cellStyle name="Normal 3 18 6 2 4 2" xfId="27370" xr:uid="{00000000-0005-0000-0000-0000E93D0000}"/>
    <cellStyle name="Normal 3 18 6 2 5" xfId="9805" xr:uid="{00000000-0005-0000-0000-0000EA3D0000}"/>
    <cellStyle name="Normal 3 18 6 2 5 2" xfId="27371" xr:uid="{00000000-0005-0000-0000-0000EB3D0000}"/>
    <cellStyle name="Normal 3 18 6 2 6" xfId="9806" xr:uid="{00000000-0005-0000-0000-0000EC3D0000}"/>
    <cellStyle name="Normal 3 18 6 2 6 2" xfId="27372" xr:uid="{00000000-0005-0000-0000-0000ED3D0000}"/>
    <cellStyle name="Normal 3 18 6 2 7" xfId="9807" xr:uid="{00000000-0005-0000-0000-0000EE3D0000}"/>
    <cellStyle name="Normal 3 18 6 2 7 2" xfId="27373" xr:uid="{00000000-0005-0000-0000-0000EF3D0000}"/>
    <cellStyle name="Normal 3 18 6 2 8" xfId="9808" xr:uid="{00000000-0005-0000-0000-0000F03D0000}"/>
    <cellStyle name="Normal 3 18 6 2 8 2" xfId="27374" xr:uid="{00000000-0005-0000-0000-0000F13D0000}"/>
    <cellStyle name="Normal 3 18 6 2 9" xfId="9809" xr:uid="{00000000-0005-0000-0000-0000F23D0000}"/>
    <cellStyle name="Normal 3 18 6 2 9 2" xfId="27375" xr:uid="{00000000-0005-0000-0000-0000F33D0000}"/>
    <cellStyle name="Normal 3 18 6 3" xfId="9810" xr:uid="{00000000-0005-0000-0000-0000F43D0000}"/>
    <cellStyle name="Normal 3 18 6 3 2" xfId="27376" xr:uid="{00000000-0005-0000-0000-0000F53D0000}"/>
    <cellStyle name="Normal 3 18 6 4" xfId="9811" xr:uid="{00000000-0005-0000-0000-0000F63D0000}"/>
    <cellStyle name="Normal 3 18 6 4 2" xfId="27377" xr:uid="{00000000-0005-0000-0000-0000F73D0000}"/>
    <cellStyle name="Normal 3 18 6 5" xfId="9812" xr:uid="{00000000-0005-0000-0000-0000F83D0000}"/>
    <cellStyle name="Normal 3 18 6 5 2" xfId="27378" xr:uid="{00000000-0005-0000-0000-0000F93D0000}"/>
    <cellStyle name="Normal 3 18 6 6" xfId="9813" xr:uid="{00000000-0005-0000-0000-0000FA3D0000}"/>
    <cellStyle name="Normal 3 18 6 6 2" xfId="27379" xr:uid="{00000000-0005-0000-0000-0000FB3D0000}"/>
    <cellStyle name="Normal 3 18 6 7" xfId="9814" xr:uid="{00000000-0005-0000-0000-0000FC3D0000}"/>
    <cellStyle name="Normal 3 18 6 7 2" xfId="27380" xr:uid="{00000000-0005-0000-0000-0000FD3D0000}"/>
    <cellStyle name="Normal 3 18 6 8" xfId="9815" xr:uid="{00000000-0005-0000-0000-0000FE3D0000}"/>
    <cellStyle name="Normal 3 18 6 8 2" xfId="27381" xr:uid="{00000000-0005-0000-0000-0000FF3D0000}"/>
    <cellStyle name="Normal 3 18 6 9" xfId="9816" xr:uid="{00000000-0005-0000-0000-0000003E0000}"/>
    <cellStyle name="Normal 3 18 6 9 2" xfId="27382" xr:uid="{00000000-0005-0000-0000-0000013E0000}"/>
    <cellStyle name="Normal 3 18 7" xfId="9817" xr:uid="{00000000-0005-0000-0000-0000023E0000}"/>
    <cellStyle name="Normal 3 18 7 10" xfId="9818" xr:uid="{00000000-0005-0000-0000-0000033E0000}"/>
    <cellStyle name="Normal 3 18 7 10 2" xfId="27384" xr:uid="{00000000-0005-0000-0000-0000043E0000}"/>
    <cellStyle name="Normal 3 18 7 11" xfId="9819" xr:uid="{00000000-0005-0000-0000-0000053E0000}"/>
    <cellStyle name="Normal 3 18 7 11 2" xfId="27385" xr:uid="{00000000-0005-0000-0000-0000063E0000}"/>
    <cellStyle name="Normal 3 18 7 12" xfId="9820" xr:uid="{00000000-0005-0000-0000-0000073E0000}"/>
    <cellStyle name="Normal 3 18 7 12 2" xfId="27386" xr:uid="{00000000-0005-0000-0000-0000083E0000}"/>
    <cellStyle name="Normal 3 18 7 13" xfId="9821" xr:uid="{00000000-0005-0000-0000-0000093E0000}"/>
    <cellStyle name="Normal 3 18 7 13 2" xfId="27387" xr:uid="{00000000-0005-0000-0000-00000A3E0000}"/>
    <cellStyle name="Normal 3 18 7 14" xfId="9822" xr:uid="{00000000-0005-0000-0000-00000B3E0000}"/>
    <cellStyle name="Normal 3 18 7 14 2" xfId="27388" xr:uid="{00000000-0005-0000-0000-00000C3E0000}"/>
    <cellStyle name="Normal 3 18 7 15" xfId="9823" xr:uid="{00000000-0005-0000-0000-00000D3E0000}"/>
    <cellStyle name="Normal 3 18 7 15 2" xfId="27389" xr:uid="{00000000-0005-0000-0000-00000E3E0000}"/>
    <cellStyle name="Normal 3 18 7 16" xfId="27383" xr:uid="{00000000-0005-0000-0000-00000F3E0000}"/>
    <cellStyle name="Normal 3 18 7 2" xfId="9824" xr:uid="{00000000-0005-0000-0000-0000103E0000}"/>
    <cellStyle name="Normal 3 18 7 2 10" xfId="9825" xr:uid="{00000000-0005-0000-0000-0000113E0000}"/>
    <cellStyle name="Normal 3 18 7 2 10 2" xfId="27391" xr:uid="{00000000-0005-0000-0000-0000123E0000}"/>
    <cellStyle name="Normal 3 18 7 2 11" xfId="9826" xr:uid="{00000000-0005-0000-0000-0000133E0000}"/>
    <cellStyle name="Normal 3 18 7 2 11 2" xfId="27392" xr:uid="{00000000-0005-0000-0000-0000143E0000}"/>
    <cellStyle name="Normal 3 18 7 2 12" xfId="9827" xr:uid="{00000000-0005-0000-0000-0000153E0000}"/>
    <cellStyle name="Normal 3 18 7 2 12 2" xfId="27393" xr:uid="{00000000-0005-0000-0000-0000163E0000}"/>
    <cellStyle name="Normal 3 18 7 2 13" xfId="9828" xr:uid="{00000000-0005-0000-0000-0000173E0000}"/>
    <cellStyle name="Normal 3 18 7 2 13 2" xfId="27394" xr:uid="{00000000-0005-0000-0000-0000183E0000}"/>
    <cellStyle name="Normal 3 18 7 2 14" xfId="9829" xr:uid="{00000000-0005-0000-0000-0000193E0000}"/>
    <cellStyle name="Normal 3 18 7 2 14 2" xfId="27395" xr:uid="{00000000-0005-0000-0000-00001A3E0000}"/>
    <cellStyle name="Normal 3 18 7 2 15" xfId="27390" xr:uid="{00000000-0005-0000-0000-00001B3E0000}"/>
    <cellStyle name="Normal 3 18 7 2 2" xfId="9830" xr:uid="{00000000-0005-0000-0000-00001C3E0000}"/>
    <cellStyle name="Normal 3 18 7 2 2 2" xfId="27396" xr:uid="{00000000-0005-0000-0000-00001D3E0000}"/>
    <cellStyle name="Normal 3 18 7 2 3" xfId="9831" xr:uid="{00000000-0005-0000-0000-00001E3E0000}"/>
    <cellStyle name="Normal 3 18 7 2 3 2" xfId="27397" xr:uid="{00000000-0005-0000-0000-00001F3E0000}"/>
    <cellStyle name="Normal 3 18 7 2 4" xfId="9832" xr:uid="{00000000-0005-0000-0000-0000203E0000}"/>
    <cellStyle name="Normal 3 18 7 2 4 2" xfId="27398" xr:uid="{00000000-0005-0000-0000-0000213E0000}"/>
    <cellStyle name="Normal 3 18 7 2 5" xfId="9833" xr:uid="{00000000-0005-0000-0000-0000223E0000}"/>
    <cellStyle name="Normal 3 18 7 2 5 2" xfId="27399" xr:uid="{00000000-0005-0000-0000-0000233E0000}"/>
    <cellStyle name="Normal 3 18 7 2 6" xfId="9834" xr:uid="{00000000-0005-0000-0000-0000243E0000}"/>
    <cellStyle name="Normal 3 18 7 2 6 2" xfId="27400" xr:uid="{00000000-0005-0000-0000-0000253E0000}"/>
    <cellStyle name="Normal 3 18 7 2 7" xfId="9835" xr:uid="{00000000-0005-0000-0000-0000263E0000}"/>
    <cellStyle name="Normal 3 18 7 2 7 2" xfId="27401" xr:uid="{00000000-0005-0000-0000-0000273E0000}"/>
    <cellStyle name="Normal 3 18 7 2 8" xfId="9836" xr:uid="{00000000-0005-0000-0000-0000283E0000}"/>
    <cellStyle name="Normal 3 18 7 2 8 2" xfId="27402" xr:uid="{00000000-0005-0000-0000-0000293E0000}"/>
    <cellStyle name="Normal 3 18 7 2 9" xfId="9837" xr:uid="{00000000-0005-0000-0000-00002A3E0000}"/>
    <cellStyle name="Normal 3 18 7 2 9 2" xfId="27403" xr:uid="{00000000-0005-0000-0000-00002B3E0000}"/>
    <cellStyle name="Normal 3 18 7 3" xfId="9838" xr:uid="{00000000-0005-0000-0000-00002C3E0000}"/>
    <cellStyle name="Normal 3 18 7 3 2" xfId="27404" xr:uid="{00000000-0005-0000-0000-00002D3E0000}"/>
    <cellStyle name="Normal 3 18 7 4" xfId="9839" xr:uid="{00000000-0005-0000-0000-00002E3E0000}"/>
    <cellStyle name="Normal 3 18 7 4 2" xfId="27405" xr:uid="{00000000-0005-0000-0000-00002F3E0000}"/>
    <cellStyle name="Normal 3 18 7 5" xfId="9840" xr:uid="{00000000-0005-0000-0000-0000303E0000}"/>
    <cellStyle name="Normal 3 18 7 5 2" xfId="27406" xr:uid="{00000000-0005-0000-0000-0000313E0000}"/>
    <cellStyle name="Normal 3 18 7 6" xfId="9841" xr:uid="{00000000-0005-0000-0000-0000323E0000}"/>
    <cellStyle name="Normal 3 18 7 6 2" xfId="27407" xr:uid="{00000000-0005-0000-0000-0000333E0000}"/>
    <cellStyle name="Normal 3 18 7 7" xfId="9842" xr:uid="{00000000-0005-0000-0000-0000343E0000}"/>
    <cellStyle name="Normal 3 18 7 7 2" xfId="27408" xr:uid="{00000000-0005-0000-0000-0000353E0000}"/>
    <cellStyle name="Normal 3 18 7 8" xfId="9843" xr:uid="{00000000-0005-0000-0000-0000363E0000}"/>
    <cellStyle name="Normal 3 18 7 8 2" xfId="27409" xr:uid="{00000000-0005-0000-0000-0000373E0000}"/>
    <cellStyle name="Normal 3 18 7 9" xfId="9844" xr:uid="{00000000-0005-0000-0000-0000383E0000}"/>
    <cellStyle name="Normal 3 18 7 9 2" xfId="27410" xr:uid="{00000000-0005-0000-0000-0000393E0000}"/>
    <cellStyle name="Normal 3 18 8" xfId="9845" xr:uid="{00000000-0005-0000-0000-00003A3E0000}"/>
    <cellStyle name="Normal 3 18 8 10" xfId="9846" xr:uid="{00000000-0005-0000-0000-00003B3E0000}"/>
    <cellStyle name="Normal 3 18 8 10 2" xfId="27412" xr:uid="{00000000-0005-0000-0000-00003C3E0000}"/>
    <cellStyle name="Normal 3 18 8 11" xfId="9847" xr:uid="{00000000-0005-0000-0000-00003D3E0000}"/>
    <cellStyle name="Normal 3 18 8 11 2" xfId="27413" xr:uid="{00000000-0005-0000-0000-00003E3E0000}"/>
    <cellStyle name="Normal 3 18 8 12" xfId="9848" xr:uid="{00000000-0005-0000-0000-00003F3E0000}"/>
    <cellStyle name="Normal 3 18 8 12 2" xfId="27414" xr:uid="{00000000-0005-0000-0000-0000403E0000}"/>
    <cellStyle name="Normal 3 18 8 13" xfId="9849" xr:uid="{00000000-0005-0000-0000-0000413E0000}"/>
    <cellStyle name="Normal 3 18 8 13 2" xfId="27415" xr:uid="{00000000-0005-0000-0000-0000423E0000}"/>
    <cellStyle name="Normal 3 18 8 14" xfId="9850" xr:uid="{00000000-0005-0000-0000-0000433E0000}"/>
    <cellStyle name="Normal 3 18 8 14 2" xfId="27416" xr:uid="{00000000-0005-0000-0000-0000443E0000}"/>
    <cellStyle name="Normal 3 18 8 15" xfId="9851" xr:uid="{00000000-0005-0000-0000-0000453E0000}"/>
    <cellStyle name="Normal 3 18 8 15 2" xfId="27417" xr:uid="{00000000-0005-0000-0000-0000463E0000}"/>
    <cellStyle name="Normal 3 18 8 16" xfId="27411" xr:uid="{00000000-0005-0000-0000-0000473E0000}"/>
    <cellStyle name="Normal 3 18 8 2" xfId="9852" xr:uid="{00000000-0005-0000-0000-0000483E0000}"/>
    <cellStyle name="Normal 3 18 8 2 10" xfId="9853" xr:uid="{00000000-0005-0000-0000-0000493E0000}"/>
    <cellStyle name="Normal 3 18 8 2 10 2" xfId="27419" xr:uid="{00000000-0005-0000-0000-00004A3E0000}"/>
    <cellStyle name="Normal 3 18 8 2 11" xfId="9854" xr:uid="{00000000-0005-0000-0000-00004B3E0000}"/>
    <cellStyle name="Normal 3 18 8 2 11 2" xfId="27420" xr:uid="{00000000-0005-0000-0000-00004C3E0000}"/>
    <cellStyle name="Normal 3 18 8 2 12" xfId="9855" xr:uid="{00000000-0005-0000-0000-00004D3E0000}"/>
    <cellStyle name="Normal 3 18 8 2 12 2" xfId="27421" xr:uid="{00000000-0005-0000-0000-00004E3E0000}"/>
    <cellStyle name="Normal 3 18 8 2 13" xfId="9856" xr:uid="{00000000-0005-0000-0000-00004F3E0000}"/>
    <cellStyle name="Normal 3 18 8 2 13 2" xfId="27422" xr:uid="{00000000-0005-0000-0000-0000503E0000}"/>
    <cellStyle name="Normal 3 18 8 2 14" xfId="9857" xr:uid="{00000000-0005-0000-0000-0000513E0000}"/>
    <cellStyle name="Normal 3 18 8 2 14 2" xfId="27423" xr:uid="{00000000-0005-0000-0000-0000523E0000}"/>
    <cellStyle name="Normal 3 18 8 2 15" xfId="27418" xr:uid="{00000000-0005-0000-0000-0000533E0000}"/>
    <cellStyle name="Normal 3 18 8 2 2" xfId="9858" xr:uid="{00000000-0005-0000-0000-0000543E0000}"/>
    <cellStyle name="Normal 3 18 8 2 2 2" xfId="27424" xr:uid="{00000000-0005-0000-0000-0000553E0000}"/>
    <cellStyle name="Normal 3 18 8 2 3" xfId="9859" xr:uid="{00000000-0005-0000-0000-0000563E0000}"/>
    <cellStyle name="Normal 3 18 8 2 3 2" xfId="27425" xr:uid="{00000000-0005-0000-0000-0000573E0000}"/>
    <cellStyle name="Normal 3 18 8 2 4" xfId="9860" xr:uid="{00000000-0005-0000-0000-0000583E0000}"/>
    <cellStyle name="Normal 3 18 8 2 4 2" xfId="27426" xr:uid="{00000000-0005-0000-0000-0000593E0000}"/>
    <cellStyle name="Normal 3 18 8 2 5" xfId="9861" xr:uid="{00000000-0005-0000-0000-00005A3E0000}"/>
    <cellStyle name="Normal 3 18 8 2 5 2" xfId="27427" xr:uid="{00000000-0005-0000-0000-00005B3E0000}"/>
    <cellStyle name="Normal 3 18 8 2 6" xfId="9862" xr:uid="{00000000-0005-0000-0000-00005C3E0000}"/>
    <cellStyle name="Normal 3 18 8 2 6 2" xfId="27428" xr:uid="{00000000-0005-0000-0000-00005D3E0000}"/>
    <cellStyle name="Normal 3 18 8 2 7" xfId="9863" xr:uid="{00000000-0005-0000-0000-00005E3E0000}"/>
    <cellStyle name="Normal 3 18 8 2 7 2" xfId="27429" xr:uid="{00000000-0005-0000-0000-00005F3E0000}"/>
    <cellStyle name="Normal 3 18 8 2 8" xfId="9864" xr:uid="{00000000-0005-0000-0000-0000603E0000}"/>
    <cellStyle name="Normal 3 18 8 2 8 2" xfId="27430" xr:uid="{00000000-0005-0000-0000-0000613E0000}"/>
    <cellStyle name="Normal 3 18 8 2 9" xfId="9865" xr:uid="{00000000-0005-0000-0000-0000623E0000}"/>
    <cellStyle name="Normal 3 18 8 2 9 2" xfId="27431" xr:uid="{00000000-0005-0000-0000-0000633E0000}"/>
    <cellStyle name="Normal 3 18 8 3" xfId="9866" xr:uid="{00000000-0005-0000-0000-0000643E0000}"/>
    <cellStyle name="Normal 3 18 8 3 2" xfId="27432" xr:uid="{00000000-0005-0000-0000-0000653E0000}"/>
    <cellStyle name="Normal 3 18 8 4" xfId="9867" xr:uid="{00000000-0005-0000-0000-0000663E0000}"/>
    <cellStyle name="Normal 3 18 8 4 2" xfId="27433" xr:uid="{00000000-0005-0000-0000-0000673E0000}"/>
    <cellStyle name="Normal 3 18 8 5" xfId="9868" xr:uid="{00000000-0005-0000-0000-0000683E0000}"/>
    <cellStyle name="Normal 3 18 8 5 2" xfId="27434" xr:uid="{00000000-0005-0000-0000-0000693E0000}"/>
    <cellStyle name="Normal 3 18 8 6" xfId="9869" xr:uid="{00000000-0005-0000-0000-00006A3E0000}"/>
    <cellStyle name="Normal 3 18 8 6 2" xfId="27435" xr:uid="{00000000-0005-0000-0000-00006B3E0000}"/>
    <cellStyle name="Normal 3 18 8 7" xfId="9870" xr:uid="{00000000-0005-0000-0000-00006C3E0000}"/>
    <cellStyle name="Normal 3 18 8 7 2" xfId="27436" xr:uid="{00000000-0005-0000-0000-00006D3E0000}"/>
    <cellStyle name="Normal 3 18 8 8" xfId="9871" xr:uid="{00000000-0005-0000-0000-00006E3E0000}"/>
    <cellStyle name="Normal 3 18 8 8 2" xfId="27437" xr:uid="{00000000-0005-0000-0000-00006F3E0000}"/>
    <cellStyle name="Normal 3 18 8 9" xfId="9872" xr:uid="{00000000-0005-0000-0000-0000703E0000}"/>
    <cellStyle name="Normal 3 18 8 9 2" xfId="27438" xr:uid="{00000000-0005-0000-0000-0000713E0000}"/>
    <cellStyle name="Normal 3 18 9" xfId="9873" xr:uid="{00000000-0005-0000-0000-0000723E0000}"/>
    <cellStyle name="Normal 3 18 9 10" xfId="9874" xr:uid="{00000000-0005-0000-0000-0000733E0000}"/>
    <cellStyle name="Normal 3 18 9 10 2" xfId="27440" xr:uid="{00000000-0005-0000-0000-0000743E0000}"/>
    <cellStyle name="Normal 3 18 9 11" xfId="9875" xr:uid="{00000000-0005-0000-0000-0000753E0000}"/>
    <cellStyle name="Normal 3 18 9 11 2" xfId="27441" xr:uid="{00000000-0005-0000-0000-0000763E0000}"/>
    <cellStyle name="Normal 3 18 9 12" xfId="9876" xr:uid="{00000000-0005-0000-0000-0000773E0000}"/>
    <cellStyle name="Normal 3 18 9 12 2" xfId="27442" xr:uid="{00000000-0005-0000-0000-0000783E0000}"/>
    <cellStyle name="Normal 3 18 9 13" xfId="9877" xr:uid="{00000000-0005-0000-0000-0000793E0000}"/>
    <cellStyle name="Normal 3 18 9 13 2" xfId="27443" xr:uid="{00000000-0005-0000-0000-00007A3E0000}"/>
    <cellStyle name="Normal 3 18 9 14" xfId="9878" xr:uid="{00000000-0005-0000-0000-00007B3E0000}"/>
    <cellStyle name="Normal 3 18 9 14 2" xfId="27444" xr:uid="{00000000-0005-0000-0000-00007C3E0000}"/>
    <cellStyle name="Normal 3 18 9 15" xfId="27439" xr:uid="{00000000-0005-0000-0000-00007D3E0000}"/>
    <cellStyle name="Normal 3 18 9 2" xfId="9879" xr:uid="{00000000-0005-0000-0000-00007E3E0000}"/>
    <cellStyle name="Normal 3 18 9 2 2" xfId="27445" xr:uid="{00000000-0005-0000-0000-00007F3E0000}"/>
    <cellStyle name="Normal 3 18 9 3" xfId="9880" xr:uid="{00000000-0005-0000-0000-0000803E0000}"/>
    <cellStyle name="Normal 3 18 9 3 2" xfId="27446" xr:uid="{00000000-0005-0000-0000-0000813E0000}"/>
    <cellStyle name="Normal 3 18 9 4" xfId="9881" xr:uid="{00000000-0005-0000-0000-0000823E0000}"/>
    <cellStyle name="Normal 3 18 9 4 2" xfId="27447" xr:uid="{00000000-0005-0000-0000-0000833E0000}"/>
    <cellStyle name="Normal 3 18 9 5" xfId="9882" xr:uid="{00000000-0005-0000-0000-0000843E0000}"/>
    <cellStyle name="Normal 3 18 9 5 2" xfId="27448" xr:uid="{00000000-0005-0000-0000-0000853E0000}"/>
    <cellStyle name="Normal 3 18 9 6" xfId="9883" xr:uid="{00000000-0005-0000-0000-0000863E0000}"/>
    <cellStyle name="Normal 3 18 9 6 2" xfId="27449" xr:uid="{00000000-0005-0000-0000-0000873E0000}"/>
    <cellStyle name="Normal 3 18 9 7" xfId="9884" xr:uid="{00000000-0005-0000-0000-0000883E0000}"/>
    <cellStyle name="Normal 3 18 9 7 2" xfId="27450" xr:uid="{00000000-0005-0000-0000-0000893E0000}"/>
    <cellStyle name="Normal 3 18 9 8" xfId="9885" xr:uid="{00000000-0005-0000-0000-00008A3E0000}"/>
    <cellStyle name="Normal 3 18 9 8 2" xfId="27451" xr:uid="{00000000-0005-0000-0000-00008B3E0000}"/>
    <cellStyle name="Normal 3 18 9 9" xfId="9886" xr:uid="{00000000-0005-0000-0000-00008C3E0000}"/>
    <cellStyle name="Normal 3 18 9 9 2" xfId="27452" xr:uid="{00000000-0005-0000-0000-00008D3E0000}"/>
    <cellStyle name="Normal 3 19" xfId="9887" xr:uid="{00000000-0005-0000-0000-00008E3E0000}"/>
    <cellStyle name="Normal 3 19 10" xfId="9888" xr:uid="{00000000-0005-0000-0000-00008F3E0000}"/>
    <cellStyle name="Normal 3 19 10 10" xfId="9889" xr:uid="{00000000-0005-0000-0000-0000903E0000}"/>
    <cellStyle name="Normal 3 19 10 10 2" xfId="27455" xr:uid="{00000000-0005-0000-0000-0000913E0000}"/>
    <cellStyle name="Normal 3 19 10 11" xfId="9890" xr:uid="{00000000-0005-0000-0000-0000923E0000}"/>
    <cellStyle name="Normal 3 19 10 11 2" xfId="27456" xr:uid="{00000000-0005-0000-0000-0000933E0000}"/>
    <cellStyle name="Normal 3 19 10 12" xfId="9891" xr:uid="{00000000-0005-0000-0000-0000943E0000}"/>
    <cellStyle name="Normal 3 19 10 12 2" xfId="27457" xr:uid="{00000000-0005-0000-0000-0000953E0000}"/>
    <cellStyle name="Normal 3 19 10 13" xfId="9892" xr:uid="{00000000-0005-0000-0000-0000963E0000}"/>
    <cellStyle name="Normal 3 19 10 13 2" xfId="27458" xr:uid="{00000000-0005-0000-0000-0000973E0000}"/>
    <cellStyle name="Normal 3 19 10 14" xfId="9893" xr:uid="{00000000-0005-0000-0000-0000983E0000}"/>
    <cellStyle name="Normal 3 19 10 14 2" xfId="27459" xr:uid="{00000000-0005-0000-0000-0000993E0000}"/>
    <cellStyle name="Normal 3 19 10 15" xfId="27454" xr:uid="{00000000-0005-0000-0000-00009A3E0000}"/>
    <cellStyle name="Normal 3 19 10 2" xfId="9894" xr:uid="{00000000-0005-0000-0000-00009B3E0000}"/>
    <cellStyle name="Normal 3 19 10 2 2" xfId="27460" xr:uid="{00000000-0005-0000-0000-00009C3E0000}"/>
    <cellStyle name="Normal 3 19 10 3" xfId="9895" xr:uid="{00000000-0005-0000-0000-00009D3E0000}"/>
    <cellStyle name="Normal 3 19 10 3 2" xfId="27461" xr:uid="{00000000-0005-0000-0000-00009E3E0000}"/>
    <cellStyle name="Normal 3 19 10 4" xfId="9896" xr:uid="{00000000-0005-0000-0000-00009F3E0000}"/>
    <cellStyle name="Normal 3 19 10 4 2" xfId="27462" xr:uid="{00000000-0005-0000-0000-0000A03E0000}"/>
    <cellStyle name="Normal 3 19 10 5" xfId="9897" xr:uid="{00000000-0005-0000-0000-0000A13E0000}"/>
    <cellStyle name="Normal 3 19 10 5 2" xfId="27463" xr:uid="{00000000-0005-0000-0000-0000A23E0000}"/>
    <cellStyle name="Normal 3 19 10 6" xfId="9898" xr:uid="{00000000-0005-0000-0000-0000A33E0000}"/>
    <cellStyle name="Normal 3 19 10 6 2" xfId="27464" xr:uid="{00000000-0005-0000-0000-0000A43E0000}"/>
    <cellStyle name="Normal 3 19 10 7" xfId="9899" xr:uid="{00000000-0005-0000-0000-0000A53E0000}"/>
    <cellStyle name="Normal 3 19 10 7 2" xfId="27465" xr:uid="{00000000-0005-0000-0000-0000A63E0000}"/>
    <cellStyle name="Normal 3 19 10 8" xfId="9900" xr:uid="{00000000-0005-0000-0000-0000A73E0000}"/>
    <cellStyle name="Normal 3 19 10 8 2" xfId="27466" xr:uid="{00000000-0005-0000-0000-0000A83E0000}"/>
    <cellStyle name="Normal 3 19 10 9" xfId="9901" xr:uid="{00000000-0005-0000-0000-0000A93E0000}"/>
    <cellStyle name="Normal 3 19 10 9 2" xfId="27467" xr:uid="{00000000-0005-0000-0000-0000AA3E0000}"/>
    <cellStyle name="Normal 3 19 11" xfId="9902" xr:uid="{00000000-0005-0000-0000-0000AB3E0000}"/>
    <cellStyle name="Normal 3 19 11 10" xfId="9903" xr:uid="{00000000-0005-0000-0000-0000AC3E0000}"/>
    <cellStyle name="Normal 3 19 11 10 2" xfId="27469" xr:uid="{00000000-0005-0000-0000-0000AD3E0000}"/>
    <cellStyle name="Normal 3 19 11 11" xfId="9904" xr:uid="{00000000-0005-0000-0000-0000AE3E0000}"/>
    <cellStyle name="Normal 3 19 11 11 2" xfId="27470" xr:uid="{00000000-0005-0000-0000-0000AF3E0000}"/>
    <cellStyle name="Normal 3 19 11 12" xfId="9905" xr:uid="{00000000-0005-0000-0000-0000B03E0000}"/>
    <cellStyle name="Normal 3 19 11 12 2" xfId="27471" xr:uid="{00000000-0005-0000-0000-0000B13E0000}"/>
    <cellStyle name="Normal 3 19 11 13" xfId="9906" xr:uid="{00000000-0005-0000-0000-0000B23E0000}"/>
    <cellStyle name="Normal 3 19 11 13 2" xfId="27472" xr:uid="{00000000-0005-0000-0000-0000B33E0000}"/>
    <cellStyle name="Normal 3 19 11 14" xfId="9907" xr:uid="{00000000-0005-0000-0000-0000B43E0000}"/>
    <cellStyle name="Normal 3 19 11 14 2" xfId="27473" xr:uid="{00000000-0005-0000-0000-0000B53E0000}"/>
    <cellStyle name="Normal 3 19 11 15" xfId="27468" xr:uid="{00000000-0005-0000-0000-0000B63E0000}"/>
    <cellStyle name="Normal 3 19 11 2" xfId="9908" xr:uid="{00000000-0005-0000-0000-0000B73E0000}"/>
    <cellStyle name="Normal 3 19 11 2 2" xfId="27474" xr:uid="{00000000-0005-0000-0000-0000B83E0000}"/>
    <cellStyle name="Normal 3 19 11 3" xfId="9909" xr:uid="{00000000-0005-0000-0000-0000B93E0000}"/>
    <cellStyle name="Normal 3 19 11 3 2" xfId="27475" xr:uid="{00000000-0005-0000-0000-0000BA3E0000}"/>
    <cellStyle name="Normal 3 19 11 4" xfId="9910" xr:uid="{00000000-0005-0000-0000-0000BB3E0000}"/>
    <cellStyle name="Normal 3 19 11 4 2" xfId="27476" xr:uid="{00000000-0005-0000-0000-0000BC3E0000}"/>
    <cellStyle name="Normal 3 19 11 5" xfId="9911" xr:uid="{00000000-0005-0000-0000-0000BD3E0000}"/>
    <cellStyle name="Normal 3 19 11 5 2" xfId="27477" xr:uid="{00000000-0005-0000-0000-0000BE3E0000}"/>
    <cellStyle name="Normal 3 19 11 6" xfId="9912" xr:uid="{00000000-0005-0000-0000-0000BF3E0000}"/>
    <cellStyle name="Normal 3 19 11 6 2" xfId="27478" xr:uid="{00000000-0005-0000-0000-0000C03E0000}"/>
    <cellStyle name="Normal 3 19 11 7" xfId="9913" xr:uid="{00000000-0005-0000-0000-0000C13E0000}"/>
    <cellStyle name="Normal 3 19 11 7 2" xfId="27479" xr:uid="{00000000-0005-0000-0000-0000C23E0000}"/>
    <cellStyle name="Normal 3 19 11 8" xfId="9914" xr:uid="{00000000-0005-0000-0000-0000C33E0000}"/>
    <cellStyle name="Normal 3 19 11 8 2" xfId="27480" xr:uid="{00000000-0005-0000-0000-0000C43E0000}"/>
    <cellStyle name="Normal 3 19 11 9" xfId="9915" xr:uid="{00000000-0005-0000-0000-0000C53E0000}"/>
    <cellStyle name="Normal 3 19 11 9 2" xfId="27481" xr:uid="{00000000-0005-0000-0000-0000C63E0000}"/>
    <cellStyle name="Normal 3 19 12" xfId="9916" xr:uid="{00000000-0005-0000-0000-0000C73E0000}"/>
    <cellStyle name="Normal 3 19 12 10" xfId="9917" xr:uid="{00000000-0005-0000-0000-0000C83E0000}"/>
    <cellStyle name="Normal 3 19 12 10 2" xfId="27483" xr:uid="{00000000-0005-0000-0000-0000C93E0000}"/>
    <cellStyle name="Normal 3 19 12 11" xfId="9918" xr:uid="{00000000-0005-0000-0000-0000CA3E0000}"/>
    <cellStyle name="Normal 3 19 12 11 2" xfId="27484" xr:uid="{00000000-0005-0000-0000-0000CB3E0000}"/>
    <cellStyle name="Normal 3 19 12 12" xfId="9919" xr:uid="{00000000-0005-0000-0000-0000CC3E0000}"/>
    <cellStyle name="Normal 3 19 12 12 2" xfId="27485" xr:uid="{00000000-0005-0000-0000-0000CD3E0000}"/>
    <cellStyle name="Normal 3 19 12 13" xfId="9920" xr:uid="{00000000-0005-0000-0000-0000CE3E0000}"/>
    <cellStyle name="Normal 3 19 12 13 2" xfId="27486" xr:uid="{00000000-0005-0000-0000-0000CF3E0000}"/>
    <cellStyle name="Normal 3 19 12 14" xfId="9921" xr:uid="{00000000-0005-0000-0000-0000D03E0000}"/>
    <cellStyle name="Normal 3 19 12 14 2" xfId="27487" xr:uid="{00000000-0005-0000-0000-0000D13E0000}"/>
    <cellStyle name="Normal 3 19 12 15" xfId="27482" xr:uid="{00000000-0005-0000-0000-0000D23E0000}"/>
    <cellStyle name="Normal 3 19 12 2" xfId="9922" xr:uid="{00000000-0005-0000-0000-0000D33E0000}"/>
    <cellStyle name="Normal 3 19 12 2 2" xfId="27488" xr:uid="{00000000-0005-0000-0000-0000D43E0000}"/>
    <cellStyle name="Normal 3 19 12 3" xfId="9923" xr:uid="{00000000-0005-0000-0000-0000D53E0000}"/>
    <cellStyle name="Normal 3 19 12 3 2" xfId="27489" xr:uid="{00000000-0005-0000-0000-0000D63E0000}"/>
    <cellStyle name="Normal 3 19 12 4" xfId="9924" xr:uid="{00000000-0005-0000-0000-0000D73E0000}"/>
    <cellStyle name="Normal 3 19 12 4 2" xfId="27490" xr:uid="{00000000-0005-0000-0000-0000D83E0000}"/>
    <cellStyle name="Normal 3 19 12 5" xfId="9925" xr:uid="{00000000-0005-0000-0000-0000D93E0000}"/>
    <cellStyle name="Normal 3 19 12 5 2" xfId="27491" xr:uid="{00000000-0005-0000-0000-0000DA3E0000}"/>
    <cellStyle name="Normal 3 19 12 6" xfId="9926" xr:uid="{00000000-0005-0000-0000-0000DB3E0000}"/>
    <cellStyle name="Normal 3 19 12 6 2" xfId="27492" xr:uid="{00000000-0005-0000-0000-0000DC3E0000}"/>
    <cellStyle name="Normal 3 19 12 7" xfId="9927" xr:uid="{00000000-0005-0000-0000-0000DD3E0000}"/>
    <cellStyle name="Normal 3 19 12 7 2" xfId="27493" xr:uid="{00000000-0005-0000-0000-0000DE3E0000}"/>
    <cellStyle name="Normal 3 19 12 8" xfId="9928" xr:uid="{00000000-0005-0000-0000-0000DF3E0000}"/>
    <cellStyle name="Normal 3 19 12 8 2" xfId="27494" xr:uid="{00000000-0005-0000-0000-0000E03E0000}"/>
    <cellStyle name="Normal 3 19 12 9" xfId="9929" xr:uid="{00000000-0005-0000-0000-0000E13E0000}"/>
    <cellStyle name="Normal 3 19 12 9 2" xfId="27495" xr:uid="{00000000-0005-0000-0000-0000E23E0000}"/>
    <cellStyle name="Normal 3 19 13" xfId="9930" xr:uid="{00000000-0005-0000-0000-0000E33E0000}"/>
    <cellStyle name="Normal 3 19 13 10" xfId="9931" xr:uid="{00000000-0005-0000-0000-0000E43E0000}"/>
    <cellStyle name="Normal 3 19 13 10 2" xfId="27497" xr:uid="{00000000-0005-0000-0000-0000E53E0000}"/>
    <cellStyle name="Normal 3 19 13 11" xfId="9932" xr:uid="{00000000-0005-0000-0000-0000E63E0000}"/>
    <cellStyle name="Normal 3 19 13 11 2" xfId="27498" xr:uid="{00000000-0005-0000-0000-0000E73E0000}"/>
    <cellStyle name="Normal 3 19 13 12" xfId="9933" xr:uid="{00000000-0005-0000-0000-0000E83E0000}"/>
    <cellStyle name="Normal 3 19 13 12 2" xfId="27499" xr:uid="{00000000-0005-0000-0000-0000E93E0000}"/>
    <cellStyle name="Normal 3 19 13 13" xfId="9934" xr:uid="{00000000-0005-0000-0000-0000EA3E0000}"/>
    <cellStyle name="Normal 3 19 13 13 2" xfId="27500" xr:uid="{00000000-0005-0000-0000-0000EB3E0000}"/>
    <cellStyle name="Normal 3 19 13 14" xfId="9935" xr:uid="{00000000-0005-0000-0000-0000EC3E0000}"/>
    <cellStyle name="Normal 3 19 13 14 2" xfId="27501" xr:uid="{00000000-0005-0000-0000-0000ED3E0000}"/>
    <cellStyle name="Normal 3 19 13 15" xfId="27496" xr:uid="{00000000-0005-0000-0000-0000EE3E0000}"/>
    <cellStyle name="Normal 3 19 13 2" xfId="9936" xr:uid="{00000000-0005-0000-0000-0000EF3E0000}"/>
    <cellStyle name="Normal 3 19 13 2 2" xfId="27502" xr:uid="{00000000-0005-0000-0000-0000F03E0000}"/>
    <cellStyle name="Normal 3 19 13 3" xfId="9937" xr:uid="{00000000-0005-0000-0000-0000F13E0000}"/>
    <cellStyle name="Normal 3 19 13 3 2" xfId="27503" xr:uid="{00000000-0005-0000-0000-0000F23E0000}"/>
    <cellStyle name="Normal 3 19 13 4" xfId="9938" xr:uid="{00000000-0005-0000-0000-0000F33E0000}"/>
    <cellStyle name="Normal 3 19 13 4 2" xfId="27504" xr:uid="{00000000-0005-0000-0000-0000F43E0000}"/>
    <cellStyle name="Normal 3 19 13 5" xfId="9939" xr:uid="{00000000-0005-0000-0000-0000F53E0000}"/>
    <cellStyle name="Normal 3 19 13 5 2" xfId="27505" xr:uid="{00000000-0005-0000-0000-0000F63E0000}"/>
    <cellStyle name="Normal 3 19 13 6" xfId="9940" xr:uid="{00000000-0005-0000-0000-0000F73E0000}"/>
    <cellStyle name="Normal 3 19 13 6 2" xfId="27506" xr:uid="{00000000-0005-0000-0000-0000F83E0000}"/>
    <cellStyle name="Normal 3 19 13 7" xfId="9941" xr:uid="{00000000-0005-0000-0000-0000F93E0000}"/>
    <cellStyle name="Normal 3 19 13 7 2" xfId="27507" xr:uid="{00000000-0005-0000-0000-0000FA3E0000}"/>
    <cellStyle name="Normal 3 19 13 8" xfId="9942" xr:uid="{00000000-0005-0000-0000-0000FB3E0000}"/>
    <cellStyle name="Normal 3 19 13 8 2" xfId="27508" xr:uid="{00000000-0005-0000-0000-0000FC3E0000}"/>
    <cellStyle name="Normal 3 19 13 9" xfId="9943" xr:uid="{00000000-0005-0000-0000-0000FD3E0000}"/>
    <cellStyle name="Normal 3 19 13 9 2" xfId="27509" xr:uid="{00000000-0005-0000-0000-0000FE3E0000}"/>
    <cellStyle name="Normal 3 19 14" xfId="9944" xr:uid="{00000000-0005-0000-0000-0000FF3E0000}"/>
    <cellStyle name="Normal 3 19 14 10" xfId="9945" xr:uid="{00000000-0005-0000-0000-0000003F0000}"/>
    <cellStyle name="Normal 3 19 14 10 2" xfId="27511" xr:uid="{00000000-0005-0000-0000-0000013F0000}"/>
    <cellStyle name="Normal 3 19 14 11" xfId="9946" xr:uid="{00000000-0005-0000-0000-0000023F0000}"/>
    <cellStyle name="Normal 3 19 14 11 2" xfId="27512" xr:uid="{00000000-0005-0000-0000-0000033F0000}"/>
    <cellStyle name="Normal 3 19 14 12" xfId="9947" xr:uid="{00000000-0005-0000-0000-0000043F0000}"/>
    <cellStyle name="Normal 3 19 14 12 2" xfId="27513" xr:uid="{00000000-0005-0000-0000-0000053F0000}"/>
    <cellStyle name="Normal 3 19 14 13" xfId="9948" xr:uid="{00000000-0005-0000-0000-0000063F0000}"/>
    <cellStyle name="Normal 3 19 14 13 2" xfId="27514" xr:uid="{00000000-0005-0000-0000-0000073F0000}"/>
    <cellStyle name="Normal 3 19 14 14" xfId="9949" xr:uid="{00000000-0005-0000-0000-0000083F0000}"/>
    <cellStyle name="Normal 3 19 14 14 2" xfId="27515" xr:uid="{00000000-0005-0000-0000-0000093F0000}"/>
    <cellStyle name="Normal 3 19 14 15" xfId="27510" xr:uid="{00000000-0005-0000-0000-00000A3F0000}"/>
    <cellStyle name="Normal 3 19 14 2" xfId="9950" xr:uid="{00000000-0005-0000-0000-00000B3F0000}"/>
    <cellStyle name="Normal 3 19 14 2 2" xfId="27516" xr:uid="{00000000-0005-0000-0000-00000C3F0000}"/>
    <cellStyle name="Normal 3 19 14 3" xfId="9951" xr:uid="{00000000-0005-0000-0000-00000D3F0000}"/>
    <cellStyle name="Normal 3 19 14 3 2" xfId="27517" xr:uid="{00000000-0005-0000-0000-00000E3F0000}"/>
    <cellStyle name="Normal 3 19 14 4" xfId="9952" xr:uid="{00000000-0005-0000-0000-00000F3F0000}"/>
    <cellStyle name="Normal 3 19 14 4 2" xfId="27518" xr:uid="{00000000-0005-0000-0000-0000103F0000}"/>
    <cellStyle name="Normal 3 19 14 5" xfId="9953" xr:uid="{00000000-0005-0000-0000-0000113F0000}"/>
    <cellStyle name="Normal 3 19 14 5 2" xfId="27519" xr:uid="{00000000-0005-0000-0000-0000123F0000}"/>
    <cellStyle name="Normal 3 19 14 6" xfId="9954" xr:uid="{00000000-0005-0000-0000-0000133F0000}"/>
    <cellStyle name="Normal 3 19 14 6 2" xfId="27520" xr:uid="{00000000-0005-0000-0000-0000143F0000}"/>
    <cellStyle name="Normal 3 19 14 7" xfId="9955" xr:uid="{00000000-0005-0000-0000-0000153F0000}"/>
    <cellStyle name="Normal 3 19 14 7 2" xfId="27521" xr:uid="{00000000-0005-0000-0000-0000163F0000}"/>
    <cellStyle name="Normal 3 19 14 8" xfId="9956" xr:uid="{00000000-0005-0000-0000-0000173F0000}"/>
    <cellStyle name="Normal 3 19 14 8 2" xfId="27522" xr:uid="{00000000-0005-0000-0000-0000183F0000}"/>
    <cellStyle name="Normal 3 19 14 9" xfId="9957" xr:uid="{00000000-0005-0000-0000-0000193F0000}"/>
    <cellStyle name="Normal 3 19 14 9 2" xfId="27523" xr:uid="{00000000-0005-0000-0000-00001A3F0000}"/>
    <cellStyle name="Normal 3 19 15" xfId="9958" xr:uid="{00000000-0005-0000-0000-00001B3F0000}"/>
    <cellStyle name="Normal 3 19 15 2" xfId="27524" xr:uid="{00000000-0005-0000-0000-00001C3F0000}"/>
    <cellStyle name="Normal 3 19 16" xfId="9959" xr:uid="{00000000-0005-0000-0000-00001D3F0000}"/>
    <cellStyle name="Normal 3 19 16 2" xfId="27525" xr:uid="{00000000-0005-0000-0000-00001E3F0000}"/>
    <cellStyle name="Normal 3 19 17" xfId="9960" xr:uid="{00000000-0005-0000-0000-00001F3F0000}"/>
    <cellStyle name="Normal 3 19 17 2" xfId="27526" xr:uid="{00000000-0005-0000-0000-0000203F0000}"/>
    <cellStyle name="Normal 3 19 18" xfId="9961" xr:uid="{00000000-0005-0000-0000-0000213F0000}"/>
    <cellStyle name="Normal 3 19 18 2" xfId="27527" xr:uid="{00000000-0005-0000-0000-0000223F0000}"/>
    <cellStyle name="Normal 3 19 19" xfId="9962" xr:uid="{00000000-0005-0000-0000-0000233F0000}"/>
    <cellStyle name="Normal 3 19 19 2" xfId="27528" xr:uid="{00000000-0005-0000-0000-0000243F0000}"/>
    <cellStyle name="Normal 3 19 2" xfId="9963" xr:uid="{00000000-0005-0000-0000-0000253F0000}"/>
    <cellStyle name="Normal 3 19 20" xfId="9964" xr:uid="{00000000-0005-0000-0000-0000263F0000}"/>
    <cellStyle name="Normal 3 19 20 2" xfId="27529" xr:uid="{00000000-0005-0000-0000-0000273F0000}"/>
    <cellStyle name="Normal 3 19 21" xfId="9965" xr:uid="{00000000-0005-0000-0000-0000283F0000}"/>
    <cellStyle name="Normal 3 19 21 2" xfId="27530" xr:uid="{00000000-0005-0000-0000-0000293F0000}"/>
    <cellStyle name="Normal 3 19 22" xfId="9966" xr:uid="{00000000-0005-0000-0000-00002A3F0000}"/>
    <cellStyle name="Normal 3 19 22 2" xfId="27531" xr:uid="{00000000-0005-0000-0000-00002B3F0000}"/>
    <cellStyle name="Normal 3 19 23" xfId="9967" xr:uid="{00000000-0005-0000-0000-00002C3F0000}"/>
    <cellStyle name="Normal 3 19 23 2" xfId="27532" xr:uid="{00000000-0005-0000-0000-00002D3F0000}"/>
    <cellStyle name="Normal 3 19 24" xfId="9968" xr:uid="{00000000-0005-0000-0000-00002E3F0000}"/>
    <cellStyle name="Normal 3 19 24 2" xfId="27533" xr:uid="{00000000-0005-0000-0000-00002F3F0000}"/>
    <cellStyle name="Normal 3 19 25" xfId="9969" xr:uid="{00000000-0005-0000-0000-0000303F0000}"/>
    <cellStyle name="Normal 3 19 25 2" xfId="27534" xr:uid="{00000000-0005-0000-0000-0000313F0000}"/>
    <cellStyle name="Normal 3 19 26" xfId="9970" xr:uid="{00000000-0005-0000-0000-0000323F0000}"/>
    <cellStyle name="Normal 3 19 26 2" xfId="27535" xr:uid="{00000000-0005-0000-0000-0000333F0000}"/>
    <cellStyle name="Normal 3 19 27" xfId="9971" xr:uid="{00000000-0005-0000-0000-0000343F0000}"/>
    <cellStyle name="Normal 3 19 27 2" xfId="27536" xr:uid="{00000000-0005-0000-0000-0000353F0000}"/>
    <cellStyle name="Normal 3 19 28" xfId="27453" xr:uid="{00000000-0005-0000-0000-0000363F0000}"/>
    <cellStyle name="Normal 3 19 3" xfId="9972" xr:uid="{00000000-0005-0000-0000-0000373F0000}"/>
    <cellStyle name="Normal 3 19 4" xfId="9973" xr:uid="{00000000-0005-0000-0000-0000383F0000}"/>
    <cellStyle name="Normal 3 19 5" xfId="9974" xr:uid="{00000000-0005-0000-0000-0000393F0000}"/>
    <cellStyle name="Normal 3 19 6" xfId="9975" xr:uid="{00000000-0005-0000-0000-00003A3F0000}"/>
    <cellStyle name="Normal 3 19 6 10" xfId="9976" xr:uid="{00000000-0005-0000-0000-00003B3F0000}"/>
    <cellStyle name="Normal 3 19 6 10 2" xfId="27538" xr:uid="{00000000-0005-0000-0000-00003C3F0000}"/>
    <cellStyle name="Normal 3 19 6 11" xfId="9977" xr:uid="{00000000-0005-0000-0000-00003D3F0000}"/>
    <cellStyle name="Normal 3 19 6 11 2" xfId="27539" xr:uid="{00000000-0005-0000-0000-00003E3F0000}"/>
    <cellStyle name="Normal 3 19 6 12" xfId="9978" xr:uid="{00000000-0005-0000-0000-00003F3F0000}"/>
    <cellStyle name="Normal 3 19 6 12 2" xfId="27540" xr:uid="{00000000-0005-0000-0000-0000403F0000}"/>
    <cellStyle name="Normal 3 19 6 13" xfId="9979" xr:uid="{00000000-0005-0000-0000-0000413F0000}"/>
    <cellStyle name="Normal 3 19 6 13 2" xfId="27541" xr:uid="{00000000-0005-0000-0000-0000423F0000}"/>
    <cellStyle name="Normal 3 19 6 14" xfId="9980" xr:uid="{00000000-0005-0000-0000-0000433F0000}"/>
    <cellStyle name="Normal 3 19 6 14 2" xfId="27542" xr:uid="{00000000-0005-0000-0000-0000443F0000}"/>
    <cellStyle name="Normal 3 19 6 15" xfId="9981" xr:uid="{00000000-0005-0000-0000-0000453F0000}"/>
    <cellStyle name="Normal 3 19 6 15 2" xfId="27543" xr:uid="{00000000-0005-0000-0000-0000463F0000}"/>
    <cellStyle name="Normal 3 19 6 16" xfId="27537" xr:uid="{00000000-0005-0000-0000-0000473F0000}"/>
    <cellStyle name="Normal 3 19 6 2" xfId="9982" xr:uid="{00000000-0005-0000-0000-0000483F0000}"/>
    <cellStyle name="Normal 3 19 6 2 10" xfId="9983" xr:uid="{00000000-0005-0000-0000-0000493F0000}"/>
    <cellStyle name="Normal 3 19 6 2 10 2" xfId="27545" xr:uid="{00000000-0005-0000-0000-00004A3F0000}"/>
    <cellStyle name="Normal 3 19 6 2 11" xfId="9984" xr:uid="{00000000-0005-0000-0000-00004B3F0000}"/>
    <cellStyle name="Normal 3 19 6 2 11 2" xfId="27546" xr:uid="{00000000-0005-0000-0000-00004C3F0000}"/>
    <cellStyle name="Normal 3 19 6 2 12" xfId="9985" xr:uid="{00000000-0005-0000-0000-00004D3F0000}"/>
    <cellStyle name="Normal 3 19 6 2 12 2" xfId="27547" xr:uid="{00000000-0005-0000-0000-00004E3F0000}"/>
    <cellStyle name="Normal 3 19 6 2 13" xfId="9986" xr:uid="{00000000-0005-0000-0000-00004F3F0000}"/>
    <cellStyle name="Normal 3 19 6 2 13 2" xfId="27548" xr:uid="{00000000-0005-0000-0000-0000503F0000}"/>
    <cellStyle name="Normal 3 19 6 2 14" xfId="9987" xr:uid="{00000000-0005-0000-0000-0000513F0000}"/>
    <cellStyle name="Normal 3 19 6 2 14 2" xfId="27549" xr:uid="{00000000-0005-0000-0000-0000523F0000}"/>
    <cellStyle name="Normal 3 19 6 2 15" xfId="27544" xr:uid="{00000000-0005-0000-0000-0000533F0000}"/>
    <cellStyle name="Normal 3 19 6 2 2" xfId="9988" xr:uid="{00000000-0005-0000-0000-0000543F0000}"/>
    <cellStyle name="Normal 3 19 6 2 2 2" xfId="27550" xr:uid="{00000000-0005-0000-0000-0000553F0000}"/>
    <cellStyle name="Normal 3 19 6 2 3" xfId="9989" xr:uid="{00000000-0005-0000-0000-0000563F0000}"/>
    <cellStyle name="Normal 3 19 6 2 3 2" xfId="27551" xr:uid="{00000000-0005-0000-0000-0000573F0000}"/>
    <cellStyle name="Normal 3 19 6 2 4" xfId="9990" xr:uid="{00000000-0005-0000-0000-0000583F0000}"/>
    <cellStyle name="Normal 3 19 6 2 4 2" xfId="27552" xr:uid="{00000000-0005-0000-0000-0000593F0000}"/>
    <cellStyle name="Normal 3 19 6 2 5" xfId="9991" xr:uid="{00000000-0005-0000-0000-00005A3F0000}"/>
    <cellStyle name="Normal 3 19 6 2 5 2" xfId="27553" xr:uid="{00000000-0005-0000-0000-00005B3F0000}"/>
    <cellStyle name="Normal 3 19 6 2 6" xfId="9992" xr:uid="{00000000-0005-0000-0000-00005C3F0000}"/>
    <cellStyle name="Normal 3 19 6 2 6 2" xfId="27554" xr:uid="{00000000-0005-0000-0000-00005D3F0000}"/>
    <cellStyle name="Normal 3 19 6 2 7" xfId="9993" xr:uid="{00000000-0005-0000-0000-00005E3F0000}"/>
    <cellStyle name="Normal 3 19 6 2 7 2" xfId="27555" xr:uid="{00000000-0005-0000-0000-00005F3F0000}"/>
    <cellStyle name="Normal 3 19 6 2 8" xfId="9994" xr:uid="{00000000-0005-0000-0000-0000603F0000}"/>
    <cellStyle name="Normal 3 19 6 2 8 2" xfId="27556" xr:uid="{00000000-0005-0000-0000-0000613F0000}"/>
    <cellStyle name="Normal 3 19 6 2 9" xfId="9995" xr:uid="{00000000-0005-0000-0000-0000623F0000}"/>
    <cellStyle name="Normal 3 19 6 2 9 2" xfId="27557" xr:uid="{00000000-0005-0000-0000-0000633F0000}"/>
    <cellStyle name="Normal 3 19 6 3" xfId="9996" xr:uid="{00000000-0005-0000-0000-0000643F0000}"/>
    <cellStyle name="Normal 3 19 6 3 2" xfId="27558" xr:uid="{00000000-0005-0000-0000-0000653F0000}"/>
    <cellStyle name="Normal 3 19 6 4" xfId="9997" xr:uid="{00000000-0005-0000-0000-0000663F0000}"/>
    <cellStyle name="Normal 3 19 6 4 2" xfId="27559" xr:uid="{00000000-0005-0000-0000-0000673F0000}"/>
    <cellStyle name="Normal 3 19 6 5" xfId="9998" xr:uid="{00000000-0005-0000-0000-0000683F0000}"/>
    <cellStyle name="Normal 3 19 6 5 2" xfId="27560" xr:uid="{00000000-0005-0000-0000-0000693F0000}"/>
    <cellStyle name="Normal 3 19 6 6" xfId="9999" xr:uid="{00000000-0005-0000-0000-00006A3F0000}"/>
    <cellStyle name="Normal 3 19 6 6 2" xfId="27561" xr:uid="{00000000-0005-0000-0000-00006B3F0000}"/>
    <cellStyle name="Normal 3 19 6 7" xfId="10000" xr:uid="{00000000-0005-0000-0000-00006C3F0000}"/>
    <cellStyle name="Normal 3 19 6 7 2" xfId="27562" xr:uid="{00000000-0005-0000-0000-00006D3F0000}"/>
    <cellStyle name="Normal 3 19 6 8" xfId="10001" xr:uid="{00000000-0005-0000-0000-00006E3F0000}"/>
    <cellStyle name="Normal 3 19 6 8 2" xfId="27563" xr:uid="{00000000-0005-0000-0000-00006F3F0000}"/>
    <cellStyle name="Normal 3 19 6 9" xfId="10002" xr:uid="{00000000-0005-0000-0000-0000703F0000}"/>
    <cellStyle name="Normal 3 19 6 9 2" xfId="27564" xr:uid="{00000000-0005-0000-0000-0000713F0000}"/>
    <cellStyle name="Normal 3 19 7" xfId="10003" xr:uid="{00000000-0005-0000-0000-0000723F0000}"/>
    <cellStyle name="Normal 3 19 7 10" xfId="10004" xr:uid="{00000000-0005-0000-0000-0000733F0000}"/>
    <cellStyle name="Normal 3 19 7 10 2" xfId="27566" xr:uid="{00000000-0005-0000-0000-0000743F0000}"/>
    <cellStyle name="Normal 3 19 7 11" xfId="10005" xr:uid="{00000000-0005-0000-0000-0000753F0000}"/>
    <cellStyle name="Normal 3 19 7 11 2" xfId="27567" xr:uid="{00000000-0005-0000-0000-0000763F0000}"/>
    <cellStyle name="Normal 3 19 7 12" xfId="10006" xr:uid="{00000000-0005-0000-0000-0000773F0000}"/>
    <cellStyle name="Normal 3 19 7 12 2" xfId="27568" xr:uid="{00000000-0005-0000-0000-0000783F0000}"/>
    <cellStyle name="Normal 3 19 7 13" xfId="10007" xr:uid="{00000000-0005-0000-0000-0000793F0000}"/>
    <cellStyle name="Normal 3 19 7 13 2" xfId="27569" xr:uid="{00000000-0005-0000-0000-00007A3F0000}"/>
    <cellStyle name="Normal 3 19 7 14" xfId="10008" xr:uid="{00000000-0005-0000-0000-00007B3F0000}"/>
    <cellStyle name="Normal 3 19 7 14 2" xfId="27570" xr:uid="{00000000-0005-0000-0000-00007C3F0000}"/>
    <cellStyle name="Normal 3 19 7 15" xfId="10009" xr:uid="{00000000-0005-0000-0000-00007D3F0000}"/>
    <cellStyle name="Normal 3 19 7 15 2" xfId="27571" xr:uid="{00000000-0005-0000-0000-00007E3F0000}"/>
    <cellStyle name="Normal 3 19 7 16" xfId="27565" xr:uid="{00000000-0005-0000-0000-00007F3F0000}"/>
    <cellStyle name="Normal 3 19 7 2" xfId="10010" xr:uid="{00000000-0005-0000-0000-0000803F0000}"/>
    <cellStyle name="Normal 3 19 7 2 10" xfId="10011" xr:uid="{00000000-0005-0000-0000-0000813F0000}"/>
    <cellStyle name="Normal 3 19 7 2 10 2" xfId="27573" xr:uid="{00000000-0005-0000-0000-0000823F0000}"/>
    <cellStyle name="Normal 3 19 7 2 11" xfId="10012" xr:uid="{00000000-0005-0000-0000-0000833F0000}"/>
    <cellStyle name="Normal 3 19 7 2 11 2" xfId="27574" xr:uid="{00000000-0005-0000-0000-0000843F0000}"/>
    <cellStyle name="Normal 3 19 7 2 12" xfId="10013" xr:uid="{00000000-0005-0000-0000-0000853F0000}"/>
    <cellStyle name="Normal 3 19 7 2 12 2" xfId="27575" xr:uid="{00000000-0005-0000-0000-0000863F0000}"/>
    <cellStyle name="Normal 3 19 7 2 13" xfId="10014" xr:uid="{00000000-0005-0000-0000-0000873F0000}"/>
    <cellStyle name="Normal 3 19 7 2 13 2" xfId="27576" xr:uid="{00000000-0005-0000-0000-0000883F0000}"/>
    <cellStyle name="Normal 3 19 7 2 14" xfId="10015" xr:uid="{00000000-0005-0000-0000-0000893F0000}"/>
    <cellStyle name="Normal 3 19 7 2 14 2" xfId="27577" xr:uid="{00000000-0005-0000-0000-00008A3F0000}"/>
    <cellStyle name="Normal 3 19 7 2 15" xfId="27572" xr:uid="{00000000-0005-0000-0000-00008B3F0000}"/>
    <cellStyle name="Normal 3 19 7 2 2" xfId="10016" xr:uid="{00000000-0005-0000-0000-00008C3F0000}"/>
    <cellStyle name="Normal 3 19 7 2 2 2" xfId="27578" xr:uid="{00000000-0005-0000-0000-00008D3F0000}"/>
    <cellStyle name="Normal 3 19 7 2 3" xfId="10017" xr:uid="{00000000-0005-0000-0000-00008E3F0000}"/>
    <cellStyle name="Normal 3 19 7 2 3 2" xfId="27579" xr:uid="{00000000-0005-0000-0000-00008F3F0000}"/>
    <cellStyle name="Normal 3 19 7 2 4" xfId="10018" xr:uid="{00000000-0005-0000-0000-0000903F0000}"/>
    <cellStyle name="Normal 3 19 7 2 4 2" xfId="27580" xr:uid="{00000000-0005-0000-0000-0000913F0000}"/>
    <cellStyle name="Normal 3 19 7 2 5" xfId="10019" xr:uid="{00000000-0005-0000-0000-0000923F0000}"/>
    <cellStyle name="Normal 3 19 7 2 5 2" xfId="27581" xr:uid="{00000000-0005-0000-0000-0000933F0000}"/>
    <cellStyle name="Normal 3 19 7 2 6" xfId="10020" xr:uid="{00000000-0005-0000-0000-0000943F0000}"/>
    <cellStyle name="Normal 3 19 7 2 6 2" xfId="27582" xr:uid="{00000000-0005-0000-0000-0000953F0000}"/>
    <cellStyle name="Normal 3 19 7 2 7" xfId="10021" xr:uid="{00000000-0005-0000-0000-0000963F0000}"/>
    <cellStyle name="Normal 3 19 7 2 7 2" xfId="27583" xr:uid="{00000000-0005-0000-0000-0000973F0000}"/>
    <cellStyle name="Normal 3 19 7 2 8" xfId="10022" xr:uid="{00000000-0005-0000-0000-0000983F0000}"/>
    <cellStyle name="Normal 3 19 7 2 8 2" xfId="27584" xr:uid="{00000000-0005-0000-0000-0000993F0000}"/>
    <cellStyle name="Normal 3 19 7 2 9" xfId="10023" xr:uid="{00000000-0005-0000-0000-00009A3F0000}"/>
    <cellStyle name="Normal 3 19 7 2 9 2" xfId="27585" xr:uid="{00000000-0005-0000-0000-00009B3F0000}"/>
    <cellStyle name="Normal 3 19 7 3" xfId="10024" xr:uid="{00000000-0005-0000-0000-00009C3F0000}"/>
    <cellStyle name="Normal 3 19 7 3 2" xfId="27586" xr:uid="{00000000-0005-0000-0000-00009D3F0000}"/>
    <cellStyle name="Normal 3 19 7 4" xfId="10025" xr:uid="{00000000-0005-0000-0000-00009E3F0000}"/>
    <cellStyle name="Normal 3 19 7 4 2" xfId="27587" xr:uid="{00000000-0005-0000-0000-00009F3F0000}"/>
    <cellStyle name="Normal 3 19 7 5" xfId="10026" xr:uid="{00000000-0005-0000-0000-0000A03F0000}"/>
    <cellStyle name="Normal 3 19 7 5 2" xfId="27588" xr:uid="{00000000-0005-0000-0000-0000A13F0000}"/>
    <cellStyle name="Normal 3 19 7 6" xfId="10027" xr:uid="{00000000-0005-0000-0000-0000A23F0000}"/>
    <cellStyle name="Normal 3 19 7 6 2" xfId="27589" xr:uid="{00000000-0005-0000-0000-0000A33F0000}"/>
    <cellStyle name="Normal 3 19 7 7" xfId="10028" xr:uid="{00000000-0005-0000-0000-0000A43F0000}"/>
    <cellStyle name="Normal 3 19 7 7 2" xfId="27590" xr:uid="{00000000-0005-0000-0000-0000A53F0000}"/>
    <cellStyle name="Normal 3 19 7 8" xfId="10029" xr:uid="{00000000-0005-0000-0000-0000A63F0000}"/>
    <cellStyle name="Normal 3 19 7 8 2" xfId="27591" xr:uid="{00000000-0005-0000-0000-0000A73F0000}"/>
    <cellStyle name="Normal 3 19 7 9" xfId="10030" xr:uid="{00000000-0005-0000-0000-0000A83F0000}"/>
    <cellStyle name="Normal 3 19 7 9 2" xfId="27592" xr:uid="{00000000-0005-0000-0000-0000A93F0000}"/>
    <cellStyle name="Normal 3 19 8" xfId="10031" xr:uid="{00000000-0005-0000-0000-0000AA3F0000}"/>
    <cellStyle name="Normal 3 19 8 10" xfId="10032" xr:uid="{00000000-0005-0000-0000-0000AB3F0000}"/>
    <cellStyle name="Normal 3 19 8 10 2" xfId="27594" xr:uid="{00000000-0005-0000-0000-0000AC3F0000}"/>
    <cellStyle name="Normal 3 19 8 11" xfId="10033" xr:uid="{00000000-0005-0000-0000-0000AD3F0000}"/>
    <cellStyle name="Normal 3 19 8 11 2" xfId="27595" xr:uid="{00000000-0005-0000-0000-0000AE3F0000}"/>
    <cellStyle name="Normal 3 19 8 12" xfId="10034" xr:uid="{00000000-0005-0000-0000-0000AF3F0000}"/>
    <cellStyle name="Normal 3 19 8 12 2" xfId="27596" xr:uid="{00000000-0005-0000-0000-0000B03F0000}"/>
    <cellStyle name="Normal 3 19 8 13" xfId="10035" xr:uid="{00000000-0005-0000-0000-0000B13F0000}"/>
    <cellStyle name="Normal 3 19 8 13 2" xfId="27597" xr:uid="{00000000-0005-0000-0000-0000B23F0000}"/>
    <cellStyle name="Normal 3 19 8 14" xfId="10036" xr:uid="{00000000-0005-0000-0000-0000B33F0000}"/>
    <cellStyle name="Normal 3 19 8 14 2" xfId="27598" xr:uid="{00000000-0005-0000-0000-0000B43F0000}"/>
    <cellStyle name="Normal 3 19 8 15" xfId="10037" xr:uid="{00000000-0005-0000-0000-0000B53F0000}"/>
    <cellStyle name="Normal 3 19 8 15 2" xfId="27599" xr:uid="{00000000-0005-0000-0000-0000B63F0000}"/>
    <cellStyle name="Normal 3 19 8 16" xfId="27593" xr:uid="{00000000-0005-0000-0000-0000B73F0000}"/>
    <cellStyle name="Normal 3 19 8 2" xfId="10038" xr:uid="{00000000-0005-0000-0000-0000B83F0000}"/>
    <cellStyle name="Normal 3 19 8 2 10" xfId="10039" xr:uid="{00000000-0005-0000-0000-0000B93F0000}"/>
    <cellStyle name="Normal 3 19 8 2 10 2" xfId="27601" xr:uid="{00000000-0005-0000-0000-0000BA3F0000}"/>
    <cellStyle name="Normal 3 19 8 2 11" xfId="10040" xr:uid="{00000000-0005-0000-0000-0000BB3F0000}"/>
    <cellStyle name="Normal 3 19 8 2 11 2" xfId="27602" xr:uid="{00000000-0005-0000-0000-0000BC3F0000}"/>
    <cellStyle name="Normal 3 19 8 2 12" xfId="10041" xr:uid="{00000000-0005-0000-0000-0000BD3F0000}"/>
    <cellStyle name="Normal 3 19 8 2 12 2" xfId="27603" xr:uid="{00000000-0005-0000-0000-0000BE3F0000}"/>
    <cellStyle name="Normal 3 19 8 2 13" xfId="10042" xr:uid="{00000000-0005-0000-0000-0000BF3F0000}"/>
    <cellStyle name="Normal 3 19 8 2 13 2" xfId="27604" xr:uid="{00000000-0005-0000-0000-0000C03F0000}"/>
    <cellStyle name="Normal 3 19 8 2 14" xfId="10043" xr:uid="{00000000-0005-0000-0000-0000C13F0000}"/>
    <cellStyle name="Normal 3 19 8 2 14 2" xfId="27605" xr:uid="{00000000-0005-0000-0000-0000C23F0000}"/>
    <cellStyle name="Normal 3 19 8 2 15" xfId="27600" xr:uid="{00000000-0005-0000-0000-0000C33F0000}"/>
    <cellStyle name="Normal 3 19 8 2 2" xfId="10044" xr:uid="{00000000-0005-0000-0000-0000C43F0000}"/>
    <cellStyle name="Normal 3 19 8 2 2 2" xfId="27606" xr:uid="{00000000-0005-0000-0000-0000C53F0000}"/>
    <cellStyle name="Normal 3 19 8 2 3" xfId="10045" xr:uid="{00000000-0005-0000-0000-0000C63F0000}"/>
    <cellStyle name="Normal 3 19 8 2 3 2" xfId="27607" xr:uid="{00000000-0005-0000-0000-0000C73F0000}"/>
    <cellStyle name="Normal 3 19 8 2 4" xfId="10046" xr:uid="{00000000-0005-0000-0000-0000C83F0000}"/>
    <cellStyle name="Normal 3 19 8 2 4 2" xfId="27608" xr:uid="{00000000-0005-0000-0000-0000C93F0000}"/>
    <cellStyle name="Normal 3 19 8 2 5" xfId="10047" xr:uid="{00000000-0005-0000-0000-0000CA3F0000}"/>
    <cellStyle name="Normal 3 19 8 2 5 2" xfId="27609" xr:uid="{00000000-0005-0000-0000-0000CB3F0000}"/>
    <cellStyle name="Normal 3 19 8 2 6" xfId="10048" xr:uid="{00000000-0005-0000-0000-0000CC3F0000}"/>
    <cellStyle name="Normal 3 19 8 2 6 2" xfId="27610" xr:uid="{00000000-0005-0000-0000-0000CD3F0000}"/>
    <cellStyle name="Normal 3 19 8 2 7" xfId="10049" xr:uid="{00000000-0005-0000-0000-0000CE3F0000}"/>
    <cellStyle name="Normal 3 19 8 2 7 2" xfId="27611" xr:uid="{00000000-0005-0000-0000-0000CF3F0000}"/>
    <cellStyle name="Normal 3 19 8 2 8" xfId="10050" xr:uid="{00000000-0005-0000-0000-0000D03F0000}"/>
    <cellStyle name="Normal 3 19 8 2 8 2" xfId="27612" xr:uid="{00000000-0005-0000-0000-0000D13F0000}"/>
    <cellStyle name="Normal 3 19 8 2 9" xfId="10051" xr:uid="{00000000-0005-0000-0000-0000D23F0000}"/>
    <cellStyle name="Normal 3 19 8 2 9 2" xfId="27613" xr:uid="{00000000-0005-0000-0000-0000D33F0000}"/>
    <cellStyle name="Normal 3 19 8 3" xfId="10052" xr:uid="{00000000-0005-0000-0000-0000D43F0000}"/>
    <cellStyle name="Normal 3 19 8 3 2" xfId="27614" xr:uid="{00000000-0005-0000-0000-0000D53F0000}"/>
    <cellStyle name="Normal 3 19 8 4" xfId="10053" xr:uid="{00000000-0005-0000-0000-0000D63F0000}"/>
    <cellStyle name="Normal 3 19 8 4 2" xfId="27615" xr:uid="{00000000-0005-0000-0000-0000D73F0000}"/>
    <cellStyle name="Normal 3 19 8 5" xfId="10054" xr:uid="{00000000-0005-0000-0000-0000D83F0000}"/>
    <cellStyle name="Normal 3 19 8 5 2" xfId="27616" xr:uid="{00000000-0005-0000-0000-0000D93F0000}"/>
    <cellStyle name="Normal 3 19 8 6" xfId="10055" xr:uid="{00000000-0005-0000-0000-0000DA3F0000}"/>
    <cellStyle name="Normal 3 19 8 6 2" xfId="27617" xr:uid="{00000000-0005-0000-0000-0000DB3F0000}"/>
    <cellStyle name="Normal 3 19 8 7" xfId="10056" xr:uid="{00000000-0005-0000-0000-0000DC3F0000}"/>
    <cellStyle name="Normal 3 19 8 7 2" xfId="27618" xr:uid="{00000000-0005-0000-0000-0000DD3F0000}"/>
    <cellStyle name="Normal 3 19 8 8" xfId="10057" xr:uid="{00000000-0005-0000-0000-0000DE3F0000}"/>
    <cellStyle name="Normal 3 19 8 8 2" xfId="27619" xr:uid="{00000000-0005-0000-0000-0000DF3F0000}"/>
    <cellStyle name="Normal 3 19 8 9" xfId="10058" xr:uid="{00000000-0005-0000-0000-0000E03F0000}"/>
    <cellStyle name="Normal 3 19 8 9 2" xfId="27620" xr:uid="{00000000-0005-0000-0000-0000E13F0000}"/>
    <cellStyle name="Normal 3 19 9" xfId="10059" xr:uid="{00000000-0005-0000-0000-0000E23F0000}"/>
    <cellStyle name="Normal 3 19 9 10" xfId="10060" xr:uid="{00000000-0005-0000-0000-0000E33F0000}"/>
    <cellStyle name="Normal 3 19 9 10 2" xfId="27622" xr:uid="{00000000-0005-0000-0000-0000E43F0000}"/>
    <cellStyle name="Normal 3 19 9 11" xfId="10061" xr:uid="{00000000-0005-0000-0000-0000E53F0000}"/>
    <cellStyle name="Normal 3 19 9 11 2" xfId="27623" xr:uid="{00000000-0005-0000-0000-0000E63F0000}"/>
    <cellStyle name="Normal 3 19 9 12" xfId="10062" xr:uid="{00000000-0005-0000-0000-0000E73F0000}"/>
    <cellStyle name="Normal 3 19 9 12 2" xfId="27624" xr:uid="{00000000-0005-0000-0000-0000E83F0000}"/>
    <cellStyle name="Normal 3 19 9 13" xfId="10063" xr:uid="{00000000-0005-0000-0000-0000E93F0000}"/>
    <cellStyle name="Normal 3 19 9 13 2" xfId="27625" xr:uid="{00000000-0005-0000-0000-0000EA3F0000}"/>
    <cellStyle name="Normal 3 19 9 14" xfId="10064" xr:uid="{00000000-0005-0000-0000-0000EB3F0000}"/>
    <cellStyle name="Normal 3 19 9 14 2" xfId="27626" xr:uid="{00000000-0005-0000-0000-0000EC3F0000}"/>
    <cellStyle name="Normal 3 19 9 15" xfId="27621" xr:uid="{00000000-0005-0000-0000-0000ED3F0000}"/>
    <cellStyle name="Normal 3 19 9 2" xfId="10065" xr:uid="{00000000-0005-0000-0000-0000EE3F0000}"/>
    <cellStyle name="Normal 3 19 9 2 2" xfId="27627" xr:uid="{00000000-0005-0000-0000-0000EF3F0000}"/>
    <cellStyle name="Normal 3 19 9 3" xfId="10066" xr:uid="{00000000-0005-0000-0000-0000F03F0000}"/>
    <cellStyle name="Normal 3 19 9 3 2" xfId="27628" xr:uid="{00000000-0005-0000-0000-0000F13F0000}"/>
    <cellStyle name="Normal 3 19 9 4" xfId="10067" xr:uid="{00000000-0005-0000-0000-0000F23F0000}"/>
    <cellStyle name="Normal 3 19 9 4 2" xfId="27629" xr:uid="{00000000-0005-0000-0000-0000F33F0000}"/>
    <cellStyle name="Normal 3 19 9 5" xfId="10068" xr:uid="{00000000-0005-0000-0000-0000F43F0000}"/>
    <cellStyle name="Normal 3 19 9 5 2" xfId="27630" xr:uid="{00000000-0005-0000-0000-0000F53F0000}"/>
    <cellStyle name="Normal 3 19 9 6" xfId="10069" xr:uid="{00000000-0005-0000-0000-0000F63F0000}"/>
    <cellStyle name="Normal 3 19 9 6 2" xfId="27631" xr:uid="{00000000-0005-0000-0000-0000F73F0000}"/>
    <cellStyle name="Normal 3 19 9 7" xfId="10070" xr:uid="{00000000-0005-0000-0000-0000F83F0000}"/>
    <cellStyle name="Normal 3 19 9 7 2" xfId="27632" xr:uid="{00000000-0005-0000-0000-0000F93F0000}"/>
    <cellStyle name="Normal 3 19 9 8" xfId="10071" xr:uid="{00000000-0005-0000-0000-0000FA3F0000}"/>
    <cellStyle name="Normal 3 19 9 8 2" xfId="27633" xr:uid="{00000000-0005-0000-0000-0000FB3F0000}"/>
    <cellStyle name="Normal 3 19 9 9" xfId="10072" xr:uid="{00000000-0005-0000-0000-0000FC3F0000}"/>
    <cellStyle name="Normal 3 19 9 9 2" xfId="27634" xr:uid="{00000000-0005-0000-0000-0000FD3F0000}"/>
    <cellStyle name="Normal 3 2" xfId="53" xr:uid="{00000000-0005-0000-0000-0000FE3F0000}"/>
    <cellStyle name="Normal 3 2 10" xfId="177" xr:uid="{00000000-0005-0000-0000-0000FF3F0000}"/>
    <cellStyle name="Normal 3 2 10 2" xfId="502" xr:uid="{00000000-0005-0000-0000-000000400000}"/>
    <cellStyle name="Normal 3 2 11" xfId="10073" xr:uid="{00000000-0005-0000-0000-000001400000}"/>
    <cellStyle name="Normal 3 2 12" xfId="10074" xr:uid="{00000000-0005-0000-0000-000002400000}"/>
    <cellStyle name="Normal 3 2 13" xfId="10075" xr:uid="{00000000-0005-0000-0000-000003400000}"/>
    <cellStyle name="Normal 3 2 14" xfId="10076" xr:uid="{00000000-0005-0000-0000-000004400000}"/>
    <cellStyle name="Normal 3 2 15" xfId="10077" xr:uid="{00000000-0005-0000-0000-000005400000}"/>
    <cellStyle name="Normal 3 2 16" xfId="10078" xr:uid="{00000000-0005-0000-0000-000006400000}"/>
    <cellStyle name="Normal 3 2 17" xfId="10079" xr:uid="{00000000-0005-0000-0000-000007400000}"/>
    <cellStyle name="Normal 3 2 18" xfId="10080" xr:uid="{00000000-0005-0000-0000-000008400000}"/>
    <cellStyle name="Normal 3 2 19" xfId="10081" xr:uid="{00000000-0005-0000-0000-000009400000}"/>
    <cellStyle name="Normal 3 2 2" xfId="54" xr:uid="{00000000-0005-0000-0000-00000A400000}"/>
    <cellStyle name="Normal 3 2 2 2" xfId="37668" xr:uid="{00000000-0005-0000-0000-00000B400000}"/>
    <cellStyle name="Normal 3 2 2 3" xfId="27635" xr:uid="{00000000-0005-0000-0000-00000C400000}"/>
    <cellStyle name="Normal 3 2 20" xfId="10082" xr:uid="{00000000-0005-0000-0000-00000D400000}"/>
    <cellStyle name="Normal 3 2 21" xfId="10083" xr:uid="{00000000-0005-0000-0000-00000E400000}"/>
    <cellStyle name="Normal 3 2 22" xfId="10084" xr:uid="{00000000-0005-0000-0000-00000F400000}"/>
    <cellStyle name="Normal 3 2 23" xfId="10085" xr:uid="{00000000-0005-0000-0000-000010400000}"/>
    <cellStyle name="Normal 3 2 24" xfId="10086" xr:uid="{00000000-0005-0000-0000-000011400000}"/>
    <cellStyle name="Normal 3 2 25" xfId="10087" xr:uid="{00000000-0005-0000-0000-000012400000}"/>
    <cellStyle name="Normal 3 2 25 10" xfId="10088" xr:uid="{00000000-0005-0000-0000-000013400000}"/>
    <cellStyle name="Normal 3 2 25 10 2" xfId="27637" xr:uid="{00000000-0005-0000-0000-000014400000}"/>
    <cellStyle name="Normal 3 2 25 11" xfId="10089" xr:uid="{00000000-0005-0000-0000-000015400000}"/>
    <cellStyle name="Normal 3 2 25 11 2" xfId="27638" xr:uid="{00000000-0005-0000-0000-000016400000}"/>
    <cellStyle name="Normal 3 2 25 12" xfId="10090" xr:uid="{00000000-0005-0000-0000-000017400000}"/>
    <cellStyle name="Normal 3 2 25 12 2" xfId="27639" xr:uid="{00000000-0005-0000-0000-000018400000}"/>
    <cellStyle name="Normal 3 2 25 13" xfId="10091" xr:uid="{00000000-0005-0000-0000-000019400000}"/>
    <cellStyle name="Normal 3 2 25 13 2" xfId="27640" xr:uid="{00000000-0005-0000-0000-00001A400000}"/>
    <cellStyle name="Normal 3 2 25 14" xfId="10092" xr:uid="{00000000-0005-0000-0000-00001B400000}"/>
    <cellStyle name="Normal 3 2 25 14 2" xfId="27641" xr:uid="{00000000-0005-0000-0000-00001C400000}"/>
    <cellStyle name="Normal 3 2 25 15" xfId="10093" xr:uid="{00000000-0005-0000-0000-00001D400000}"/>
    <cellStyle name="Normal 3 2 25 15 2" xfId="27642" xr:uid="{00000000-0005-0000-0000-00001E400000}"/>
    <cellStyle name="Normal 3 2 25 16" xfId="27636" xr:uid="{00000000-0005-0000-0000-00001F400000}"/>
    <cellStyle name="Normal 3 2 25 2" xfId="10094" xr:uid="{00000000-0005-0000-0000-000020400000}"/>
    <cellStyle name="Normal 3 2 25 2 10" xfId="10095" xr:uid="{00000000-0005-0000-0000-000021400000}"/>
    <cellStyle name="Normal 3 2 25 2 10 2" xfId="27644" xr:uid="{00000000-0005-0000-0000-000022400000}"/>
    <cellStyle name="Normal 3 2 25 2 11" xfId="10096" xr:uid="{00000000-0005-0000-0000-000023400000}"/>
    <cellStyle name="Normal 3 2 25 2 11 2" xfId="27645" xr:uid="{00000000-0005-0000-0000-000024400000}"/>
    <cellStyle name="Normal 3 2 25 2 12" xfId="10097" xr:uid="{00000000-0005-0000-0000-000025400000}"/>
    <cellStyle name="Normal 3 2 25 2 12 2" xfId="27646" xr:uid="{00000000-0005-0000-0000-000026400000}"/>
    <cellStyle name="Normal 3 2 25 2 13" xfId="10098" xr:uid="{00000000-0005-0000-0000-000027400000}"/>
    <cellStyle name="Normal 3 2 25 2 13 2" xfId="27647" xr:uid="{00000000-0005-0000-0000-000028400000}"/>
    <cellStyle name="Normal 3 2 25 2 14" xfId="10099" xr:uid="{00000000-0005-0000-0000-000029400000}"/>
    <cellStyle name="Normal 3 2 25 2 14 2" xfId="27648" xr:uid="{00000000-0005-0000-0000-00002A400000}"/>
    <cellStyle name="Normal 3 2 25 2 15" xfId="27643" xr:uid="{00000000-0005-0000-0000-00002B400000}"/>
    <cellStyle name="Normal 3 2 25 2 2" xfId="10100" xr:uid="{00000000-0005-0000-0000-00002C400000}"/>
    <cellStyle name="Normal 3 2 25 2 2 2" xfId="27649" xr:uid="{00000000-0005-0000-0000-00002D400000}"/>
    <cellStyle name="Normal 3 2 25 2 3" xfId="10101" xr:uid="{00000000-0005-0000-0000-00002E400000}"/>
    <cellStyle name="Normal 3 2 25 2 3 2" xfId="27650" xr:uid="{00000000-0005-0000-0000-00002F400000}"/>
    <cellStyle name="Normal 3 2 25 2 4" xfId="10102" xr:uid="{00000000-0005-0000-0000-000030400000}"/>
    <cellStyle name="Normal 3 2 25 2 4 2" xfId="27651" xr:uid="{00000000-0005-0000-0000-000031400000}"/>
    <cellStyle name="Normal 3 2 25 2 5" xfId="10103" xr:uid="{00000000-0005-0000-0000-000032400000}"/>
    <cellStyle name="Normal 3 2 25 2 5 2" xfId="27652" xr:uid="{00000000-0005-0000-0000-000033400000}"/>
    <cellStyle name="Normal 3 2 25 2 6" xfId="10104" xr:uid="{00000000-0005-0000-0000-000034400000}"/>
    <cellStyle name="Normal 3 2 25 2 6 2" xfId="27653" xr:uid="{00000000-0005-0000-0000-000035400000}"/>
    <cellStyle name="Normal 3 2 25 2 7" xfId="10105" xr:uid="{00000000-0005-0000-0000-000036400000}"/>
    <cellStyle name="Normal 3 2 25 2 7 2" xfId="27654" xr:uid="{00000000-0005-0000-0000-000037400000}"/>
    <cellStyle name="Normal 3 2 25 2 8" xfId="10106" xr:uid="{00000000-0005-0000-0000-000038400000}"/>
    <cellStyle name="Normal 3 2 25 2 8 2" xfId="27655" xr:uid="{00000000-0005-0000-0000-000039400000}"/>
    <cellStyle name="Normal 3 2 25 2 9" xfId="10107" xr:uid="{00000000-0005-0000-0000-00003A400000}"/>
    <cellStyle name="Normal 3 2 25 2 9 2" xfId="27656" xr:uid="{00000000-0005-0000-0000-00003B400000}"/>
    <cellStyle name="Normal 3 2 25 3" xfId="10108" xr:uid="{00000000-0005-0000-0000-00003C400000}"/>
    <cellStyle name="Normal 3 2 25 3 2" xfId="27657" xr:uid="{00000000-0005-0000-0000-00003D400000}"/>
    <cellStyle name="Normal 3 2 25 4" xfId="10109" xr:uid="{00000000-0005-0000-0000-00003E400000}"/>
    <cellStyle name="Normal 3 2 25 4 2" xfId="27658" xr:uid="{00000000-0005-0000-0000-00003F400000}"/>
    <cellStyle name="Normal 3 2 25 5" xfId="10110" xr:uid="{00000000-0005-0000-0000-000040400000}"/>
    <cellStyle name="Normal 3 2 25 5 2" xfId="27659" xr:uid="{00000000-0005-0000-0000-000041400000}"/>
    <cellStyle name="Normal 3 2 25 6" xfId="10111" xr:uid="{00000000-0005-0000-0000-000042400000}"/>
    <cellStyle name="Normal 3 2 25 6 2" xfId="27660" xr:uid="{00000000-0005-0000-0000-000043400000}"/>
    <cellStyle name="Normal 3 2 25 7" xfId="10112" xr:uid="{00000000-0005-0000-0000-000044400000}"/>
    <cellStyle name="Normal 3 2 25 7 2" xfId="27661" xr:uid="{00000000-0005-0000-0000-000045400000}"/>
    <cellStyle name="Normal 3 2 25 8" xfId="10113" xr:uid="{00000000-0005-0000-0000-000046400000}"/>
    <cellStyle name="Normal 3 2 25 8 2" xfId="27662" xr:uid="{00000000-0005-0000-0000-000047400000}"/>
    <cellStyle name="Normal 3 2 25 9" xfId="10114" xr:uid="{00000000-0005-0000-0000-000048400000}"/>
    <cellStyle name="Normal 3 2 25 9 2" xfId="27663" xr:uid="{00000000-0005-0000-0000-000049400000}"/>
    <cellStyle name="Normal 3 2 26" xfId="10115" xr:uid="{00000000-0005-0000-0000-00004A400000}"/>
    <cellStyle name="Normal 3 2 26 10" xfId="10116" xr:uid="{00000000-0005-0000-0000-00004B400000}"/>
    <cellStyle name="Normal 3 2 26 10 2" xfId="27665" xr:uid="{00000000-0005-0000-0000-00004C400000}"/>
    <cellStyle name="Normal 3 2 26 11" xfId="10117" xr:uid="{00000000-0005-0000-0000-00004D400000}"/>
    <cellStyle name="Normal 3 2 26 11 2" xfId="27666" xr:uid="{00000000-0005-0000-0000-00004E400000}"/>
    <cellStyle name="Normal 3 2 26 12" xfId="10118" xr:uid="{00000000-0005-0000-0000-00004F400000}"/>
    <cellStyle name="Normal 3 2 26 12 2" xfId="27667" xr:uid="{00000000-0005-0000-0000-000050400000}"/>
    <cellStyle name="Normal 3 2 26 13" xfId="10119" xr:uid="{00000000-0005-0000-0000-000051400000}"/>
    <cellStyle name="Normal 3 2 26 13 2" xfId="27668" xr:uid="{00000000-0005-0000-0000-000052400000}"/>
    <cellStyle name="Normal 3 2 26 14" xfId="10120" xr:uid="{00000000-0005-0000-0000-000053400000}"/>
    <cellStyle name="Normal 3 2 26 14 2" xfId="27669" xr:uid="{00000000-0005-0000-0000-000054400000}"/>
    <cellStyle name="Normal 3 2 26 15" xfId="10121" xr:uid="{00000000-0005-0000-0000-000055400000}"/>
    <cellStyle name="Normal 3 2 26 15 2" xfId="27670" xr:uid="{00000000-0005-0000-0000-000056400000}"/>
    <cellStyle name="Normal 3 2 26 16" xfId="27664" xr:uid="{00000000-0005-0000-0000-000057400000}"/>
    <cellStyle name="Normal 3 2 26 2" xfId="10122" xr:uid="{00000000-0005-0000-0000-000058400000}"/>
    <cellStyle name="Normal 3 2 26 2 10" xfId="10123" xr:uid="{00000000-0005-0000-0000-000059400000}"/>
    <cellStyle name="Normal 3 2 26 2 10 2" xfId="27672" xr:uid="{00000000-0005-0000-0000-00005A400000}"/>
    <cellStyle name="Normal 3 2 26 2 11" xfId="10124" xr:uid="{00000000-0005-0000-0000-00005B400000}"/>
    <cellStyle name="Normal 3 2 26 2 11 2" xfId="27673" xr:uid="{00000000-0005-0000-0000-00005C400000}"/>
    <cellStyle name="Normal 3 2 26 2 12" xfId="10125" xr:uid="{00000000-0005-0000-0000-00005D400000}"/>
    <cellStyle name="Normal 3 2 26 2 12 2" xfId="27674" xr:uid="{00000000-0005-0000-0000-00005E400000}"/>
    <cellStyle name="Normal 3 2 26 2 13" xfId="10126" xr:uid="{00000000-0005-0000-0000-00005F400000}"/>
    <cellStyle name="Normal 3 2 26 2 13 2" xfId="27675" xr:uid="{00000000-0005-0000-0000-000060400000}"/>
    <cellStyle name="Normal 3 2 26 2 14" xfId="10127" xr:uid="{00000000-0005-0000-0000-000061400000}"/>
    <cellStyle name="Normal 3 2 26 2 14 2" xfId="27676" xr:uid="{00000000-0005-0000-0000-000062400000}"/>
    <cellStyle name="Normal 3 2 26 2 15" xfId="27671" xr:uid="{00000000-0005-0000-0000-000063400000}"/>
    <cellStyle name="Normal 3 2 26 2 2" xfId="10128" xr:uid="{00000000-0005-0000-0000-000064400000}"/>
    <cellStyle name="Normal 3 2 26 2 2 2" xfId="27677" xr:uid="{00000000-0005-0000-0000-000065400000}"/>
    <cellStyle name="Normal 3 2 26 2 3" xfId="10129" xr:uid="{00000000-0005-0000-0000-000066400000}"/>
    <cellStyle name="Normal 3 2 26 2 3 2" xfId="27678" xr:uid="{00000000-0005-0000-0000-000067400000}"/>
    <cellStyle name="Normal 3 2 26 2 4" xfId="10130" xr:uid="{00000000-0005-0000-0000-000068400000}"/>
    <cellStyle name="Normal 3 2 26 2 4 2" xfId="27679" xr:uid="{00000000-0005-0000-0000-000069400000}"/>
    <cellStyle name="Normal 3 2 26 2 5" xfId="10131" xr:uid="{00000000-0005-0000-0000-00006A400000}"/>
    <cellStyle name="Normal 3 2 26 2 5 2" xfId="27680" xr:uid="{00000000-0005-0000-0000-00006B400000}"/>
    <cellStyle name="Normal 3 2 26 2 6" xfId="10132" xr:uid="{00000000-0005-0000-0000-00006C400000}"/>
    <cellStyle name="Normal 3 2 26 2 6 2" xfId="27681" xr:uid="{00000000-0005-0000-0000-00006D400000}"/>
    <cellStyle name="Normal 3 2 26 2 7" xfId="10133" xr:uid="{00000000-0005-0000-0000-00006E400000}"/>
    <cellStyle name="Normal 3 2 26 2 7 2" xfId="27682" xr:uid="{00000000-0005-0000-0000-00006F400000}"/>
    <cellStyle name="Normal 3 2 26 2 8" xfId="10134" xr:uid="{00000000-0005-0000-0000-000070400000}"/>
    <cellStyle name="Normal 3 2 26 2 8 2" xfId="27683" xr:uid="{00000000-0005-0000-0000-000071400000}"/>
    <cellStyle name="Normal 3 2 26 2 9" xfId="10135" xr:uid="{00000000-0005-0000-0000-000072400000}"/>
    <cellStyle name="Normal 3 2 26 2 9 2" xfId="27684" xr:uid="{00000000-0005-0000-0000-000073400000}"/>
    <cellStyle name="Normal 3 2 26 3" xfId="10136" xr:uid="{00000000-0005-0000-0000-000074400000}"/>
    <cellStyle name="Normal 3 2 26 3 2" xfId="27685" xr:uid="{00000000-0005-0000-0000-000075400000}"/>
    <cellStyle name="Normal 3 2 26 4" xfId="10137" xr:uid="{00000000-0005-0000-0000-000076400000}"/>
    <cellStyle name="Normal 3 2 26 4 2" xfId="27686" xr:uid="{00000000-0005-0000-0000-000077400000}"/>
    <cellStyle name="Normal 3 2 26 5" xfId="10138" xr:uid="{00000000-0005-0000-0000-000078400000}"/>
    <cellStyle name="Normal 3 2 26 5 2" xfId="27687" xr:uid="{00000000-0005-0000-0000-000079400000}"/>
    <cellStyle name="Normal 3 2 26 6" xfId="10139" xr:uid="{00000000-0005-0000-0000-00007A400000}"/>
    <cellStyle name="Normal 3 2 26 6 2" xfId="27688" xr:uid="{00000000-0005-0000-0000-00007B400000}"/>
    <cellStyle name="Normal 3 2 26 7" xfId="10140" xr:uid="{00000000-0005-0000-0000-00007C400000}"/>
    <cellStyle name="Normal 3 2 26 7 2" xfId="27689" xr:uid="{00000000-0005-0000-0000-00007D400000}"/>
    <cellStyle name="Normal 3 2 26 8" xfId="10141" xr:uid="{00000000-0005-0000-0000-00007E400000}"/>
    <cellStyle name="Normal 3 2 26 8 2" xfId="27690" xr:uid="{00000000-0005-0000-0000-00007F400000}"/>
    <cellStyle name="Normal 3 2 26 9" xfId="10142" xr:uid="{00000000-0005-0000-0000-000080400000}"/>
    <cellStyle name="Normal 3 2 26 9 2" xfId="27691" xr:uid="{00000000-0005-0000-0000-000081400000}"/>
    <cellStyle name="Normal 3 2 27" xfId="10143" xr:uid="{00000000-0005-0000-0000-000082400000}"/>
    <cellStyle name="Normal 3 2 27 10" xfId="10144" xr:uid="{00000000-0005-0000-0000-000083400000}"/>
    <cellStyle name="Normal 3 2 27 10 2" xfId="27693" xr:uid="{00000000-0005-0000-0000-000084400000}"/>
    <cellStyle name="Normal 3 2 27 11" xfId="10145" xr:uid="{00000000-0005-0000-0000-000085400000}"/>
    <cellStyle name="Normal 3 2 27 11 2" xfId="27694" xr:uid="{00000000-0005-0000-0000-000086400000}"/>
    <cellStyle name="Normal 3 2 27 12" xfId="10146" xr:uid="{00000000-0005-0000-0000-000087400000}"/>
    <cellStyle name="Normal 3 2 27 12 2" xfId="27695" xr:uid="{00000000-0005-0000-0000-000088400000}"/>
    <cellStyle name="Normal 3 2 27 13" xfId="10147" xr:uid="{00000000-0005-0000-0000-000089400000}"/>
    <cellStyle name="Normal 3 2 27 13 2" xfId="27696" xr:uid="{00000000-0005-0000-0000-00008A400000}"/>
    <cellStyle name="Normal 3 2 27 14" xfId="10148" xr:uid="{00000000-0005-0000-0000-00008B400000}"/>
    <cellStyle name="Normal 3 2 27 14 2" xfId="27697" xr:uid="{00000000-0005-0000-0000-00008C400000}"/>
    <cellStyle name="Normal 3 2 27 15" xfId="10149" xr:uid="{00000000-0005-0000-0000-00008D400000}"/>
    <cellStyle name="Normal 3 2 27 15 2" xfId="27698" xr:uid="{00000000-0005-0000-0000-00008E400000}"/>
    <cellStyle name="Normal 3 2 27 16" xfId="27692" xr:uid="{00000000-0005-0000-0000-00008F400000}"/>
    <cellStyle name="Normal 3 2 27 2" xfId="10150" xr:uid="{00000000-0005-0000-0000-000090400000}"/>
    <cellStyle name="Normal 3 2 27 2 10" xfId="10151" xr:uid="{00000000-0005-0000-0000-000091400000}"/>
    <cellStyle name="Normal 3 2 27 2 10 2" xfId="27700" xr:uid="{00000000-0005-0000-0000-000092400000}"/>
    <cellStyle name="Normal 3 2 27 2 11" xfId="10152" xr:uid="{00000000-0005-0000-0000-000093400000}"/>
    <cellStyle name="Normal 3 2 27 2 11 2" xfId="27701" xr:uid="{00000000-0005-0000-0000-000094400000}"/>
    <cellStyle name="Normal 3 2 27 2 12" xfId="10153" xr:uid="{00000000-0005-0000-0000-000095400000}"/>
    <cellStyle name="Normal 3 2 27 2 12 2" xfId="27702" xr:uid="{00000000-0005-0000-0000-000096400000}"/>
    <cellStyle name="Normal 3 2 27 2 13" xfId="10154" xr:uid="{00000000-0005-0000-0000-000097400000}"/>
    <cellStyle name="Normal 3 2 27 2 13 2" xfId="27703" xr:uid="{00000000-0005-0000-0000-000098400000}"/>
    <cellStyle name="Normal 3 2 27 2 14" xfId="10155" xr:uid="{00000000-0005-0000-0000-000099400000}"/>
    <cellStyle name="Normal 3 2 27 2 14 2" xfId="27704" xr:uid="{00000000-0005-0000-0000-00009A400000}"/>
    <cellStyle name="Normal 3 2 27 2 15" xfId="27699" xr:uid="{00000000-0005-0000-0000-00009B400000}"/>
    <cellStyle name="Normal 3 2 27 2 2" xfId="10156" xr:uid="{00000000-0005-0000-0000-00009C400000}"/>
    <cellStyle name="Normal 3 2 27 2 2 2" xfId="27705" xr:uid="{00000000-0005-0000-0000-00009D400000}"/>
    <cellStyle name="Normal 3 2 27 2 3" xfId="10157" xr:uid="{00000000-0005-0000-0000-00009E400000}"/>
    <cellStyle name="Normal 3 2 27 2 3 2" xfId="27706" xr:uid="{00000000-0005-0000-0000-00009F400000}"/>
    <cellStyle name="Normal 3 2 27 2 4" xfId="10158" xr:uid="{00000000-0005-0000-0000-0000A0400000}"/>
    <cellStyle name="Normal 3 2 27 2 4 2" xfId="27707" xr:uid="{00000000-0005-0000-0000-0000A1400000}"/>
    <cellStyle name="Normal 3 2 27 2 5" xfId="10159" xr:uid="{00000000-0005-0000-0000-0000A2400000}"/>
    <cellStyle name="Normal 3 2 27 2 5 2" xfId="27708" xr:uid="{00000000-0005-0000-0000-0000A3400000}"/>
    <cellStyle name="Normal 3 2 27 2 6" xfId="10160" xr:uid="{00000000-0005-0000-0000-0000A4400000}"/>
    <cellStyle name="Normal 3 2 27 2 6 2" xfId="27709" xr:uid="{00000000-0005-0000-0000-0000A5400000}"/>
    <cellStyle name="Normal 3 2 27 2 7" xfId="10161" xr:uid="{00000000-0005-0000-0000-0000A6400000}"/>
    <cellStyle name="Normal 3 2 27 2 7 2" xfId="27710" xr:uid="{00000000-0005-0000-0000-0000A7400000}"/>
    <cellStyle name="Normal 3 2 27 2 8" xfId="10162" xr:uid="{00000000-0005-0000-0000-0000A8400000}"/>
    <cellStyle name="Normal 3 2 27 2 8 2" xfId="27711" xr:uid="{00000000-0005-0000-0000-0000A9400000}"/>
    <cellStyle name="Normal 3 2 27 2 9" xfId="10163" xr:uid="{00000000-0005-0000-0000-0000AA400000}"/>
    <cellStyle name="Normal 3 2 27 2 9 2" xfId="27712" xr:uid="{00000000-0005-0000-0000-0000AB400000}"/>
    <cellStyle name="Normal 3 2 27 3" xfId="10164" xr:uid="{00000000-0005-0000-0000-0000AC400000}"/>
    <cellStyle name="Normal 3 2 27 3 2" xfId="27713" xr:uid="{00000000-0005-0000-0000-0000AD400000}"/>
    <cellStyle name="Normal 3 2 27 4" xfId="10165" xr:uid="{00000000-0005-0000-0000-0000AE400000}"/>
    <cellStyle name="Normal 3 2 27 4 2" xfId="27714" xr:uid="{00000000-0005-0000-0000-0000AF400000}"/>
    <cellStyle name="Normal 3 2 27 5" xfId="10166" xr:uid="{00000000-0005-0000-0000-0000B0400000}"/>
    <cellStyle name="Normal 3 2 27 5 2" xfId="27715" xr:uid="{00000000-0005-0000-0000-0000B1400000}"/>
    <cellStyle name="Normal 3 2 27 6" xfId="10167" xr:uid="{00000000-0005-0000-0000-0000B2400000}"/>
    <cellStyle name="Normal 3 2 27 6 2" xfId="27716" xr:uid="{00000000-0005-0000-0000-0000B3400000}"/>
    <cellStyle name="Normal 3 2 27 7" xfId="10168" xr:uid="{00000000-0005-0000-0000-0000B4400000}"/>
    <cellStyle name="Normal 3 2 27 7 2" xfId="27717" xr:uid="{00000000-0005-0000-0000-0000B5400000}"/>
    <cellStyle name="Normal 3 2 27 8" xfId="10169" xr:uid="{00000000-0005-0000-0000-0000B6400000}"/>
    <cellStyle name="Normal 3 2 27 8 2" xfId="27718" xr:uid="{00000000-0005-0000-0000-0000B7400000}"/>
    <cellStyle name="Normal 3 2 27 9" xfId="10170" xr:uid="{00000000-0005-0000-0000-0000B8400000}"/>
    <cellStyle name="Normal 3 2 27 9 2" xfId="27719" xr:uid="{00000000-0005-0000-0000-0000B9400000}"/>
    <cellStyle name="Normal 3 2 28" xfId="10171" xr:uid="{00000000-0005-0000-0000-0000BA400000}"/>
    <cellStyle name="Normal 3 2 28 10" xfId="10172" xr:uid="{00000000-0005-0000-0000-0000BB400000}"/>
    <cellStyle name="Normal 3 2 28 10 2" xfId="27721" xr:uid="{00000000-0005-0000-0000-0000BC400000}"/>
    <cellStyle name="Normal 3 2 28 11" xfId="10173" xr:uid="{00000000-0005-0000-0000-0000BD400000}"/>
    <cellStyle name="Normal 3 2 28 11 2" xfId="27722" xr:uid="{00000000-0005-0000-0000-0000BE400000}"/>
    <cellStyle name="Normal 3 2 28 12" xfId="10174" xr:uid="{00000000-0005-0000-0000-0000BF400000}"/>
    <cellStyle name="Normal 3 2 28 12 2" xfId="27723" xr:uid="{00000000-0005-0000-0000-0000C0400000}"/>
    <cellStyle name="Normal 3 2 28 13" xfId="10175" xr:uid="{00000000-0005-0000-0000-0000C1400000}"/>
    <cellStyle name="Normal 3 2 28 13 2" xfId="27724" xr:uid="{00000000-0005-0000-0000-0000C2400000}"/>
    <cellStyle name="Normal 3 2 28 14" xfId="10176" xr:uid="{00000000-0005-0000-0000-0000C3400000}"/>
    <cellStyle name="Normal 3 2 28 14 2" xfId="27725" xr:uid="{00000000-0005-0000-0000-0000C4400000}"/>
    <cellStyle name="Normal 3 2 28 15" xfId="27720" xr:uid="{00000000-0005-0000-0000-0000C5400000}"/>
    <cellStyle name="Normal 3 2 28 2" xfId="10177" xr:uid="{00000000-0005-0000-0000-0000C6400000}"/>
    <cellStyle name="Normal 3 2 28 2 2" xfId="27726" xr:uid="{00000000-0005-0000-0000-0000C7400000}"/>
    <cellStyle name="Normal 3 2 28 3" xfId="10178" xr:uid="{00000000-0005-0000-0000-0000C8400000}"/>
    <cellStyle name="Normal 3 2 28 3 2" xfId="27727" xr:uid="{00000000-0005-0000-0000-0000C9400000}"/>
    <cellStyle name="Normal 3 2 28 4" xfId="10179" xr:uid="{00000000-0005-0000-0000-0000CA400000}"/>
    <cellStyle name="Normal 3 2 28 4 2" xfId="27728" xr:uid="{00000000-0005-0000-0000-0000CB400000}"/>
    <cellStyle name="Normal 3 2 28 5" xfId="10180" xr:uid="{00000000-0005-0000-0000-0000CC400000}"/>
    <cellStyle name="Normal 3 2 28 5 2" xfId="27729" xr:uid="{00000000-0005-0000-0000-0000CD400000}"/>
    <cellStyle name="Normal 3 2 28 6" xfId="10181" xr:uid="{00000000-0005-0000-0000-0000CE400000}"/>
    <cellStyle name="Normal 3 2 28 6 2" xfId="27730" xr:uid="{00000000-0005-0000-0000-0000CF400000}"/>
    <cellStyle name="Normal 3 2 28 7" xfId="10182" xr:uid="{00000000-0005-0000-0000-0000D0400000}"/>
    <cellStyle name="Normal 3 2 28 7 2" xfId="27731" xr:uid="{00000000-0005-0000-0000-0000D1400000}"/>
    <cellStyle name="Normal 3 2 28 8" xfId="10183" xr:uid="{00000000-0005-0000-0000-0000D2400000}"/>
    <cellStyle name="Normal 3 2 28 8 2" xfId="27732" xr:uid="{00000000-0005-0000-0000-0000D3400000}"/>
    <cellStyle name="Normal 3 2 28 9" xfId="10184" xr:uid="{00000000-0005-0000-0000-0000D4400000}"/>
    <cellStyle name="Normal 3 2 28 9 2" xfId="27733" xr:uid="{00000000-0005-0000-0000-0000D5400000}"/>
    <cellStyle name="Normal 3 2 29" xfId="10185" xr:uid="{00000000-0005-0000-0000-0000D6400000}"/>
    <cellStyle name="Normal 3 2 29 10" xfId="10186" xr:uid="{00000000-0005-0000-0000-0000D7400000}"/>
    <cellStyle name="Normal 3 2 29 10 2" xfId="27735" xr:uid="{00000000-0005-0000-0000-0000D8400000}"/>
    <cellStyle name="Normal 3 2 29 11" xfId="10187" xr:uid="{00000000-0005-0000-0000-0000D9400000}"/>
    <cellStyle name="Normal 3 2 29 11 2" xfId="27736" xr:uid="{00000000-0005-0000-0000-0000DA400000}"/>
    <cellStyle name="Normal 3 2 29 12" xfId="10188" xr:uid="{00000000-0005-0000-0000-0000DB400000}"/>
    <cellStyle name="Normal 3 2 29 12 2" xfId="27737" xr:uid="{00000000-0005-0000-0000-0000DC400000}"/>
    <cellStyle name="Normal 3 2 29 13" xfId="10189" xr:uid="{00000000-0005-0000-0000-0000DD400000}"/>
    <cellStyle name="Normal 3 2 29 13 2" xfId="27738" xr:uid="{00000000-0005-0000-0000-0000DE400000}"/>
    <cellStyle name="Normal 3 2 29 14" xfId="10190" xr:uid="{00000000-0005-0000-0000-0000DF400000}"/>
    <cellStyle name="Normal 3 2 29 14 2" xfId="27739" xr:uid="{00000000-0005-0000-0000-0000E0400000}"/>
    <cellStyle name="Normal 3 2 29 15" xfId="27734" xr:uid="{00000000-0005-0000-0000-0000E1400000}"/>
    <cellStyle name="Normal 3 2 29 2" xfId="10191" xr:uid="{00000000-0005-0000-0000-0000E2400000}"/>
    <cellStyle name="Normal 3 2 29 2 2" xfId="27740" xr:uid="{00000000-0005-0000-0000-0000E3400000}"/>
    <cellStyle name="Normal 3 2 29 3" xfId="10192" xr:uid="{00000000-0005-0000-0000-0000E4400000}"/>
    <cellStyle name="Normal 3 2 29 3 2" xfId="27741" xr:uid="{00000000-0005-0000-0000-0000E5400000}"/>
    <cellStyle name="Normal 3 2 29 4" xfId="10193" xr:uid="{00000000-0005-0000-0000-0000E6400000}"/>
    <cellStyle name="Normal 3 2 29 4 2" xfId="27742" xr:uid="{00000000-0005-0000-0000-0000E7400000}"/>
    <cellStyle name="Normal 3 2 29 5" xfId="10194" xr:uid="{00000000-0005-0000-0000-0000E8400000}"/>
    <cellStyle name="Normal 3 2 29 5 2" xfId="27743" xr:uid="{00000000-0005-0000-0000-0000E9400000}"/>
    <cellStyle name="Normal 3 2 29 6" xfId="10195" xr:uid="{00000000-0005-0000-0000-0000EA400000}"/>
    <cellStyle name="Normal 3 2 29 6 2" xfId="27744" xr:uid="{00000000-0005-0000-0000-0000EB400000}"/>
    <cellStyle name="Normal 3 2 29 7" xfId="10196" xr:uid="{00000000-0005-0000-0000-0000EC400000}"/>
    <cellStyle name="Normal 3 2 29 7 2" xfId="27745" xr:uid="{00000000-0005-0000-0000-0000ED400000}"/>
    <cellStyle name="Normal 3 2 29 8" xfId="10197" xr:uid="{00000000-0005-0000-0000-0000EE400000}"/>
    <cellStyle name="Normal 3 2 29 8 2" xfId="27746" xr:uid="{00000000-0005-0000-0000-0000EF400000}"/>
    <cellStyle name="Normal 3 2 29 9" xfId="10198" xr:uid="{00000000-0005-0000-0000-0000F0400000}"/>
    <cellStyle name="Normal 3 2 29 9 2" xfId="27747" xr:uid="{00000000-0005-0000-0000-0000F1400000}"/>
    <cellStyle name="Normal 3 2 3" xfId="55" xr:uid="{00000000-0005-0000-0000-0000F2400000}"/>
    <cellStyle name="Normal 3 2 3 10" xfId="10199" xr:uid="{00000000-0005-0000-0000-0000F3400000}"/>
    <cellStyle name="Normal 3 2 3 10 2" xfId="27749" xr:uid="{00000000-0005-0000-0000-0000F4400000}"/>
    <cellStyle name="Normal 3 2 3 11" xfId="10200" xr:uid="{00000000-0005-0000-0000-0000F5400000}"/>
    <cellStyle name="Normal 3 2 3 11 2" xfId="27750" xr:uid="{00000000-0005-0000-0000-0000F6400000}"/>
    <cellStyle name="Normal 3 2 3 12" xfId="10201" xr:uid="{00000000-0005-0000-0000-0000F7400000}"/>
    <cellStyle name="Normal 3 2 3 12 2" xfId="27751" xr:uid="{00000000-0005-0000-0000-0000F8400000}"/>
    <cellStyle name="Normal 3 2 3 13" xfId="10202" xr:uid="{00000000-0005-0000-0000-0000F9400000}"/>
    <cellStyle name="Normal 3 2 3 13 2" xfId="27752" xr:uid="{00000000-0005-0000-0000-0000FA400000}"/>
    <cellStyle name="Normal 3 2 3 14" xfId="10203" xr:uid="{00000000-0005-0000-0000-0000FB400000}"/>
    <cellStyle name="Normal 3 2 3 14 2" xfId="27753" xr:uid="{00000000-0005-0000-0000-0000FC400000}"/>
    <cellStyle name="Normal 3 2 3 15" xfId="10204" xr:uid="{00000000-0005-0000-0000-0000FD400000}"/>
    <cellStyle name="Normal 3 2 3 15 2" xfId="27754" xr:uid="{00000000-0005-0000-0000-0000FE400000}"/>
    <cellStyle name="Normal 3 2 3 16" xfId="10205" xr:uid="{00000000-0005-0000-0000-0000FF400000}"/>
    <cellStyle name="Normal 3 2 3 16 2" xfId="27755" xr:uid="{00000000-0005-0000-0000-000000410000}"/>
    <cellStyle name="Normal 3 2 3 17" xfId="10206" xr:uid="{00000000-0005-0000-0000-000001410000}"/>
    <cellStyle name="Normal 3 2 3 17 2" xfId="27756" xr:uid="{00000000-0005-0000-0000-000002410000}"/>
    <cellStyle name="Normal 3 2 3 18" xfId="37669" xr:uid="{00000000-0005-0000-0000-000003410000}"/>
    <cellStyle name="Normal 3 2 3 19" xfId="27748" xr:uid="{00000000-0005-0000-0000-000004410000}"/>
    <cellStyle name="Normal 3 2 3 2" xfId="10207" xr:uid="{00000000-0005-0000-0000-000005410000}"/>
    <cellStyle name="Normal 3 2 3 3" xfId="10208" xr:uid="{00000000-0005-0000-0000-000006410000}"/>
    <cellStyle name="Normal 3 2 3 4" xfId="10209" xr:uid="{00000000-0005-0000-0000-000007410000}"/>
    <cellStyle name="Normal 3 2 3 5" xfId="10210" xr:uid="{00000000-0005-0000-0000-000008410000}"/>
    <cellStyle name="Normal 3 2 3 5 2" xfId="27757" xr:uid="{00000000-0005-0000-0000-000009410000}"/>
    <cellStyle name="Normal 3 2 3 6" xfId="10211" xr:uid="{00000000-0005-0000-0000-00000A410000}"/>
    <cellStyle name="Normal 3 2 3 6 2" xfId="27758" xr:uid="{00000000-0005-0000-0000-00000B410000}"/>
    <cellStyle name="Normal 3 2 3 7" xfId="10212" xr:uid="{00000000-0005-0000-0000-00000C410000}"/>
    <cellStyle name="Normal 3 2 3 7 2" xfId="27759" xr:uid="{00000000-0005-0000-0000-00000D410000}"/>
    <cellStyle name="Normal 3 2 3 8" xfId="10213" xr:uid="{00000000-0005-0000-0000-00000E410000}"/>
    <cellStyle name="Normal 3 2 3 8 2" xfId="27760" xr:uid="{00000000-0005-0000-0000-00000F410000}"/>
    <cellStyle name="Normal 3 2 3 9" xfId="10214" xr:uid="{00000000-0005-0000-0000-000010410000}"/>
    <cellStyle name="Normal 3 2 3 9 2" xfId="27761" xr:uid="{00000000-0005-0000-0000-000011410000}"/>
    <cellStyle name="Normal 3 2 30" xfId="10215" xr:uid="{00000000-0005-0000-0000-000012410000}"/>
    <cellStyle name="Normal 3 2 30 10" xfId="10216" xr:uid="{00000000-0005-0000-0000-000013410000}"/>
    <cellStyle name="Normal 3 2 30 10 2" xfId="27763" xr:uid="{00000000-0005-0000-0000-000014410000}"/>
    <cellStyle name="Normal 3 2 30 11" xfId="10217" xr:uid="{00000000-0005-0000-0000-000015410000}"/>
    <cellStyle name="Normal 3 2 30 11 2" xfId="27764" xr:uid="{00000000-0005-0000-0000-000016410000}"/>
    <cellStyle name="Normal 3 2 30 12" xfId="10218" xr:uid="{00000000-0005-0000-0000-000017410000}"/>
    <cellStyle name="Normal 3 2 30 12 2" xfId="27765" xr:uid="{00000000-0005-0000-0000-000018410000}"/>
    <cellStyle name="Normal 3 2 30 13" xfId="10219" xr:uid="{00000000-0005-0000-0000-000019410000}"/>
    <cellStyle name="Normal 3 2 30 13 2" xfId="27766" xr:uid="{00000000-0005-0000-0000-00001A410000}"/>
    <cellStyle name="Normal 3 2 30 14" xfId="10220" xr:uid="{00000000-0005-0000-0000-00001B410000}"/>
    <cellStyle name="Normal 3 2 30 14 2" xfId="27767" xr:uid="{00000000-0005-0000-0000-00001C410000}"/>
    <cellStyle name="Normal 3 2 30 15" xfId="27762" xr:uid="{00000000-0005-0000-0000-00001D410000}"/>
    <cellStyle name="Normal 3 2 30 2" xfId="10221" xr:uid="{00000000-0005-0000-0000-00001E410000}"/>
    <cellStyle name="Normal 3 2 30 2 2" xfId="27768" xr:uid="{00000000-0005-0000-0000-00001F410000}"/>
    <cellStyle name="Normal 3 2 30 3" xfId="10222" xr:uid="{00000000-0005-0000-0000-000020410000}"/>
    <cellStyle name="Normal 3 2 30 3 2" xfId="27769" xr:uid="{00000000-0005-0000-0000-000021410000}"/>
    <cellStyle name="Normal 3 2 30 4" xfId="10223" xr:uid="{00000000-0005-0000-0000-000022410000}"/>
    <cellStyle name="Normal 3 2 30 4 2" xfId="27770" xr:uid="{00000000-0005-0000-0000-000023410000}"/>
    <cellStyle name="Normal 3 2 30 5" xfId="10224" xr:uid="{00000000-0005-0000-0000-000024410000}"/>
    <cellStyle name="Normal 3 2 30 5 2" xfId="27771" xr:uid="{00000000-0005-0000-0000-000025410000}"/>
    <cellStyle name="Normal 3 2 30 6" xfId="10225" xr:uid="{00000000-0005-0000-0000-000026410000}"/>
    <cellStyle name="Normal 3 2 30 6 2" xfId="27772" xr:uid="{00000000-0005-0000-0000-000027410000}"/>
    <cellStyle name="Normal 3 2 30 7" xfId="10226" xr:uid="{00000000-0005-0000-0000-000028410000}"/>
    <cellStyle name="Normal 3 2 30 7 2" xfId="27773" xr:uid="{00000000-0005-0000-0000-000029410000}"/>
    <cellStyle name="Normal 3 2 30 8" xfId="10227" xr:uid="{00000000-0005-0000-0000-00002A410000}"/>
    <cellStyle name="Normal 3 2 30 8 2" xfId="27774" xr:uid="{00000000-0005-0000-0000-00002B410000}"/>
    <cellStyle name="Normal 3 2 30 9" xfId="10228" xr:uid="{00000000-0005-0000-0000-00002C410000}"/>
    <cellStyle name="Normal 3 2 30 9 2" xfId="27775" xr:uid="{00000000-0005-0000-0000-00002D410000}"/>
    <cellStyle name="Normal 3 2 31" xfId="10229" xr:uid="{00000000-0005-0000-0000-00002E410000}"/>
    <cellStyle name="Normal 3 2 31 10" xfId="10230" xr:uid="{00000000-0005-0000-0000-00002F410000}"/>
    <cellStyle name="Normal 3 2 31 10 2" xfId="27777" xr:uid="{00000000-0005-0000-0000-000030410000}"/>
    <cellStyle name="Normal 3 2 31 11" xfId="10231" xr:uid="{00000000-0005-0000-0000-000031410000}"/>
    <cellStyle name="Normal 3 2 31 11 2" xfId="27778" xr:uid="{00000000-0005-0000-0000-000032410000}"/>
    <cellStyle name="Normal 3 2 31 12" xfId="10232" xr:uid="{00000000-0005-0000-0000-000033410000}"/>
    <cellStyle name="Normal 3 2 31 12 2" xfId="27779" xr:uid="{00000000-0005-0000-0000-000034410000}"/>
    <cellStyle name="Normal 3 2 31 13" xfId="10233" xr:uid="{00000000-0005-0000-0000-000035410000}"/>
    <cellStyle name="Normal 3 2 31 13 2" xfId="27780" xr:uid="{00000000-0005-0000-0000-000036410000}"/>
    <cellStyle name="Normal 3 2 31 14" xfId="10234" xr:uid="{00000000-0005-0000-0000-000037410000}"/>
    <cellStyle name="Normal 3 2 31 14 2" xfId="27781" xr:uid="{00000000-0005-0000-0000-000038410000}"/>
    <cellStyle name="Normal 3 2 31 15" xfId="27776" xr:uid="{00000000-0005-0000-0000-000039410000}"/>
    <cellStyle name="Normal 3 2 31 2" xfId="10235" xr:uid="{00000000-0005-0000-0000-00003A410000}"/>
    <cellStyle name="Normal 3 2 31 2 2" xfId="27782" xr:uid="{00000000-0005-0000-0000-00003B410000}"/>
    <cellStyle name="Normal 3 2 31 3" xfId="10236" xr:uid="{00000000-0005-0000-0000-00003C410000}"/>
    <cellStyle name="Normal 3 2 31 3 2" xfId="27783" xr:uid="{00000000-0005-0000-0000-00003D410000}"/>
    <cellStyle name="Normal 3 2 31 4" xfId="10237" xr:uid="{00000000-0005-0000-0000-00003E410000}"/>
    <cellStyle name="Normal 3 2 31 4 2" xfId="27784" xr:uid="{00000000-0005-0000-0000-00003F410000}"/>
    <cellStyle name="Normal 3 2 31 5" xfId="10238" xr:uid="{00000000-0005-0000-0000-000040410000}"/>
    <cellStyle name="Normal 3 2 31 5 2" xfId="27785" xr:uid="{00000000-0005-0000-0000-000041410000}"/>
    <cellStyle name="Normal 3 2 31 6" xfId="10239" xr:uid="{00000000-0005-0000-0000-000042410000}"/>
    <cellStyle name="Normal 3 2 31 6 2" xfId="27786" xr:uid="{00000000-0005-0000-0000-000043410000}"/>
    <cellStyle name="Normal 3 2 31 7" xfId="10240" xr:uid="{00000000-0005-0000-0000-000044410000}"/>
    <cellStyle name="Normal 3 2 31 7 2" xfId="27787" xr:uid="{00000000-0005-0000-0000-000045410000}"/>
    <cellStyle name="Normal 3 2 31 8" xfId="10241" xr:uid="{00000000-0005-0000-0000-000046410000}"/>
    <cellStyle name="Normal 3 2 31 8 2" xfId="27788" xr:uid="{00000000-0005-0000-0000-000047410000}"/>
    <cellStyle name="Normal 3 2 31 9" xfId="10242" xr:uid="{00000000-0005-0000-0000-000048410000}"/>
    <cellStyle name="Normal 3 2 31 9 2" xfId="27789" xr:uid="{00000000-0005-0000-0000-000049410000}"/>
    <cellStyle name="Normal 3 2 32" xfId="10243" xr:uid="{00000000-0005-0000-0000-00004A410000}"/>
    <cellStyle name="Normal 3 2 32 10" xfId="10244" xr:uid="{00000000-0005-0000-0000-00004B410000}"/>
    <cellStyle name="Normal 3 2 32 10 2" xfId="27791" xr:uid="{00000000-0005-0000-0000-00004C410000}"/>
    <cellStyle name="Normal 3 2 32 11" xfId="10245" xr:uid="{00000000-0005-0000-0000-00004D410000}"/>
    <cellStyle name="Normal 3 2 32 11 2" xfId="27792" xr:uid="{00000000-0005-0000-0000-00004E410000}"/>
    <cellStyle name="Normal 3 2 32 12" xfId="10246" xr:uid="{00000000-0005-0000-0000-00004F410000}"/>
    <cellStyle name="Normal 3 2 32 12 2" xfId="27793" xr:uid="{00000000-0005-0000-0000-000050410000}"/>
    <cellStyle name="Normal 3 2 32 13" xfId="10247" xr:uid="{00000000-0005-0000-0000-000051410000}"/>
    <cellStyle name="Normal 3 2 32 13 2" xfId="27794" xr:uid="{00000000-0005-0000-0000-000052410000}"/>
    <cellStyle name="Normal 3 2 32 14" xfId="10248" xr:uid="{00000000-0005-0000-0000-000053410000}"/>
    <cellStyle name="Normal 3 2 32 14 2" xfId="27795" xr:uid="{00000000-0005-0000-0000-000054410000}"/>
    <cellStyle name="Normal 3 2 32 15" xfId="27790" xr:uid="{00000000-0005-0000-0000-000055410000}"/>
    <cellStyle name="Normal 3 2 32 2" xfId="10249" xr:uid="{00000000-0005-0000-0000-000056410000}"/>
    <cellStyle name="Normal 3 2 32 2 2" xfId="27796" xr:uid="{00000000-0005-0000-0000-000057410000}"/>
    <cellStyle name="Normal 3 2 32 3" xfId="10250" xr:uid="{00000000-0005-0000-0000-000058410000}"/>
    <cellStyle name="Normal 3 2 32 3 2" xfId="27797" xr:uid="{00000000-0005-0000-0000-000059410000}"/>
    <cellStyle name="Normal 3 2 32 4" xfId="10251" xr:uid="{00000000-0005-0000-0000-00005A410000}"/>
    <cellStyle name="Normal 3 2 32 4 2" xfId="27798" xr:uid="{00000000-0005-0000-0000-00005B410000}"/>
    <cellStyle name="Normal 3 2 32 5" xfId="10252" xr:uid="{00000000-0005-0000-0000-00005C410000}"/>
    <cellStyle name="Normal 3 2 32 5 2" xfId="27799" xr:uid="{00000000-0005-0000-0000-00005D410000}"/>
    <cellStyle name="Normal 3 2 32 6" xfId="10253" xr:uid="{00000000-0005-0000-0000-00005E410000}"/>
    <cellStyle name="Normal 3 2 32 6 2" xfId="27800" xr:uid="{00000000-0005-0000-0000-00005F410000}"/>
    <cellStyle name="Normal 3 2 32 7" xfId="10254" xr:uid="{00000000-0005-0000-0000-000060410000}"/>
    <cellStyle name="Normal 3 2 32 7 2" xfId="27801" xr:uid="{00000000-0005-0000-0000-000061410000}"/>
    <cellStyle name="Normal 3 2 32 8" xfId="10255" xr:uid="{00000000-0005-0000-0000-000062410000}"/>
    <cellStyle name="Normal 3 2 32 8 2" xfId="27802" xr:uid="{00000000-0005-0000-0000-000063410000}"/>
    <cellStyle name="Normal 3 2 32 9" xfId="10256" xr:uid="{00000000-0005-0000-0000-000064410000}"/>
    <cellStyle name="Normal 3 2 32 9 2" xfId="27803" xr:uid="{00000000-0005-0000-0000-000065410000}"/>
    <cellStyle name="Normal 3 2 33" xfId="10257" xr:uid="{00000000-0005-0000-0000-000066410000}"/>
    <cellStyle name="Normal 3 2 33 10" xfId="10258" xr:uid="{00000000-0005-0000-0000-000067410000}"/>
    <cellStyle name="Normal 3 2 33 10 2" xfId="27805" xr:uid="{00000000-0005-0000-0000-000068410000}"/>
    <cellStyle name="Normal 3 2 33 11" xfId="10259" xr:uid="{00000000-0005-0000-0000-000069410000}"/>
    <cellStyle name="Normal 3 2 33 11 2" xfId="27806" xr:uid="{00000000-0005-0000-0000-00006A410000}"/>
    <cellStyle name="Normal 3 2 33 12" xfId="10260" xr:uid="{00000000-0005-0000-0000-00006B410000}"/>
    <cellStyle name="Normal 3 2 33 12 2" xfId="27807" xr:uid="{00000000-0005-0000-0000-00006C410000}"/>
    <cellStyle name="Normal 3 2 33 13" xfId="10261" xr:uid="{00000000-0005-0000-0000-00006D410000}"/>
    <cellStyle name="Normal 3 2 33 13 2" xfId="27808" xr:uid="{00000000-0005-0000-0000-00006E410000}"/>
    <cellStyle name="Normal 3 2 33 14" xfId="10262" xr:uid="{00000000-0005-0000-0000-00006F410000}"/>
    <cellStyle name="Normal 3 2 33 14 2" xfId="27809" xr:uid="{00000000-0005-0000-0000-000070410000}"/>
    <cellStyle name="Normal 3 2 33 15" xfId="27804" xr:uid="{00000000-0005-0000-0000-000071410000}"/>
    <cellStyle name="Normal 3 2 33 2" xfId="10263" xr:uid="{00000000-0005-0000-0000-000072410000}"/>
    <cellStyle name="Normal 3 2 33 2 2" xfId="27810" xr:uid="{00000000-0005-0000-0000-000073410000}"/>
    <cellStyle name="Normal 3 2 33 3" xfId="10264" xr:uid="{00000000-0005-0000-0000-000074410000}"/>
    <cellStyle name="Normal 3 2 33 3 2" xfId="27811" xr:uid="{00000000-0005-0000-0000-000075410000}"/>
    <cellStyle name="Normal 3 2 33 4" xfId="10265" xr:uid="{00000000-0005-0000-0000-000076410000}"/>
    <cellStyle name="Normal 3 2 33 4 2" xfId="27812" xr:uid="{00000000-0005-0000-0000-000077410000}"/>
    <cellStyle name="Normal 3 2 33 5" xfId="10266" xr:uid="{00000000-0005-0000-0000-000078410000}"/>
    <cellStyle name="Normal 3 2 33 5 2" xfId="27813" xr:uid="{00000000-0005-0000-0000-000079410000}"/>
    <cellStyle name="Normal 3 2 33 6" xfId="10267" xr:uid="{00000000-0005-0000-0000-00007A410000}"/>
    <cellStyle name="Normal 3 2 33 6 2" xfId="27814" xr:uid="{00000000-0005-0000-0000-00007B410000}"/>
    <cellStyle name="Normal 3 2 33 7" xfId="10268" xr:uid="{00000000-0005-0000-0000-00007C410000}"/>
    <cellStyle name="Normal 3 2 33 7 2" xfId="27815" xr:uid="{00000000-0005-0000-0000-00007D410000}"/>
    <cellStyle name="Normal 3 2 33 8" xfId="10269" xr:uid="{00000000-0005-0000-0000-00007E410000}"/>
    <cellStyle name="Normal 3 2 33 8 2" xfId="27816" xr:uid="{00000000-0005-0000-0000-00007F410000}"/>
    <cellStyle name="Normal 3 2 33 9" xfId="10270" xr:uid="{00000000-0005-0000-0000-000080410000}"/>
    <cellStyle name="Normal 3 2 33 9 2" xfId="27817" xr:uid="{00000000-0005-0000-0000-000081410000}"/>
    <cellStyle name="Normal 3 2 34" xfId="10271" xr:uid="{00000000-0005-0000-0000-000082410000}"/>
    <cellStyle name="Normal 3 2 35" xfId="10272" xr:uid="{00000000-0005-0000-0000-000083410000}"/>
    <cellStyle name="Normal 3 2 36" xfId="10273" xr:uid="{00000000-0005-0000-0000-000084410000}"/>
    <cellStyle name="Normal 3 2 36 10" xfId="10274" xr:uid="{00000000-0005-0000-0000-000085410000}"/>
    <cellStyle name="Normal 3 2 36 10 2" xfId="27819" xr:uid="{00000000-0005-0000-0000-000086410000}"/>
    <cellStyle name="Normal 3 2 36 11" xfId="10275" xr:uid="{00000000-0005-0000-0000-000087410000}"/>
    <cellStyle name="Normal 3 2 36 11 2" xfId="27820" xr:uid="{00000000-0005-0000-0000-000088410000}"/>
    <cellStyle name="Normal 3 2 36 12" xfId="10276" xr:uid="{00000000-0005-0000-0000-000089410000}"/>
    <cellStyle name="Normal 3 2 36 12 2" xfId="27821" xr:uid="{00000000-0005-0000-0000-00008A410000}"/>
    <cellStyle name="Normal 3 2 36 13" xfId="10277" xr:uid="{00000000-0005-0000-0000-00008B410000}"/>
    <cellStyle name="Normal 3 2 36 13 2" xfId="27822" xr:uid="{00000000-0005-0000-0000-00008C410000}"/>
    <cellStyle name="Normal 3 2 36 14" xfId="10278" xr:uid="{00000000-0005-0000-0000-00008D410000}"/>
    <cellStyle name="Normal 3 2 36 14 2" xfId="27823" xr:uid="{00000000-0005-0000-0000-00008E410000}"/>
    <cellStyle name="Normal 3 2 36 15" xfId="27818" xr:uid="{00000000-0005-0000-0000-00008F410000}"/>
    <cellStyle name="Normal 3 2 36 2" xfId="10279" xr:uid="{00000000-0005-0000-0000-000090410000}"/>
    <cellStyle name="Normal 3 2 36 2 2" xfId="27824" xr:uid="{00000000-0005-0000-0000-000091410000}"/>
    <cellStyle name="Normal 3 2 36 3" xfId="10280" xr:uid="{00000000-0005-0000-0000-000092410000}"/>
    <cellStyle name="Normal 3 2 36 3 2" xfId="27825" xr:uid="{00000000-0005-0000-0000-000093410000}"/>
    <cellStyle name="Normal 3 2 36 4" xfId="10281" xr:uid="{00000000-0005-0000-0000-000094410000}"/>
    <cellStyle name="Normal 3 2 36 4 2" xfId="27826" xr:uid="{00000000-0005-0000-0000-000095410000}"/>
    <cellStyle name="Normal 3 2 36 5" xfId="10282" xr:uid="{00000000-0005-0000-0000-000096410000}"/>
    <cellStyle name="Normal 3 2 36 5 2" xfId="27827" xr:uid="{00000000-0005-0000-0000-000097410000}"/>
    <cellStyle name="Normal 3 2 36 6" xfId="10283" xr:uid="{00000000-0005-0000-0000-000098410000}"/>
    <cellStyle name="Normal 3 2 36 6 2" xfId="27828" xr:uid="{00000000-0005-0000-0000-000099410000}"/>
    <cellStyle name="Normal 3 2 36 7" xfId="10284" xr:uid="{00000000-0005-0000-0000-00009A410000}"/>
    <cellStyle name="Normal 3 2 36 7 2" xfId="27829" xr:uid="{00000000-0005-0000-0000-00009B410000}"/>
    <cellStyle name="Normal 3 2 36 8" xfId="10285" xr:uid="{00000000-0005-0000-0000-00009C410000}"/>
    <cellStyle name="Normal 3 2 36 8 2" xfId="27830" xr:uid="{00000000-0005-0000-0000-00009D410000}"/>
    <cellStyle name="Normal 3 2 36 9" xfId="10286" xr:uid="{00000000-0005-0000-0000-00009E410000}"/>
    <cellStyle name="Normal 3 2 36 9 2" xfId="27831" xr:uid="{00000000-0005-0000-0000-00009F410000}"/>
    <cellStyle name="Normal 3 2 37" xfId="10287" xr:uid="{00000000-0005-0000-0000-0000A0410000}"/>
    <cellStyle name="Normal 3 2 37 10" xfId="10288" xr:uid="{00000000-0005-0000-0000-0000A1410000}"/>
    <cellStyle name="Normal 3 2 37 10 2" xfId="27833" xr:uid="{00000000-0005-0000-0000-0000A2410000}"/>
    <cellStyle name="Normal 3 2 37 11" xfId="10289" xr:uid="{00000000-0005-0000-0000-0000A3410000}"/>
    <cellStyle name="Normal 3 2 37 11 2" xfId="27834" xr:uid="{00000000-0005-0000-0000-0000A4410000}"/>
    <cellStyle name="Normal 3 2 37 12" xfId="10290" xr:uid="{00000000-0005-0000-0000-0000A5410000}"/>
    <cellStyle name="Normal 3 2 37 12 2" xfId="27835" xr:uid="{00000000-0005-0000-0000-0000A6410000}"/>
    <cellStyle name="Normal 3 2 37 13" xfId="10291" xr:uid="{00000000-0005-0000-0000-0000A7410000}"/>
    <cellStyle name="Normal 3 2 37 13 2" xfId="27836" xr:uid="{00000000-0005-0000-0000-0000A8410000}"/>
    <cellStyle name="Normal 3 2 37 14" xfId="10292" xr:uid="{00000000-0005-0000-0000-0000A9410000}"/>
    <cellStyle name="Normal 3 2 37 14 2" xfId="27837" xr:uid="{00000000-0005-0000-0000-0000AA410000}"/>
    <cellStyle name="Normal 3 2 37 15" xfId="27832" xr:uid="{00000000-0005-0000-0000-0000AB410000}"/>
    <cellStyle name="Normal 3 2 37 2" xfId="10293" xr:uid="{00000000-0005-0000-0000-0000AC410000}"/>
    <cellStyle name="Normal 3 2 37 2 2" xfId="27838" xr:uid="{00000000-0005-0000-0000-0000AD410000}"/>
    <cellStyle name="Normal 3 2 37 3" xfId="10294" xr:uid="{00000000-0005-0000-0000-0000AE410000}"/>
    <cellStyle name="Normal 3 2 37 3 2" xfId="27839" xr:uid="{00000000-0005-0000-0000-0000AF410000}"/>
    <cellStyle name="Normal 3 2 37 4" xfId="10295" xr:uid="{00000000-0005-0000-0000-0000B0410000}"/>
    <cellStyle name="Normal 3 2 37 4 2" xfId="27840" xr:uid="{00000000-0005-0000-0000-0000B1410000}"/>
    <cellStyle name="Normal 3 2 37 5" xfId="10296" xr:uid="{00000000-0005-0000-0000-0000B2410000}"/>
    <cellStyle name="Normal 3 2 37 5 2" xfId="27841" xr:uid="{00000000-0005-0000-0000-0000B3410000}"/>
    <cellStyle name="Normal 3 2 37 6" xfId="10297" xr:uid="{00000000-0005-0000-0000-0000B4410000}"/>
    <cellStyle name="Normal 3 2 37 6 2" xfId="27842" xr:uid="{00000000-0005-0000-0000-0000B5410000}"/>
    <cellStyle name="Normal 3 2 37 7" xfId="10298" xr:uid="{00000000-0005-0000-0000-0000B6410000}"/>
    <cellStyle name="Normal 3 2 37 7 2" xfId="27843" xr:uid="{00000000-0005-0000-0000-0000B7410000}"/>
    <cellStyle name="Normal 3 2 37 8" xfId="10299" xr:uid="{00000000-0005-0000-0000-0000B8410000}"/>
    <cellStyle name="Normal 3 2 37 8 2" xfId="27844" xr:uid="{00000000-0005-0000-0000-0000B9410000}"/>
    <cellStyle name="Normal 3 2 37 9" xfId="10300" xr:uid="{00000000-0005-0000-0000-0000BA410000}"/>
    <cellStyle name="Normal 3 2 37 9 2" xfId="27845" xr:uid="{00000000-0005-0000-0000-0000BB410000}"/>
    <cellStyle name="Normal 3 2 38" xfId="37667" xr:uid="{00000000-0005-0000-0000-0000BC410000}"/>
    <cellStyle name="Normal 3 2 4" xfId="56" xr:uid="{00000000-0005-0000-0000-0000BD410000}"/>
    <cellStyle name="Normal 3 2 4 2" xfId="37670" xr:uid="{00000000-0005-0000-0000-0000BE410000}"/>
    <cellStyle name="Normal 3 2 4 3" xfId="27846" xr:uid="{00000000-0005-0000-0000-0000BF410000}"/>
    <cellStyle name="Normal 3 2 5" xfId="57" xr:uid="{00000000-0005-0000-0000-0000C0410000}"/>
    <cellStyle name="Normal 3 2 5 2" xfId="37671" xr:uid="{00000000-0005-0000-0000-0000C1410000}"/>
    <cellStyle name="Normal 3 2 5 3" xfId="27847" xr:uid="{00000000-0005-0000-0000-0000C2410000}"/>
    <cellStyle name="Normal 3 2 6" xfId="58" xr:uid="{00000000-0005-0000-0000-0000C3410000}"/>
    <cellStyle name="Normal 3 2 6 2" xfId="37672" xr:uid="{00000000-0005-0000-0000-0000C4410000}"/>
    <cellStyle name="Normal 3 2 6 3" xfId="27848" xr:uid="{00000000-0005-0000-0000-0000C5410000}"/>
    <cellStyle name="Normal 3 2 7" xfId="59" xr:uid="{00000000-0005-0000-0000-0000C6410000}"/>
    <cellStyle name="Normal 3 2 7 2" xfId="37673" xr:uid="{00000000-0005-0000-0000-0000C7410000}"/>
    <cellStyle name="Normal 3 2 7 3" xfId="27849" xr:uid="{00000000-0005-0000-0000-0000C8410000}"/>
    <cellStyle name="Normal 3 2 8" xfId="60" xr:uid="{00000000-0005-0000-0000-0000C9410000}"/>
    <cellStyle name="Normal 3 2 8 2" xfId="37674" xr:uid="{00000000-0005-0000-0000-0000CA410000}"/>
    <cellStyle name="Normal 3 2 8 3" xfId="27850" xr:uid="{00000000-0005-0000-0000-0000CB410000}"/>
    <cellStyle name="Normal 3 2 9" xfId="61" xr:uid="{00000000-0005-0000-0000-0000CC410000}"/>
    <cellStyle name="Normal 3 2 9 2" xfId="37675" xr:uid="{00000000-0005-0000-0000-0000CD410000}"/>
    <cellStyle name="Normal 3 2 9 3" xfId="27851" xr:uid="{00000000-0005-0000-0000-0000CE410000}"/>
    <cellStyle name="Normal 3 20" xfId="10301" xr:uid="{00000000-0005-0000-0000-0000CF410000}"/>
    <cellStyle name="Normal 3 20 10" xfId="10302" xr:uid="{00000000-0005-0000-0000-0000D0410000}"/>
    <cellStyle name="Normal 3 20 10 10" xfId="10303" xr:uid="{00000000-0005-0000-0000-0000D1410000}"/>
    <cellStyle name="Normal 3 20 10 10 2" xfId="27854" xr:uid="{00000000-0005-0000-0000-0000D2410000}"/>
    <cellStyle name="Normal 3 20 10 11" xfId="10304" xr:uid="{00000000-0005-0000-0000-0000D3410000}"/>
    <cellStyle name="Normal 3 20 10 11 2" xfId="27855" xr:uid="{00000000-0005-0000-0000-0000D4410000}"/>
    <cellStyle name="Normal 3 20 10 12" xfId="10305" xr:uid="{00000000-0005-0000-0000-0000D5410000}"/>
    <cellStyle name="Normal 3 20 10 12 2" xfId="27856" xr:uid="{00000000-0005-0000-0000-0000D6410000}"/>
    <cellStyle name="Normal 3 20 10 13" xfId="10306" xr:uid="{00000000-0005-0000-0000-0000D7410000}"/>
    <cellStyle name="Normal 3 20 10 13 2" xfId="27857" xr:uid="{00000000-0005-0000-0000-0000D8410000}"/>
    <cellStyle name="Normal 3 20 10 14" xfId="10307" xr:uid="{00000000-0005-0000-0000-0000D9410000}"/>
    <cellStyle name="Normal 3 20 10 14 2" xfId="27858" xr:uid="{00000000-0005-0000-0000-0000DA410000}"/>
    <cellStyle name="Normal 3 20 10 15" xfId="27853" xr:uid="{00000000-0005-0000-0000-0000DB410000}"/>
    <cellStyle name="Normal 3 20 10 2" xfId="10308" xr:uid="{00000000-0005-0000-0000-0000DC410000}"/>
    <cellStyle name="Normal 3 20 10 2 2" xfId="27859" xr:uid="{00000000-0005-0000-0000-0000DD410000}"/>
    <cellStyle name="Normal 3 20 10 3" xfId="10309" xr:uid="{00000000-0005-0000-0000-0000DE410000}"/>
    <cellStyle name="Normal 3 20 10 3 2" xfId="27860" xr:uid="{00000000-0005-0000-0000-0000DF410000}"/>
    <cellStyle name="Normal 3 20 10 4" xfId="10310" xr:uid="{00000000-0005-0000-0000-0000E0410000}"/>
    <cellStyle name="Normal 3 20 10 4 2" xfId="27861" xr:uid="{00000000-0005-0000-0000-0000E1410000}"/>
    <cellStyle name="Normal 3 20 10 5" xfId="10311" xr:uid="{00000000-0005-0000-0000-0000E2410000}"/>
    <cellStyle name="Normal 3 20 10 5 2" xfId="27862" xr:uid="{00000000-0005-0000-0000-0000E3410000}"/>
    <cellStyle name="Normal 3 20 10 6" xfId="10312" xr:uid="{00000000-0005-0000-0000-0000E4410000}"/>
    <cellStyle name="Normal 3 20 10 6 2" xfId="27863" xr:uid="{00000000-0005-0000-0000-0000E5410000}"/>
    <cellStyle name="Normal 3 20 10 7" xfId="10313" xr:uid="{00000000-0005-0000-0000-0000E6410000}"/>
    <cellStyle name="Normal 3 20 10 7 2" xfId="27864" xr:uid="{00000000-0005-0000-0000-0000E7410000}"/>
    <cellStyle name="Normal 3 20 10 8" xfId="10314" xr:uid="{00000000-0005-0000-0000-0000E8410000}"/>
    <cellStyle name="Normal 3 20 10 8 2" xfId="27865" xr:uid="{00000000-0005-0000-0000-0000E9410000}"/>
    <cellStyle name="Normal 3 20 10 9" xfId="10315" xr:uid="{00000000-0005-0000-0000-0000EA410000}"/>
    <cellStyle name="Normal 3 20 10 9 2" xfId="27866" xr:uid="{00000000-0005-0000-0000-0000EB410000}"/>
    <cellStyle name="Normal 3 20 11" xfId="10316" xr:uid="{00000000-0005-0000-0000-0000EC410000}"/>
    <cellStyle name="Normal 3 20 11 10" xfId="10317" xr:uid="{00000000-0005-0000-0000-0000ED410000}"/>
    <cellStyle name="Normal 3 20 11 10 2" xfId="27868" xr:uid="{00000000-0005-0000-0000-0000EE410000}"/>
    <cellStyle name="Normal 3 20 11 11" xfId="10318" xr:uid="{00000000-0005-0000-0000-0000EF410000}"/>
    <cellStyle name="Normal 3 20 11 11 2" xfId="27869" xr:uid="{00000000-0005-0000-0000-0000F0410000}"/>
    <cellStyle name="Normal 3 20 11 12" xfId="10319" xr:uid="{00000000-0005-0000-0000-0000F1410000}"/>
    <cellStyle name="Normal 3 20 11 12 2" xfId="27870" xr:uid="{00000000-0005-0000-0000-0000F2410000}"/>
    <cellStyle name="Normal 3 20 11 13" xfId="10320" xr:uid="{00000000-0005-0000-0000-0000F3410000}"/>
    <cellStyle name="Normal 3 20 11 13 2" xfId="27871" xr:uid="{00000000-0005-0000-0000-0000F4410000}"/>
    <cellStyle name="Normal 3 20 11 14" xfId="10321" xr:uid="{00000000-0005-0000-0000-0000F5410000}"/>
    <cellStyle name="Normal 3 20 11 14 2" xfId="27872" xr:uid="{00000000-0005-0000-0000-0000F6410000}"/>
    <cellStyle name="Normal 3 20 11 15" xfId="27867" xr:uid="{00000000-0005-0000-0000-0000F7410000}"/>
    <cellStyle name="Normal 3 20 11 2" xfId="10322" xr:uid="{00000000-0005-0000-0000-0000F8410000}"/>
    <cellStyle name="Normal 3 20 11 2 2" xfId="27873" xr:uid="{00000000-0005-0000-0000-0000F9410000}"/>
    <cellStyle name="Normal 3 20 11 3" xfId="10323" xr:uid="{00000000-0005-0000-0000-0000FA410000}"/>
    <cellStyle name="Normal 3 20 11 3 2" xfId="27874" xr:uid="{00000000-0005-0000-0000-0000FB410000}"/>
    <cellStyle name="Normal 3 20 11 4" xfId="10324" xr:uid="{00000000-0005-0000-0000-0000FC410000}"/>
    <cellStyle name="Normal 3 20 11 4 2" xfId="27875" xr:uid="{00000000-0005-0000-0000-0000FD410000}"/>
    <cellStyle name="Normal 3 20 11 5" xfId="10325" xr:uid="{00000000-0005-0000-0000-0000FE410000}"/>
    <cellStyle name="Normal 3 20 11 5 2" xfId="27876" xr:uid="{00000000-0005-0000-0000-0000FF410000}"/>
    <cellStyle name="Normal 3 20 11 6" xfId="10326" xr:uid="{00000000-0005-0000-0000-000000420000}"/>
    <cellStyle name="Normal 3 20 11 6 2" xfId="27877" xr:uid="{00000000-0005-0000-0000-000001420000}"/>
    <cellStyle name="Normal 3 20 11 7" xfId="10327" xr:uid="{00000000-0005-0000-0000-000002420000}"/>
    <cellStyle name="Normal 3 20 11 7 2" xfId="27878" xr:uid="{00000000-0005-0000-0000-000003420000}"/>
    <cellStyle name="Normal 3 20 11 8" xfId="10328" xr:uid="{00000000-0005-0000-0000-000004420000}"/>
    <cellStyle name="Normal 3 20 11 8 2" xfId="27879" xr:uid="{00000000-0005-0000-0000-000005420000}"/>
    <cellStyle name="Normal 3 20 11 9" xfId="10329" xr:uid="{00000000-0005-0000-0000-000006420000}"/>
    <cellStyle name="Normal 3 20 11 9 2" xfId="27880" xr:uid="{00000000-0005-0000-0000-000007420000}"/>
    <cellStyle name="Normal 3 20 12" xfId="10330" xr:uid="{00000000-0005-0000-0000-000008420000}"/>
    <cellStyle name="Normal 3 20 12 10" xfId="10331" xr:uid="{00000000-0005-0000-0000-000009420000}"/>
    <cellStyle name="Normal 3 20 12 10 2" xfId="27882" xr:uid="{00000000-0005-0000-0000-00000A420000}"/>
    <cellStyle name="Normal 3 20 12 11" xfId="10332" xr:uid="{00000000-0005-0000-0000-00000B420000}"/>
    <cellStyle name="Normal 3 20 12 11 2" xfId="27883" xr:uid="{00000000-0005-0000-0000-00000C420000}"/>
    <cellStyle name="Normal 3 20 12 12" xfId="10333" xr:uid="{00000000-0005-0000-0000-00000D420000}"/>
    <cellStyle name="Normal 3 20 12 12 2" xfId="27884" xr:uid="{00000000-0005-0000-0000-00000E420000}"/>
    <cellStyle name="Normal 3 20 12 13" xfId="10334" xr:uid="{00000000-0005-0000-0000-00000F420000}"/>
    <cellStyle name="Normal 3 20 12 13 2" xfId="27885" xr:uid="{00000000-0005-0000-0000-000010420000}"/>
    <cellStyle name="Normal 3 20 12 14" xfId="10335" xr:uid="{00000000-0005-0000-0000-000011420000}"/>
    <cellStyle name="Normal 3 20 12 14 2" xfId="27886" xr:uid="{00000000-0005-0000-0000-000012420000}"/>
    <cellStyle name="Normal 3 20 12 15" xfId="27881" xr:uid="{00000000-0005-0000-0000-000013420000}"/>
    <cellStyle name="Normal 3 20 12 2" xfId="10336" xr:uid="{00000000-0005-0000-0000-000014420000}"/>
    <cellStyle name="Normal 3 20 12 2 2" xfId="27887" xr:uid="{00000000-0005-0000-0000-000015420000}"/>
    <cellStyle name="Normal 3 20 12 3" xfId="10337" xr:uid="{00000000-0005-0000-0000-000016420000}"/>
    <cellStyle name="Normal 3 20 12 3 2" xfId="27888" xr:uid="{00000000-0005-0000-0000-000017420000}"/>
    <cellStyle name="Normal 3 20 12 4" xfId="10338" xr:uid="{00000000-0005-0000-0000-000018420000}"/>
    <cellStyle name="Normal 3 20 12 4 2" xfId="27889" xr:uid="{00000000-0005-0000-0000-000019420000}"/>
    <cellStyle name="Normal 3 20 12 5" xfId="10339" xr:uid="{00000000-0005-0000-0000-00001A420000}"/>
    <cellStyle name="Normal 3 20 12 5 2" xfId="27890" xr:uid="{00000000-0005-0000-0000-00001B420000}"/>
    <cellStyle name="Normal 3 20 12 6" xfId="10340" xr:uid="{00000000-0005-0000-0000-00001C420000}"/>
    <cellStyle name="Normal 3 20 12 6 2" xfId="27891" xr:uid="{00000000-0005-0000-0000-00001D420000}"/>
    <cellStyle name="Normal 3 20 12 7" xfId="10341" xr:uid="{00000000-0005-0000-0000-00001E420000}"/>
    <cellStyle name="Normal 3 20 12 7 2" xfId="27892" xr:uid="{00000000-0005-0000-0000-00001F420000}"/>
    <cellStyle name="Normal 3 20 12 8" xfId="10342" xr:uid="{00000000-0005-0000-0000-000020420000}"/>
    <cellStyle name="Normal 3 20 12 8 2" xfId="27893" xr:uid="{00000000-0005-0000-0000-000021420000}"/>
    <cellStyle name="Normal 3 20 12 9" xfId="10343" xr:uid="{00000000-0005-0000-0000-000022420000}"/>
    <cellStyle name="Normal 3 20 12 9 2" xfId="27894" xr:uid="{00000000-0005-0000-0000-000023420000}"/>
    <cellStyle name="Normal 3 20 13" xfId="10344" xr:uid="{00000000-0005-0000-0000-000024420000}"/>
    <cellStyle name="Normal 3 20 13 10" xfId="10345" xr:uid="{00000000-0005-0000-0000-000025420000}"/>
    <cellStyle name="Normal 3 20 13 10 2" xfId="27896" xr:uid="{00000000-0005-0000-0000-000026420000}"/>
    <cellStyle name="Normal 3 20 13 11" xfId="10346" xr:uid="{00000000-0005-0000-0000-000027420000}"/>
    <cellStyle name="Normal 3 20 13 11 2" xfId="27897" xr:uid="{00000000-0005-0000-0000-000028420000}"/>
    <cellStyle name="Normal 3 20 13 12" xfId="10347" xr:uid="{00000000-0005-0000-0000-000029420000}"/>
    <cellStyle name="Normal 3 20 13 12 2" xfId="27898" xr:uid="{00000000-0005-0000-0000-00002A420000}"/>
    <cellStyle name="Normal 3 20 13 13" xfId="10348" xr:uid="{00000000-0005-0000-0000-00002B420000}"/>
    <cellStyle name="Normal 3 20 13 13 2" xfId="27899" xr:uid="{00000000-0005-0000-0000-00002C420000}"/>
    <cellStyle name="Normal 3 20 13 14" xfId="10349" xr:uid="{00000000-0005-0000-0000-00002D420000}"/>
    <cellStyle name="Normal 3 20 13 14 2" xfId="27900" xr:uid="{00000000-0005-0000-0000-00002E420000}"/>
    <cellStyle name="Normal 3 20 13 15" xfId="27895" xr:uid="{00000000-0005-0000-0000-00002F420000}"/>
    <cellStyle name="Normal 3 20 13 2" xfId="10350" xr:uid="{00000000-0005-0000-0000-000030420000}"/>
    <cellStyle name="Normal 3 20 13 2 2" xfId="27901" xr:uid="{00000000-0005-0000-0000-000031420000}"/>
    <cellStyle name="Normal 3 20 13 3" xfId="10351" xr:uid="{00000000-0005-0000-0000-000032420000}"/>
    <cellStyle name="Normal 3 20 13 3 2" xfId="27902" xr:uid="{00000000-0005-0000-0000-000033420000}"/>
    <cellStyle name="Normal 3 20 13 4" xfId="10352" xr:uid="{00000000-0005-0000-0000-000034420000}"/>
    <cellStyle name="Normal 3 20 13 4 2" xfId="27903" xr:uid="{00000000-0005-0000-0000-000035420000}"/>
    <cellStyle name="Normal 3 20 13 5" xfId="10353" xr:uid="{00000000-0005-0000-0000-000036420000}"/>
    <cellStyle name="Normal 3 20 13 5 2" xfId="27904" xr:uid="{00000000-0005-0000-0000-000037420000}"/>
    <cellStyle name="Normal 3 20 13 6" xfId="10354" xr:uid="{00000000-0005-0000-0000-000038420000}"/>
    <cellStyle name="Normal 3 20 13 6 2" xfId="27905" xr:uid="{00000000-0005-0000-0000-000039420000}"/>
    <cellStyle name="Normal 3 20 13 7" xfId="10355" xr:uid="{00000000-0005-0000-0000-00003A420000}"/>
    <cellStyle name="Normal 3 20 13 7 2" xfId="27906" xr:uid="{00000000-0005-0000-0000-00003B420000}"/>
    <cellStyle name="Normal 3 20 13 8" xfId="10356" xr:uid="{00000000-0005-0000-0000-00003C420000}"/>
    <cellStyle name="Normal 3 20 13 8 2" xfId="27907" xr:uid="{00000000-0005-0000-0000-00003D420000}"/>
    <cellStyle name="Normal 3 20 13 9" xfId="10357" xr:uid="{00000000-0005-0000-0000-00003E420000}"/>
    <cellStyle name="Normal 3 20 13 9 2" xfId="27908" xr:uid="{00000000-0005-0000-0000-00003F420000}"/>
    <cellStyle name="Normal 3 20 14" xfId="10358" xr:uid="{00000000-0005-0000-0000-000040420000}"/>
    <cellStyle name="Normal 3 20 14 10" xfId="10359" xr:uid="{00000000-0005-0000-0000-000041420000}"/>
    <cellStyle name="Normal 3 20 14 10 2" xfId="27910" xr:uid="{00000000-0005-0000-0000-000042420000}"/>
    <cellStyle name="Normal 3 20 14 11" xfId="10360" xr:uid="{00000000-0005-0000-0000-000043420000}"/>
    <cellStyle name="Normal 3 20 14 11 2" xfId="27911" xr:uid="{00000000-0005-0000-0000-000044420000}"/>
    <cellStyle name="Normal 3 20 14 12" xfId="10361" xr:uid="{00000000-0005-0000-0000-000045420000}"/>
    <cellStyle name="Normal 3 20 14 12 2" xfId="27912" xr:uid="{00000000-0005-0000-0000-000046420000}"/>
    <cellStyle name="Normal 3 20 14 13" xfId="10362" xr:uid="{00000000-0005-0000-0000-000047420000}"/>
    <cellStyle name="Normal 3 20 14 13 2" xfId="27913" xr:uid="{00000000-0005-0000-0000-000048420000}"/>
    <cellStyle name="Normal 3 20 14 14" xfId="10363" xr:uid="{00000000-0005-0000-0000-000049420000}"/>
    <cellStyle name="Normal 3 20 14 14 2" xfId="27914" xr:uid="{00000000-0005-0000-0000-00004A420000}"/>
    <cellStyle name="Normal 3 20 14 15" xfId="27909" xr:uid="{00000000-0005-0000-0000-00004B420000}"/>
    <cellStyle name="Normal 3 20 14 2" xfId="10364" xr:uid="{00000000-0005-0000-0000-00004C420000}"/>
    <cellStyle name="Normal 3 20 14 2 2" xfId="27915" xr:uid="{00000000-0005-0000-0000-00004D420000}"/>
    <cellStyle name="Normal 3 20 14 3" xfId="10365" xr:uid="{00000000-0005-0000-0000-00004E420000}"/>
    <cellStyle name="Normal 3 20 14 3 2" xfId="27916" xr:uid="{00000000-0005-0000-0000-00004F420000}"/>
    <cellStyle name="Normal 3 20 14 4" xfId="10366" xr:uid="{00000000-0005-0000-0000-000050420000}"/>
    <cellStyle name="Normal 3 20 14 4 2" xfId="27917" xr:uid="{00000000-0005-0000-0000-000051420000}"/>
    <cellStyle name="Normal 3 20 14 5" xfId="10367" xr:uid="{00000000-0005-0000-0000-000052420000}"/>
    <cellStyle name="Normal 3 20 14 5 2" xfId="27918" xr:uid="{00000000-0005-0000-0000-000053420000}"/>
    <cellStyle name="Normal 3 20 14 6" xfId="10368" xr:uid="{00000000-0005-0000-0000-000054420000}"/>
    <cellStyle name="Normal 3 20 14 6 2" xfId="27919" xr:uid="{00000000-0005-0000-0000-000055420000}"/>
    <cellStyle name="Normal 3 20 14 7" xfId="10369" xr:uid="{00000000-0005-0000-0000-000056420000}"/>
    <cellStyle name="Normal 3 20 14 7 2" xfId="27920" xr:uid="{00000000-0005-0000-0000-000057420000}"/>
    <cellStyle name="Normal 3 20 14 8" xfId="10370" xr:uid="{00000000-0005-0000-0000-000058420000}"/>
    <cellStyle name="Normal 3 20 14 8 2" xfId="27921" xr:uid="{00000000-0005-0000-0000-000059420000}"/>
    <cellStyle name="Normal 3 20 14 9" xfId="10371" xr:uid="{00000000-0005-0000-0000-00005A420000}"/>
    <cellStyle name="Normal 3 20 14 9 2" xfId="27922" xr:uid="{00000000-0005-0000-0000-00005B420000}"/>
    <cellStyle name="Normal 3 20 15" xfId="10372" xr:uid="{00000000-0005-0000-0000-00005C420000}"/>
    <cellStyle name="Normal 3 20 15 2" xfId="27923" xr:uid="{00000000-0005-0000-0000-00005D420000}"/>
    <cellStyle name="Normal 3 20 16" xfId="10373" xr:uid="{00000000-0005-0000-0000-00005E420000}"/>
    <cellStyle name="Normal 3 20 16 2" xfId="27924" xr:uid="{00000000-0005-0000-0000-00005F420000}"/>
    <cellStyle name="Normal 3 20 17" xfId="10374" xr:uid="{00000000-0005-0000-0000-000060420000}"/>
    <cellStyle name="Normal 3 20 17 2" xfId="27925" xr:uid="{00000000-0005-0000-0000-000061420000}"/>
    <cellStyle name="Normal 3 20 18" xfId="10375" xr:uid="{00000000-0005-0000-0000-000062420000}"/>
    <cellStyle name="Normal 3 20 18 2" xfId="27926" xr:uid="{00000000-0005-0000-0000-000063420000}"/>
    <cellStyle name="Normal 3 20 19" xfId="10376" xr:uid="{00000000-0005-0000-0000-000064420000}"/>
    <cellStyle name="Normal 3 20 19 2" xfId="27927" xr:uid="{00000000-0005-0000-0000-000065420000}"/>
    <cellStyle name="Normal 3 20 2" xfId="10377" xr:uid="{00000000-0005-0000-0000-000066420000}"/>
    <cellStyle name="Normal 3 20 20" xfId="10378" xr:uid="{00000000-0005-0000-0000-000067420000}"/>
    <cellStyle name="Normal 3 20 20 2" xfId="27928" xr:uid="{00000000-0005-0000-0000-000068420000}"/>
    <cellStyle name="Normal 3 20 21" xfId="10379" xr:uid="{00000000-0005-0000-0000-000069420000}"/>
    <cellStyle name="Normal 3 20 21 2" xfId="27929" xr:uid="{00000000-0005-0000-0000-00006A420000}"/>
    <cellStyle name="Normal 3 20 22" xfId="10380" xr:uid="{00000000-0005-0000-0000-00006B420000}"/>
    <cellStyle name="Normal 3 20 22 2" xfId="27930" xr:uid="{00000000-0005-0000-0000-00006C420000}"/>
    <cellStyle name="Normal 3 20 23" xfId="10381" xr:uid="{00000000-0005-0000-0000-00006D420000}"/>
    <cellStyle name="Normal 3 20 23 2" xfId="27931" xr:uid="{00000000-0005-0000-0000-00006E420000}"/>
    <cellStyle name="Normal 3 20 24" xfId="10382" xr:uid="{00000000-0005-0000-0000-00006F420000}"/>
    <cellStyle name="Normal 3 20 24 2" xfId="27932" xr:uid="{00000000-0005-0000-0000-000070420000}"/>
    <cellStyle name="Normal 3 20 25" xfId="10383" xr:uid="{00000000-0005-0000-0000-000071420000}"/>
    <cellStyle name="Normal 3 20 25 2" xfId="27933" xr:uid="{00000000-0005-0000-0000-000072420000}"/>
    <cellStyle name="Normal 3 20 26" xfId="10384" xr:uid="{00000000-0005-0000-0000-000073420000}"/>
    <cellStyle name="Normal 3 20 26 2" xfId="27934" xr:uid="{00000000-0005-0000-0000-000074420000}"/>
    <cellStyle name="Normal 3 20 27" xfId="10385" xr:uid="{00000000-0005-0000-0000-000075420000}"/>
    <cellStyle name="Normal 3 20 27 2" xfId="27935" xr:uid="{00000000-0005-0000-0000-000076420000}"/>
    <cellStyle name="Normal 3 20 28" xfId="27852" xr:uid="{00000000-0005-0000-0000-000077420000}"/>
    <cellStyle name="Normal 3 20 3" xfId="10386" xr:uid="{00000000-0005-0000-0000-000078420000}"/>
    <cellStyle name="Normal 3 20 4" xfId="10387" xr:uid="{00000000-0005-0000-0000-000079420000}"/>
    <cellStyle name="Normal 3 20 5" xfId="10388" xr:uid="{00000000-0005-0000-0000-00007A420000}"/>
    <cellStyle name="Normal 3 20 6" xfId="10389" xr:uid="{00000000-0005-0000-0000-00007B420000}"/>
    <cellStyle name="Normal 3 20 6 10" xfId="10390" xr:uid="{00000000-0005-0000-0000-00007C420000}"/>
    <cellStyle name="Normal 3 20 6 10 2" xfId="27937" xr:uid="{00000000-0005-0000-0000-00007D420000}"/>
    <cellStyle name="Normal 3 20 6 11" xfId="10391" xr:uid="{00000000-0005-0000-0000-00007E420000}"/>
    <cellStyle name="Normal 3 20 6 11 2" xfId="27938" xr:uid="{00000000-0005-0000-0000-00007F420000}"/>
    <cellStyle name="Normal 3 20 6 12" xfId="10392" xr:uid="{00000000-0005-0000-0000-000080420000}"/>
    <cellStyle name="Normal 3 20 6 12 2" xfId="27939" xr:uid="{00000000-0005-0000-0000-000081420000}"/>
    <cellStyle name="Normal 3 20 6 13" xfId="10393" xr:uid="{00000000-0005-0000-0000-000082420000}"/>
    <cellStyle name="Normal 3 20 6 13 2" xfId="27940" xr:uid="{00000000-0005-0000-0000-000083420000}"/>
    <cellStyle name="Normal 3 20 6 14" xfId="10394" xr:uid="{00000000-0005-0000-0000-000084420000}"/>
    <cellStyle name="Normal 3 20 6 14 2" xfId="27941" xr:uid="{00000000-0005-0000-0000-000085420000}"/>
    <cellStyle name="Normal 3 20 6 15" xfId="10395" xr:uid="{00000000-0005-0000-0000-000086420000}"/>
    <cellStyle name="Normal 3 20 6 15 2" xfId="27942" xr:uid="{00000000-0005-0000-0000-000087420000}"/>
    <cellStyle name="Normal 3 20 6 16" xfId="27936" xr:uid="{00000000-0005-0000-0000-000088420000}"/>
    <cellStyle name="Normal 3 20 6 2" xfId="10396" xr:uid="{00000000-0005-0000-0000-000089420000}"/>
    <cellStyle name="Normal 3 20 6 2 10" xfId="10397" xr:uid="{00000000-0005-0000-0000-00008A420000}"/>
    <cellStyle name="Normal 3 20 6 2 10 2" xfId="27944" xr:uid="{00000000-0005-0000-0000-00008B420000}"/>
    <cellStyle name="Normal 3 20 6 2 11" xfId="10398" xr:uid="{00000000-0005-0000-0000-00008C420000}"/>
    <cellStyle name="Normal 3 20 6 2 11 2" xfId="27945" xr:uid="{00000000-0005-0000-0000-00008D420000}"/>
    <cellStyle name="Normal 3 20 6 2 12" xfId="10399" xr:uid="{00000000-0005-0000-0000-00008E420000}"/>
    <cellStyle name="Normal 3 20 6 2 12 2" xfId="27946" xr:uid="{00000000-0005-0000-0000-00008F420000}"/>
    <cellStyle name="Normal 3 20 6 2 13" xfId="10400" xr:uid="{00000000-0005-0000-0000-000090420000}"/>
    <cellStyle name="Normal 3 20 6 2 13 2" xfId="27947" xr:uid="{00000000-0005-0000-0000-000091420000}"/>
    <cellStyle name="Normal 3 20 6 2 14" xfId="10401" xr:uid="{00000000-0005-0000-0000-000092420000}"/>
    <cellStyle name="Normal 3 20 6 2 14 2" xfId="27948" xr:uid="{00000000-0005-0000-0000-000093420000}"/>
    <cellStyle name="Normal 3 20 6 2 15" xfId="27943" xr:uid="{00000000-0005-0000-0000-000094420000}"/>
    <cellStyle name="Normal 3 20 6 2 2" xfId="10402" xr:uid="{00000000-0005-0000-0000-000095420000}"/>
    <cellStyle name="Normal 3 20 6 2 2 2" xfId="27949" xr:uid="{00000000-0005-0000-0000-000096420000}"/>
    <cellStyle name="Normal 3 20 6 2 3" xfId="10403" xr:uid="{00000000-0005-0000-0000-000097420000}"/>
    <cellStyle name="Normal 3 20 6 2 3 2" xfId="27950" xr:uid="{00000000-0005-0000-0000-000098420000}"/>
    <cellStyle name="Normal 3 20 6 2 4" xfId="10404" xr:uid="{00000000-0005-0000-0000-000099420000}"/>
    <cellStyle name="Normal 3 20 6 2 4 2" xfId="27951" xr:uid="{00000000-0005-0000-0000-00009A420000}"/>
    <cellStyle name="Normal 3 20 6 2 5" xfId="10405" xr:uid="{00000000-0005-0000-0000-00009B420000}"/>
    <cellStyle name="Normal 3 20 6 2 5 2" xfId="27952" xr:uid="{00000000-0005-0000-0000-00009C420000}"/>
    <cellStyle name="Normal 3 20 6 2 6" xfId="10406" xr:uid="{00000000-0005-0000-0000-00009D420000}"/>
    <cellStyle name="Normal 3 20 6 2 6 2" xfId="27953" xr:uid="{00000000-0005-0000-0000-00009E420000}"/>
    <cellStyle name="Normal 3 20 6 2 7" xfId="10407" xr:uid="{00000000-0005-0000-0000-00009F420000}"/>
    <cellStyle name="Normal 3 20 6 2 7 2" xfId="27954" xr:uid="{00000000-0005-0000-0000-0000A0420000}"/>
    <cellStyle name="Normal 3 20 6 2 8" xfId="10408" xr:uid="{00000000-0005-0000-0000-0000A1420000}"/>
    <cellStyle name="Normal 3 20 6 2 8 2" xfId="27955" xr:uid="{00000000-0005-0000-0000-0000A2420000}"/>
    <cellStyle name="Normal 3 20 6 2 9" xfId="10409" xr:uid="{00000000-0005-0000-0000-0000A3420000}"/>
    <cellStyle name="Normal 3 20 6 2 9 2" xfId="27956" xr:uid="{00000000-0005-0000-0000-0000A4420000}"/>
    <cellStyle name="Normal 3 20 6 3" xfId="10410" xr:uid="{00000000-0005-0000-0000-0000A5420000}"/>
    <cellStyle name="Normal 3 20 6 3 2" xfId="27957" xr:uid="{00000000-0005-0000-0000-0000A6420000}"/>
    <cellStyle name="Normal 3 20 6 4" xfId="10411" xr:uid="{00000000-0005-0000-0000-0000A7420000}"/>
    <cellStyle name="Normal 3 20 6 4 2" xfId="27958" xr:uid="{00000000-0005-0000-0000-0000A8420000}"/>
    <cellStyle name="Normal 3 20 6 5" xfId="10412" xr:uid="{00000000-0005-0000-0000-0000A9420000}"/>
    <cellStyle name="Normal 3 20 6 5 2" xfId="27959" xr:uid="{00000000-0005-0000-0000-0000AA420000}"/>
    <cellStyle name="Normal 3 20 6 6" xfId="10413" xr:uid="{00000000-0005-0000-0000-0000AB420000}"/>
    <cellStyle name="Normal 3 20 6 6 2" xfId="27960" xr:uid="{00000000-0005-0000-0000-0000AC420000}"/>
    <cellStyle name="Normal 3 20 6 7" xfId="10414" xr:uid="{00000000-0005-0000-0000-0000AD420000}"/>
    <cellStyle name="Normal 3 20 6 7 2" xfId="27961" xr:uid="{00000000-0005-0000-0000-0000AE420000}"/>
    <cellStyle name="Normal 3 20 6 8" xfId="10415" xr:uid="{00000000-0005-0000-0000-0000AF420000}"/>
    <cellStyle name="Normal 3 20 6 8 2" xfId="27962" xr:uid="{00000000-0005-0000-0000-0000B0420000}"/>
    <cellStyle name="Normal 3 20 6 9" xfId="10416" xr:uid="{00000000-0005-0000-0000-0000B1420000}"/>
    <cellStyle name="Normal 3 20 6 9 2" xfId="27963" xr:uid="{00000000-0005-0000-0000-0000B2420000}"/>
    <cellStyle name="Normal 3 20 7" xfId="10417" xr:uid="{00000000-0005-0000-0000-0000B3420000}"/>
    <cellStyle name="Normal 3 20 7 10" xfId="10418" xr:uid="{00000000-0005-0000-0000-0000B4420000}"/>
    <cellStyle name="Normal 3 20 7 10 2" xfId="27965" xr:uid="{00000000-0005-0000-0000-0000B5420000}"/>
    <cellStyle name="Normal 3 20 7 11" xfId="10419" xr:uid="{00000000-0005-0000-0000-0000B6420000}"/>
    <cellStyle name="Normal 3 20 7 11 2" xfId="27966" xr:uid="{00000000-0005-0000-0000-0000B7420000}"/>
    <cellStyle name="Normal 3 20 7 12" xfId="10420" xr:uid="{00000000-0005-0000-0000-0000B8420000}"/>
    <cellStyle name="Normal 3 20 7 12 2" xfId="27967" xr:uid="{00000000-0005-0000-0000-0000B9420000}"/>
    <cellStyle name="Normal 3 20 7 13" xfId="10421" xr:uid="{00000000-0005-0000-0000-0000BA420000}"/>
    <cellStyle name="Normal 3 20 7 13 2" xfId="27968" xr:uid="{00000000-0005-0000-0000-0000BB420000}"/>
    <cellStyle name="Normal 3 20 7 14" xfId="10422" xr:uid="{00000000-0005-0000-0000-0000BC420000}"/>
    <cellStyle name="Normal 3 20 7 14 2" xfId="27969" xr:uid="{00000000-0005-0000-0000-0000BD420000}"/>
    <cellStyle name="Normal 3 20 7 15" xfId="10423" xr:uid="{00000000-0005-0000-0000-0000BE420000}"/>
    <cellStyle name="Normal 3 20 7 15 2" xfId="27970" xr:uid="{00000000-0005-0000-0000-0000BF420000}"/>
    <cellStyle name="Normal 3 20 7 16" xfId="27964" xr:uid="{00000000-0005-0000-0000-0000C0420000}"/>
    <cellStyle name="Normal 3 20 7 2" xfId="10424" xr:uid="{00000000-0005-0000-0000-0000C1420000}"/>
    <cellStyle name="Normal 3 20 7 2 10" xfId="10425" xr:uid="{00000000-0005-0000-0000-0000C2420000}"/>
    <cellStyle name="Normal 3 20 7 2 10 2" xfId="27972" xr:uid="{00000000-0005-0000-0000-0000C3420000}"/>
    <cellStyle name="Normal 3 20 7 2 11" xfId="10426" xr:uid="{00000000-0005-0000-0000-0000C4420000}"/>
    <cellStyle name="Normal 3 20 7 2 11 2" xfId="27973" xr:uid="{00000000-0005-0000-0000-0000C5420000}"/>
    <cellStyle name="Normal 3 20 7 2 12" xfId="10427" xr:uid="{00000000-0005-0000-0000-0000C6420000}"/>
    <cellStyle name="Normal 3 20 7 2 12 2" xfId="27974" xr:uid="{00000000-0005-0000-0000-0000C7420000}"/>
    <cellStyle name="Normal 3 20 7 2 13" xfId="10428" xr:uid="{00000000-0005-0000-0000-0000C8420000}"/>
    <cellStyle name="Normal 3 20 7 2 13 2" xfId="27975" xr:uid="{00000000-0005-0000-0000-0000C9420000}"/>
    <cellStyle name="Normal 3 20 7 2 14" xfId="10429" xr:uid="{00000000-0005-0000-0000-0000CA420000}"/>
    <cellStyle name="Normal 3 20 7 2 14 2" xfId="27976" xr:uid="{00000000-0005-0000-0000-0000CB420000}"/>
    <cellStyle name="Normal 3 20 7 2 15" xfId="27971" xr:uid="{00000000-0005-0000-0000-0000CC420000}"/>
    <cellStyle name="Normal 3 20 7 2 2" xfId="10430" xr:uid="{00000000-0005-0000-0000-0000CD420000}"/>
    <cellStyle name="Normal 3 20 7 2 2 2" xfId="27977" xr:uid="{00000000-0005-0000-0000-0000CE420000}"/>
    <cellStyle name="Normal 3 20 7 2 3" xfId="10431" xr:uid="{00000000-0005-0000-0000-0000CF420000}"/>
    <cellStyle name="Normal 3 20 7 2 3 2" xfId="27978" xr:uid="{00000000-0005-0000-0000-0000D0420000}"/>
    <cellStyle name="Normal 3 20 7 2 4" xfId="10432" xr:uid="{00000000-0005-0000-0000-0000D1420000}"/>
    <cellStyle name="Normal 3 20 7 2 4 2" xfId="27979" xr:uid="{00000000-0005-0000-0000-0000D2420000}"/>
    <cellStyle name="Normal 3 20 7 2 5" xfId="10433" xr:uid="{00000000-0005-0000-0000-0000D3420000}"/>
    <cellStyle name="Normal 3 20 7 2 5 2" xfId="27980" xr:uid="{00000000-0005-0000-0000-0000D4420000}"/>
    <cellStyle name="Normal 3 20 7 2 6" xfId="10434" xr:uid="{00000000-0005-0000-0000-0000D5420000}"/>
    <cellStyle name="Normal 3 20 7 2 6 2" xfId="27981" xr:uid="{00000000-0005-0000-0000-0000D6420000}"/>
    <cellStyle name="Normal 3 20 7 2 7" xfId="10435" xr:uid="{00000000-0005-0000-0000-0000D7420000}"/>
    <cellStyle name="Normal 3 20 7 2 7 2" xfId="27982" xr:uid="{00000000-0005-0000-0000-0000D8420000}"/>
    <cellStyle name="Normal 3 20 7 2 8" xfId="10436" xr:uid="{00000000-0005-0000-0000-0000D9420000}"/>
    <cellStyle name="Normal 3 20 7 2 8 2" xfId="27983" xr:uid="{00000000-0005-0000-0000-0000DA420000}"/>
    <cellStyle name="Normal 3 20 7 2 9" xfId="10437" xr:uid="{00000000-0005-0000-0000-0000DB420000}"/>
    <cellStyle name="Normal 3 20 7 2 9 2" xfId="27984" xr:uid="{00000000-0005-0000-0000-0000DC420000}"/>
    <cellStyle name="Normal 3 20 7 3" xfId="10438" xr:uid="{00000000-0005-0000-0000-0000DD420000}"/>
    <cellStyle name="Normal 3 20 7 3 2" xfId="27985" xr:uid="{00000000-0005-0000-0000-0000DE420000}"/>
    <cellStyle name="Normal 3 20 7 4" xfId="10439" xr:uid="{00000000-0005-0000-0000-0000DF420000}"/>
    <cellStyle name="Normal 3 20 7 4 2" xfId="27986" xr:uid="{00000000-0005-0000-0000-0000E0420000}"/>
    <cellStyle name="Normal 3 20 7 5" xfId="10440" xr:uid="{00000000-0005-0000-0000-0000E1420000}"/>
    <cellStyle name="Normal 3 20 7 5 2" xfId="27987" xr:uid="{00000000-0005-0000-0000-0000E2420000}"/>
    <cellStyle name="Normal 3 20 7 6" xfId="10441" xr:uid="{00000000-0005-0000-0000-0000E3420000}"/>
    <cellStyle name="Normal 3 20 7 6 2" xfId="27988" xr:uid="{00000000-0005-0000-0000-0000E4420000}"/>
    <cellStyle name="Normal 3 20 7 7" xfId="10442" xr:uid="{00000000-0005-0000-0000-0000E5420000}"/>
    <cellStyle name="Normal 3 20 7 7 2" xfId="27989" xr:uid="{00000000-0005-0000-0000-0000E6420000}"/>
    <cellStyle name="Normal 3 20 7 8" xfId="10443" xr:uid="{00000000-0005-0000-0000-0000E7420000}"/>
    <cellStyle name="Normal 3 20 7 8 2" xfId="27990" xr:uid="{00000000-0005-0000-0000-0000E8420000}"/>
    <cellStyle name="Normal 3 20 7 9" xfId="10444" xr:uid="{00000000-0005-0000-0000-0000E9420000}"/>
    <cellStyle name="Normal 3 20 7 9 2" xfId="27991" xr:uid="{00000000-0005-0000-0000-0000EA420000}"/>
    <cellStyle name="Normal 3 20 8" xfId="10445" xr:uid="{00000000-0005-0000-0000-0000EB420000}"/>
    <cellStyle name="Normal 3 20 8 10" xfId="10446" xr:uid="{00000000-0005-0000-0000-0000EC420000}"/>
    <cellStyle name="Normal 3 20 8 10 2" xfId="27993" xr:uid="{00000000-0005-0000-0000-0000ED420000}"/>
    <cellStyle name="Normal 3 20 8 11" xfId="10447" xr:uid="{00000000-0005-0000-0000-0000EE420000}"/>
    <cellStyle name="Normal 3 20 8 11 2" xfId="27994" xr:uid="{00000000-0005-0000-0000-0000EF420000}"/>
    <cellStyle name="Normal 3 20 8 12" xfId="10448" xr:uid="{00000000-0005-0000-0000-0000F0420000}"/>
    <cellStyle name="Normal 3 20 8 12 2" xfId="27995" xr:uid="{00000000-0005-0000-0000-0000F1420000}"/>
    <cellStyle name="Normal 3 20 8 13" xfId="10449" xr:uid="{00000000-0005-0000-0000-0000F2420000}"/>
    <cellStyle name="Normal 3 20 8 13 2" xfId="27996" xr:uid="{00000000-0005-0000-0000-0000F3420000}"/>
    <cellStyle name="Normal 3 20 8 14" xfId="10450" xr:uid="{00000000-0005-0000-0000-0000F4420000}"/>
    <cellStyle name="Normal 3 20 8 14 2" xfId="27997" xr:uid="{00000000-0005-0000-0000-0000F5420000}"/>
    <cellStyle name="Normal 3 20 8 15" xfId="10451" xr:uid="{00000000-0005-0000-0000-0000F6420000}"/>
    <cellStyle name="Normal 3 20 8 15 2" xfId="27998" xr:uid="{00000000-0005-0000-0000-0000F7420000}"/>
    <cellStyle name="Normal 3 20 8 16" xfId="27992" xr:uid="{00000000-0005-0000-0000-0000F8420000}"/>
    <cellStyle name="Normal 3 20 8 2" xfId="10452" xr:uid="{00000000-0005-0000-0000-0000F9420000}"/>
    <cellStyle name="Normal 3 20 8 2 10" xfId="10453" xr:uid="{00000000-0005-0000-0000-0000FA420000}"/>
    <cellStyle name="Normal 3 20 8 2 10 2" xfId="28000" xr:uid="{00000000-0005-0000-0000-0000FB420000}"/>
    <cellStyle name="Normal 3 20 8 2 11" xfId="10454" xr:uid="{00000000-0005-0000-0000-0000FC420000}"/>
    <cellStyle name="Normal 3 20 8 2 11 2" xfId="28001" xr:uid="{00000000-0005-0000-0000-0000FD420000}"/>
    <cellStyle name="Normal 3 20 8 2 12" xfId="10455" xr:uid="{00000000-0005-0000-0000-0000FE420000}"/>
    <cellStyle name="Normal 3 20 8 2 12 2" xfId="28002" xr:uid="{00000000-0005-0000-0000-0000FF420000}"/>
    <cellStyle name="Normal 3 20 8 2 13" xfId="10456" xr:uid="{00000000-0005-0000-0000-000000430000}"/>
    <cellStyle name="Normal 3 20 8 2 13 2" xfId="28003" xr:uid="{00000000-0005-0000-0000-000001430000}"/>
    <cellStyle name="Normal 3 20 8 2 14" xfId="10457" xr:uid="{00000000-0005-0000-0000-000002430000}"/>
    <cellStyle name="Normal 3 20 8 2 14 2" xfId="28004" xr:uid="{00000000-0005-0000-0000-000003430000}"/>
    <cellStyle name="Normal 3 20 8 2 15" xfId="27999" xr:uid="{00000000-0005-0000-0000-000004430000}"/>
    <cellStyle name="Normal 3 20 8 2 2" xfId="10458" xr:uid="{00000000-0005-0000-0000-000005430000}"/>
    <cellStyle name="Normal 3 20 8 2 2 2" xfId="28005" xr:uid="{00000000-0005-0000-0000-000006430000}"/>
    <cellStyle name="Normal 3 20 8 2 3" xfId="10459" xr:uid="{00000000-0005-0000-0000-000007430000}"/>
    <cellStyle name="Normal 3 20 8 2 3 2" xfId="28006" xr:uid="{00000000-0005-0000-0000-000008430000}"/>
    <cellStyle name="Normal 3 20 8 2 4" xfId="10460" xr:uid="{00000000-0005-0000-0000-000009430000}"/>
    <cellStyle name="Normal 3 20 8 2 4 2" xfId="28007" xr:uid="{00000000-0005-0000-0000-00000A430000}"/>
    <cellStyle name="Normal 3 20 8 2 5" xfId="10461" xr:uid="{00000000-0005-0000-0000-00000B430000}"/>
    <cellStyle name="Normal 3 20 8 2 5 2" xfId="28008" xr:uid="{00000000-0005-0000-0000-00000C430000}"/>
    <cellStyle name="Normal 3 20 8 2 6" xfId="10462" xr:uid="{00000000-0005-0000-0000-00000D430000}"/>
    <cellStyle name="Normal 3 20 8 2 6 2" xfId="28009" xr:uid="{00000000-0005-0000-0000-00000E430000}"/>
    <cellStyle name="Normal 3 20 8 2 7" xfId="10463" xr:uid="{00000000-0005-0000-0000-00000F430000}"/>
    <cellStyle name="Normal 3 20 8 2 7 2" xfId="28010" xr:uid="{00000000-0005-0000-0000-000010430000}"/>
    <cellStyle name="Normal 3 20 8 2 8" xfId="10464" xr:uid="{00000000-0005-0000-0000-000011430000}"/>
    <cellStyle name="Normal 3 20 8 2 8 2" xfId="28011" xr:uid="{00000000-0005-0000-0000-000012430000}"/>
    <cellStyle name="Normal 3 20 8 2 9" xfId="10465" xr:uid="{00000000-0005-0000-0000-000013430000}"/>
    <cellStyle name="Normal 3 20 8 2 9 2" xfId="28012" xr:uid="{00000000-0005-0000-0000-000014430000}"/>
    <cellStyle name="Normal 3 20 8 3" xfId="10466" xr:uid="{00000000-0005-0000-0000-000015430000}"/>
    <cellStyle name="Normal 3 20 8 3 2" xfId="28013" xr:uid="{00000000-0005-0000-0000-000016430000}"/>
    <cellStyle name="Normal 3 20 8 4" xfId="10467" xr:uid="{00000000-0005-0000-0000-000017430000}"/>
    <cellStyle name="Normal 3 20 8 4 2" xfId="28014" xr:uid="{00000000-0005-0000-0000-000018430000}"/>
    <cellStyle name="Normal 3 20 8 5" xfId="10468" xr:uid="{00000000-0005-0000-0000-000019430000}"/>
    <cellStyle name="Normal 3 20 8 5 2" xfId="28015" xr:uid="{00000000-0005-0000-0000-00001A430000}"/>
    <cellStyle name="Normal 3 20 8 6" xfId="10469" xr:uid="{00000000-0005-0000-0000-00001B430000}"/>
    <cellStyle name="Normal 3 20 8 6 2" xfId="28016" xr:uid="{00000000-0005-0000-0000-00001C430000}"/>
    <cellStyle name="Normal 3 20 8 7" xfId="10470" xr:uid="{00000000-0005-0000-0000-00001D430000}"/>
    <cellStyle name="Normal 3 20 8 7 2" xfId="28017" xr:uid="{00000000-0005-0000-0000-00001E430000}"/>
    <cellStyle name="Normal 3 20 8 8" xfId="10471" xr:uid="{00000000-0005-0000-0000-00001F430000}"/>
    <cellStyle name="Normal 3 20 8 8 2" xfId="28018" xr:uid="{00000000-0005-0000-0000-000020430000}"/>
    <cellStyle name="Normal 3 20 8 9" xfId="10472" xr:uid="{00000000-0005-0000-0000-000021430000}"/>
    <cellStyle name="Normal 3 20 8 9 2" xfId="28019" xr:uid="{00000000-0005-0000-0000-000022430000}"/>
    <cellStyle name="Normal 3 20 9" xfId="10473" xr:uid="{00000000-0005-0000-0000-000023430000}"/>
    <cellStyle name="Normal 3 20 9 10" xfId="10474" xr:uid="{00000000-0005-0000-0000-000024430000}"/>
    <cellStyle name="Normal 3 20 9 10 2" xfId="28021" xr:uid="{00000000-0005-0000-0000-000025430000}"/>
    <cellStyle name="Normal 3 20 9 11" xfId="10475" xr:uid="{00000000-0005-0000-0000-000026430000}"/>
    <cellStyle name="Normal 3 20 9 11 2" xfId="28022" xr:uid="{00000000-0005-0000-0000-000027430000}"/>
    <cellStyle name="Normal 3 20 9 12" xfId="10476" xr:uid="{00000000-0005-0000-0000-000028430000}"/>
    <cellStyle name="Normal 3 20 9 12 2" xfId="28023" xr:uid="{00000000-0005-0000-0000-000029430000}"/>
    <cellStyle name="Normal 3 20 9 13" xfId="10477" xr:uid="{00000000-0005-0000-0000-00002A430000}"/>
    <cellStyle name="Normal 3 20 9 13 2" xfId="28024" xr:uid="{00000000-0005-0000-0000-00002B430000}"/>
    <cellStyle name="Normal 3 20 9 14" xfId="10478" xr:uid="{00000000-0005-0000-0000-00002C430000}"/>
    <cellStyle name="Normal 3 20 9 14 2" xfId="28025" xr:uid="{00000000-0005-0000-0000-00002D430000}"/>
    <cellStyle name="Normal 3 20 9 15" xfId="28020" xr:uid="{00000000-0005-0000-0000-00002E430000}"/>
    <cellStyle name="Normal 3 20 9 2" xfId="10479" xr:uid="{00000000-0005-0000-0000-00002F430000}"/>
    <cellStyle name="Normal 3 20 9 2 2" xfId="28026" xr:uid="{00000000-0005-0000-0000-000030430000}"/>
    <cellStyle name="Normal 3 20 9 3" xfId="10480" xr:uid="{00000000-0005-0000-0000-000031430000}"/>
    <cellStyle name="Normal 3 20 9 3 2" xfId="28027" xr:uid="{00000000-0005-0000-0000-000032430000}"/>
    <cellStyle name="Normal 3 20 9 4" xfId="10481" xr:uid="{00000000-0005-0000-0000-000033430000}"/>
    <cellStyle name="Normal 3 20 9 4 2" xfId="28028" xr:uid="{00000000-0005-0000-0000-000034430000}"/>
    <cellStyle name="Normal 3 20 9 5" xfId="10482" xr:uid="{00000000-0005-0000-0000-000035430000}"/>
    <cellStyle name="Normal 3 20 9 5 2" xfId="28029" xr:uid="{00000000-0005-0000-0000-000036430000}"/>
    <cellStyle name="Normal 3 20 9 6" xfId="10483" xr:uid="{00000000-0005-0000-0000-000037430000}"/>
    <cellStyle name="Normal 3 20 9 6 2" xfId="28030" xr:uid="{00000000-0005-0000-0000-000038430000}"/>
    <cellStyle name="Normal 3 20 9 7" xfId="10484" xr:uid="{00000000-0005-0000-0000-000039430000}"/>
    <cellStyle name="Normal 3 20 9 7 2" xfId="28031" xr:uid="{00000000-0005-0000-0000-00003A430000}"/>
    <cellStyle name="Normal 3 20 9 8" xfId="10485" xr:uid="{00000000-0005-0000-0000-00003B430000}"/>
    <cellStyle name="Normal 3 20 9 8 2" xfId="28032" xr:uid="{00000000-0005-0000-0000-00003C430000}"/>
    <cellStyle name="Normal 3 20 9 9" xfId="10486" xr:uid="{00000000-0005-0000-0000-00003D430000}"/>
    <cellStyle name="Normal 3 20 9 9 2" xfId="28033" xr:uid="{00000000-0005-0000-0000-00003E430000}"/>
    <cellStyle name="Normal 3 21" xfId="10487" xr:uid="{00000000-0005-0000-0000-00003F430000}"/>
    <cellStyle name="Normal 3 21 10" xfId="10488" xr:uid="{00000000-0005-0000-0000-000040430000}"/>
    <cellStyle name="Normal 3 21 10 10" xfId="10489" xr:uid="{00000000-0005-0000-0000-000041430000}"/>
    <cellStyle name="Normal 3 21 10 10 2" xfId="28036" xr:uid="{00000000-0005-0000-0000-000042430000}"/>
    <cellStyle name="Normal 3 21 10 11" xfId="10490" xr:uid="{00000000-0005-0000-0000-000043430000}"/>
    <cellStyle name="Normal 3 21 10 11 2" xfId="28037" xr:uid="{00000000-0005-0000-0000-000044430000}"/>
    <cellStyle name="Normal 3 21 10 12" xfId="10491" xr:uid="{00000000-0005-0000-0000-000045430000}"/>
    <cellStyle name="Normal 3 21 10 12 2" xfId="28038" xr:uid="{00000000-0005-0000-0000-000046430000}"/>
    <cellStyle name="Normal 3 21 10 13" xfId="10492" xr:uid="{00000000-0005-0000-0000-000047430000}"/>
    <cellStyle name="Normal 3 21 10 13 2" xfId="28039" xr:uid="{00000000-0005-0000-0000-000048430000}"/>
    <cellStyle name="Normal 3 21 10 14" xfId="10493" xr:uid="{00000000-0005-0000-0000-000049430000}"/>
    <cellStyle name="Normal 3 21 10 14 2" xfId="28040" xr:uid="{00000000-0005-0000-0000-00004A430000}"/>
    <cellStyle name="Normal 3 21 10 15" xfId="28035" xr:uid="{00000000-0005-0000-0000-00004B430000}"/>
    <cellStyle name="Normal 3 21 10 2" xfId="10494" xr:uid="{00000000-0005-0000-0000-00004C430000}"/>
    <cellStyle name="Normal 3 21 10 2 2" xfId="28041" xr:uid="{00000000-0005-0000-0000-00004D430000}"/>
    <cellStyle name="Normal 3 21 10 3" xfId="10495" xr:uid="{00000000-0005-0000-0000-00004E430000}"/>
    <cellStyle name="Normal 3 21 10 3 2" xfId="28042" xr:uid="{00000000-0005-0000-0000-00004F430000}"/>
    <cellStyle name="Normal 3 21 10 4" xfId="10496" xr:uid="{00000000-0005-0000-0000-000050430000}"/>
    <cellStyle name="Normal 3 21 10 4 2" xfId="28043" xr:uid="{00000000-0005-0000-0000-000051430000}"/>
    <cellStyle name="Normal 3 21 10 5" xfId="10497" xr:uid="{00000000-0005-0000-0000-000052430000}"/>
    <cellStyle name="Normal 3 21 10 5 2" xfId="28044" xr:uid="{00000000-0005-0000-0000-000053430000}"/>
    <cellStyle name="Normal 3 21 10 6" xfId="10498" xr:uid="{00000000-0005-0000-0000-000054430000}"/>
    <cellStyle name="Normal 3 21 10 6 2" xfId="28045" xr:uid="{00000000-0005-0000-0000-000055430000}"/>
    <cellStyle name="Normal 3 21 10 7" xfId="10499" xr:uid="{00000000-0005-0000-0000-000056430000}"/>
    <cellStyle name="Normal 3 21 10 7 2" xfId="28046" xr:uid="{00000000-0005-0000-0000-000057430000}"/>
    <cellStyle name="Normal 3 21 10 8" xfId="10500" xr:uid="{00000000-0005-0000-0000-000058430000}"/>
    <cellStyle name="Normal 3 21 10 8 2" xfId="28047" xr:uid="{00000000-0005-0000-0000-000059430000}"/>
    <cellStyle name="Normal 3 21 10 9" xfId="10501" xr:uid="{00000000-0005-0000-0000-00005A430000}"/>
    <cellStyle name="Normal 3 21 10 9 2" xfId="28048" xr:uid="{00000000-0005-0000-0000-00005B430000}"/>
    <cellStyle name="Normal 3 21 11" xfId="10502" xr:uid="{00000000-0005-0000-0000-00005C430000}"/>
    <cellStyle name="Normal 3 21 11 10" xfId="10503" xr:uid="{00000000-0005-0000-0000-00005D430000}"/>
    <cellStyle name="Normal 3 21 11 10 2" xfId="28050" xr:uid="{00000000-0005-0000-0000-00005E430000}"/>
    <cellStyle name="Normal 3 21 11 11" xfId="10504" xr:uid="{00000000-0005-0000-0000-00005F430000}"/>
    <cellStyle name="Normal 3 21 11 11 2" xfId="28051" xr:uid="{00000000-0005-0000-0000-000060430000}"/>
    <cellStyle name="Normal 3 21 11 12" xfId="10505" xr:uid="{00000000-0005-0000-0000-000061430000}"/>
    <cellStyle name="Normal 3 21 11 12 2" xfId="28052" xr:uid="{00000000-0005-0000-0000-000062430000}"/>
    <cellStyle name="Normal 3 21 11 13" xfId="10506" xr:uid="{00000000-0005-0000-0000-000063430000}"/>
    <cellStyle name="Normal 3 21 11 13 2" xfId="28053" xr:uid="{00000000-0005-0000-0000-000064430000}"/>
    <cellStyle name="Normal 3 21 11 14" xfId="10507" xr:uid="{00000000-0005-0000-0000-000065430000}"/>
    <cellStyle name="Normal 3 21 11 14 2" xfId="28054" xr:uid="{00000000-0005-0000-0000-000066430000}"/>
    <cellStyle name="Normal 3 21 11 15" xfId="28049" xr:uid="{00000000-0005-0000-0000-000067430000}"/>
    <cellStyle name="Normal 3 21 11 2" xfId="10508" xr:uid="{00000000-0005-0000-0000-000068430000}"/>
    <cellStyle name="Normal 3 21 11 2 2" xfId="28055" xr:uid="{00000000-0005-0000-0000-000069430000}"/>
    <cellStyle name="Normal 3 21 11 3" xfId="10509" xr:uid="{00000000-0005-0000-0000-00006A430000}"/>
    <cellStyle name="Normal 3 21 11 3 2" xfId="28056" xr:uid="{00000000-0005-0000-0000-00006B430000}"/>
    <cellStyle name="Normal 3 21 11 4" xfId="10510" xr:uid="{00000000-0005-0000-0000-00006C430000}"/>
    <cellStyle name="Normal 3 21 11 4 2" xfId="28057" xr:uid="{00000000-0005-0000-0000-00006D430000}"/>
    <cellStyle name="Normal 3 21 11 5" xfId="10511" xr:uid="{00000000-0005-0000-0000-00006E430000}"/>
    <cellStyle name="Normal 3 21 11 5 2" xfId="28058" xr:uid="{00000000-0005-0000-0000-00006F430000}"/>
    <cellStyle name="Normal 3 21 11 6" xfId="10512" xr:uid="{00000000-0005-0000-0000-000070430000}"/>
    <cellStyle name="Normal 3 21 11 6 2" xfId="28059" xr:uid="{00000000-0005-0000-0000-000071430000}"/>
    <cellStyle name="Normal 3 21 11 7" xfId="10513" xr:uid="{00000000-0005-0000-0000-000072430000}"/>
    <cellStyle name="Normal 3 21 11 7 2" xfId="28060" xr:uid="{00000000-0005-0000-0000-000073430000}"/>
    <cellStyle name="Normal 3 21 11 8" xfId="10514" xr:uid="{00000000-0005-0000-0000-000074430000}"/>
    <cellStyle name="Normal 3 21 11 8 2" xfId="28061" xr:uid="{00000000-0005-0000-0000-000075430000}"/>
    <cellStyle name="Normal 3 21 11 9" xfId="10515" xr:uid="{00000000-0005-0000-0000-000076430000}"/>
    <cellStyle name="Normal 3 21 11 9 2" xfId="28062" xr:uid="{00000000-0005-0000-0000-000077430000}"/>
    <cellStyle name="Normal 3 21 12" xfId="10516" xr:uid="{00000000-0005-0000-0000-000078430000}"/>
    <cellStyle name="Normal 3 21 12 10" xfId="10517" xr:uid="{00000000-0005-0000-0000-000079430000}"/>
    <cellStyle name="Normal 3 21 12 10 2" xfId="28064" xr:uid="{00000000-0005-0000-0000-00007A430000}"/>
    <cellStyle name="Normal 3 21 12 11" xfId="10518" xr:uid="{00000000-0005-0000-0000-00007B430000}"/>
    <cellStyle name="Normal 3 21 12 11 2" xfId="28065" xr:uid="{00000000-0005-0000-0000-00007C430000}"/>
    <cellStyle name="Normal 3 21 12 12" xfId="10519" xr:uid="{00000000-0005-0000-0000-00007D430000}"/>
    <cellStyle name="Normal 3 21 12 12 2" xfId="28066" xr:uid="{00000000-0005-0000-0000-00007E430000}"/>
    <cellStyle name="Normal 3 21 12 13" xfId="10520" xr:uid="{00000000-0005-0000-0000-00007F430000}"/>
    <cellStyle name="Normal 3 21 12 13 2" xfId="28067" xr:uid="{00000000-0005-0000-0000-000080430000}"/>
    <cellStyle name="Normal 3 21 12 14" xfId="10521" xr:uid="{00000000-0005-0000-0000-000081430000}"/>
    <cellStyle name="Normal 3 21 12 14 2" xfId="28068" xr:uid="{00000000-0005-0000-0000-000082430000}"/>
    <cellStyle name="Normal 3 21 12 15" xfId="28063" xr:uid="{00000000-0005-0000-0000-000083430000}"/>
    <cellStyle name="Normal 3 21 12 2" xfId="10522" xr:uid="{00000000-0005-0000-0000-000084430000}"/>
    <cellStyle name="Normal 3 21 12 2 2" xfId="28069" xr:uid="{00000000-0005-0000-0000-000085430000}"/>
    <cellStyle name="Normal 3 21 12 3" xfId="10523" xr:uid="{00000000-0005-0000-0000-000086430000}"/>
    <cellStyle name="Normal 3 21 12 3 2" xfId="28070" xr:uid="{00000000-0005-0000-0000-000087430000}"/>
    <cellStyle name="Normal 3 21 12 4" xfId="10524" xr:uid="{00000000-0005-0000-0000-000088430000}"/>
    <cellStyle name="Normal 3 21 12 4 2" xfId="28071" xr:uid="{00000000-0005-0000-0000-000089430000}"/>
    <cellStyle name="Normal 3 21 12 5" xfId="10525" xr:uid="{00000000-0005-0000-0000-00008A430000}"/>
    <cellStyle name="Normal 3 21 12 5 2" xfId="28072" xr:uid="{00000000-0005-0000-0000-00008B430000}"/>
    <cellStyle name="Normal 3 21 12 6" xfId="10526" xr:uid="{00000000-0005-0000-0000-00008C430000}"/>
    <cellStyle name="Normal 3 21 12 6 2" xfId="28073" xr:uid="{00000000-0005-0000-0000-00008D430000}"/>
    <cellStyle name="Normal 3 21 12 7" xfId="10527" xr:uid="{00000000-0005-0000-0000-00008E430000}"/>
    <cellStyle name="Normal 3 21 12 7 2" xfId="28074" xr:uid="{00000000-0005-0000-0000-00008F430000}"/>
    <cellStyle name="Normal 3 21 12 8" xfId="10528" xr:uid="{00000000-0005-0000-0000-000090430000}"/>
    <cellStyle name="Normal 3 21 12 8 2" xfId="28075" xr:uid="{00000000-0005-0000-0000-000091430000}"/>
    <cellStyle name="Normal 3 21 12 9" xfId="10529" xr:uid="{00000000-0005-0000-0000-000092430000}"/>
    <cellStyle name="Normal 3 21 12 9 2" xfId="28076" xr:uid="{00000000-0005-0000-0000-000093430000}"/>
    <cellStyle name="Normal 3 21 13" xfId="10530" xr:uid="{00000000-0005-0000-0000-000094430000}"/>
    <cellStyle name="Normal 3 21 13 10" xfId="10531" xr:uid="{00000000-0005-0000-0000-000095430000}"/>
    <cellStyle name="Normal 3 21 13 10 2" xfId="28078" xr:uid="{00000000-0005-0000-0000-000096430000}"/>
    <cellStyle name="Normal 3 21 13 11" xfId="10532" xr:uid="{00000000-0005-0000-0000-000097430000}"/>
    <cellStyle name="Normal 3 21 13 11 2" xfId="28079" xr:uid="{00000000-0005-0000-0000-000098430000}"/>
    <cellStyle name="Normal 3 21 13 12" xfId="10533" xr:uid="{00000000-0005-0000-0000-000099430000}"/>
    <cellStyle name="Normal 3 21 13 12 2" xfId="28080" xr:uid="{00000000-0005-0000-0000-00009A430000}"/>
    <cellStyle name="Normal 3 21 13 13" xfId="10534" xr:uid="{00000000-0005-0000-0000-00009B430000}"/>
    <cellStyle name="Normal 3 21 13 13 2" xfId="28081" xr:uid="{00000000-0005-0000-0000-00009C430000}"/>
    <cellStyle name="Normal 3 21 13 14" xfId="10535" xr:uid="{00000000-0005-0000-0000-00009D430000}"/>
    <cellStyle name="Normal 3 21 13 14 2" xfId="28082" xr:uid="{00000000-0005-0000-0000-00009E430000}"/>
    <cellStyle name="Normal 3 21 13 15" xfId="28077" xr:uid="{00000000-0005-0000-0000-00009F430000}"/>
    <cellStyle name="Normal 3 21 13 2" xfId="10536" xr:uid="{00000000-0005-0000-0000-0000A0430000}"/>
    <cellStyle name="Normal 3 21 13 2 2" xfId="28083" xr:uid="{00000000-0005-0000-0000-0000A1430000}"/>
    <cellStyle name="Normal 3 21 13 3" xfId="10537" xr:uid="{00000000-0005-0000-0000-0000A2430000}"/>
    <cellStyle name="Normal 3 21 13 3 2" xfId="28084" xr:uid="{00000000-0005-0000-0000-0000A3430000}"/>
    <cellStyle name="Normal 3 21 13 4" xfId="10538" xr:uid="{00000000-0005-0000-0000-0000A4430000}"/>
    <cellStyle name="Normal 3 21 13 4 2" xfId="28085" xr:uid="{00000000-0005-0000-0000-0000A5430000}"/>
    <cellStyle name="Normal 3 21 13 5" xfId="10539" xr:uid="{00000000-0005-0000-0000-0000A6430000}"/>
    <cellStyle name="Normal 3 21 13 5 2" xfId="28086" xr:uid="{00000000-0005-0000-0000-0000A7430000}"/>
    <cellStyle name="Normal 3 21 13 6" xfId="10540" xr:uid="{00000000-0005-0000-0000-0000A8430000}"/>
    <cellStyle name="Normal 3 21 13 6 2" xfId="28087" xr:uid="{00000000-0005-0000-0000-0000A9430000}"/>
    <cellStyle name="Normal 3 21 13 7" xfId="10541" xr:uid="{00000000-0005-0000-0000-0000AA430000}"/>
    <cellStyle name="Normal 3 21 13 7 2" xfId="28088" xr:uid="{00000000-0005-0000-0000-0000AB430000}"/>
    <cellStyle name="Normal 3 21 13 8" xfId="10542" xr:uid="{00000000-0005-0000-0000-0000AC430000}"/>
    <cellStyle name="Normal 3 21 13 8 2" xfId="28089" xr:uid="{00000000-0005-0000-0000-0000AD430000}"/>
    <cellStyle name="Normal 3 21 13 9" xfId="10543" xr:uid="{00000000-0005-0000-0000-0000AE430000}"/>
    <cellStyle name="Normal 3 21 13 9 2" xfId="28090" xr:uid="{00000000-0005-0000-0000-0000AF430000}"/>
    <cellStyle name="Normal 3 21 14" xfId="10544" xr:uid="{00000000-0005-0000-0000-0000B0430000}"/>
    <cellStyle name="Normal 3 21 14 10" xfId="10545" xr:uid="{00000000-0005-0000-0000-0000B1430000}"/>
    <cellStyle name="Normal 3 21 14 10 2" xfId="28092" xr:uid="{00000000-0005-0000-0000-0000B2430000}"/>
    <cellStyle name="Normal 3 21 14 11" xfId="10546" xr:uid="{00000000-0005-0000-0000-0000B3430000}"/>
    <cellStyle name="Normal 3 21 14 11 2" xfId="28093" xr:uid="{00000000-0005-0000-0000-0000B4430000}"/>
    <cellStyle name="Normal 3 21 14 12" xfId="10547" xr:uid="{00000000-0005-0000-0000-0000B5430000}"/>
    <cellStyle name="Normal 3 21 14 12 2" xfId="28094" xr:uid="{00000000-0005-0000-0000-0000B6430000}"/>
    <cellStyle name="Normal 3 21 14 13" xfId="10548" xr:uid="{00000000-0005-0000-0000-0000B7430000}"/>
    <cellStyle name="Normal 3 21 14 13 2" xfId="28095" xr:uid="{00000000-0005-0000-0000-0000B8430000}"/>
    <cellStyle name="Normal 3 21 14 14" xfId="10549" xr:uid="{00000000-0005-0000-0000-0000B9430000}"/>
    <cellStyle name="Normal 3 21 14 14 2" xfId="28096" xr:uid="{00000000-0005-0000-0000-0000BA430000}"/>
    <cellStyle name="Normal 3 21 14 15" xfId="28091" xr:uid="{00000000-0005-0000-0000-0000BB430000}"/>
    <cellStyle name="Normal 3 21 14 2" xfId="10550" xr:uid="{00000000-0005-0000-0000-0000BC430000}"/>
    <cellStyle name="Normal 3 21 14 2 2" xfId="28097" xr:uid="{00000000-0005-0000-0000-0000BD430000}"/>
    <cellStyle name="Normal 3 21 14 3" xfId="10551" xr:uid="{00000000-0005-0000-0000-0000BE430000}"/>
    <cellStyle name="Normal 3 21 14 3 2" xfId="28098" xr:uid="{00000000-0005-0000-0000-0000BF430000}"/>
    <cellStyle name="Normal 3 21 14 4" xfId="10552" xr:uid="{00000000-0005-0000-0000-0000C0430000}"/>
    <cellStyle name="Normal 3 21 14 4 2" xfId="28099" xr:uid="{00000000-0005-0000-0000-0000C1430000}"/>
    <cellStyle name="Normal 3 21 14 5" xfId="10553" xr:uid="{00000000-0005-0000-0000-0000C2430000}"/>
    <cellStyle name="Normal 3 21 14 5 2" xfId="28100" xr:uid="{00000000-0005-0000-0000-0000C3430000}"/>
    <cellStyle name="Normal 3 21 14 6" xfId="10554" xr:uid="{00000000-0005-0000-0000-0000C4430000}"/>
    <cellStyle name="Normal 3 21 14 6 2" xfId="28101" xr:uid="{00000000-0005-0000-0000-0000C5430000}"/>
    <cellStyle name="Normal 3 21 14 7" xfId="10555" xr:uid="{00000000-0005-0000-0000-0000C6430000}"/>
    <cellStyle name="Normal 3 21 14 7 2" xfId="28102" xr:uid="{00000000-0005-0000-0000-0000C7430000}"/>
    <cellStyle name="Normal 3 21 14 8" xfId="10556" xr:uid="{00000000-0005-0000-0000-0000C8430000}"/>
    <cellStyle name="Normal 3 21 14 8 2" xfId="28103" xr:uid="{00000000-0005-0000-0000-0000C9430000}"/>
    <cellStyle name="Normal 3 21 14 9" xfId="10557" xr:uid="{00000000-0005-0000-0000-0000CA430000}"/>
    <cellStyle name="Normal 3 21 14 9 2" xfId="28104" xr:uid="{00000000-0005-0000-0000-0000CB430000}"/>
    <cellStyle name="Normal 3 21 15" xfId="10558" xr:uid="{00000000-0005-0000-0000-0000CC430000}"/>
    <cellStyle name="Normal 3 21 15 2" xfId="28105" xr:uid="{00000000-0005-0000-0000-0000CD430000}"/>
    <cellStyle name="Normal 3 21 16" xfId="10559" xr:uid="{00000000-0005-0000-0000-0000CE430000}"/>
    <cellStyle name="Normal 3 21 16 2" xfId="28106" xr:uid="{00000000-0005-0000-0000-0000CF430000}"/>
    <cellStyle name="Normal 3 21 17" xfId="10560" xr:uid="{00000000-0005-0000-0000-0000D0430000}"/>
    <cellStyle name="Normal 3 21 17 2" xfId="28107" xr:uid="{00000000-0005-0000-0000-0000D1430000}"/>
    <cellStyle name="Normal 3 21 18" xfId="10561" xr:uid="{00000000-0005-0000-0000-0000D2430000}"/>
    <cellStyle name="Normal 3 21 18 2" xfId="28108" xr:uid="{00000000-0005-0000-0000-0000D3430000}"/>
    <cellStyle name="Normal 3 21 19" xfId="10562" xr:uid="{00000000-0005-0000-0000-0000D4430000}"/>
    <cellStyle name="Normal 3 21 19 2" xfId="28109" xr:uid="{00000000-0005-0000-0000-0000D5430000}"/>
    <cellStyle name="Normal 3 21 2" xfId="10563" xr:uid="{00000000-0005-0000-0000-0000D6430000}"/>
    <cellStyle name="Normal 3 21 20" xfId="10564" xr:uid="{00000000-0005-0000-0000-0000D7430000}"/>
    <cellStyle name="Normal 3 21 20 2" xfId="28110" xr:uid="{00000000-0005-0000-0000-0000D8430000}"/>
    <cellStyle name="Normal 3 21 21" xfId="10565" xr:uid="{00000000-0005-0000-0000-0000D9430000}"/>
    <cellStyle name="Normal 3 21 21 2" xfId="28111" xr:uid="{00000000-0005-0000-0000-0000DA430000}"/>
    <cellStyle name="Normal 3 21 22" xfId="10566" xr:uid="{00000000-0005-0000-0000-0000DB430000}"/>
    <cellStyle name="Normal 3 21 22 2" xfId="28112" xr:uid="{00000000-0005-0000-0000-0000DC430000}"/>
    <cellStyle name="Normal 3 21 23" xfId="10567" xr:uid="{00000000-0005-0000-0000-0000DD430000}"/>
    <cellStyle name="Normal 3 21 23 2" xfId="28113" xr:uid="{00000000-0005-0000-0000-0000DE430000}"/>
    <cellStyle name="Normal 3 21 24" xfId="10568" xr:uid="{00000000-0005-0000-0000-0000DF430000}"/>
    <cellStyle name="Normal 3 21 24 2" xfId="28114" xr:uid="{00000000-0005-0000-0000-0000E0430000}"/>
    <cellStyle name="Normal 3 21 25" xfId="10569" xr:uid="{00000000-0005-0000-0000-0000E1430000}"/>
    <cellStyle name="Normal 3 21 25 2" xfId="28115" xr:uid="{00000000-0005-0000-0000-0000E2430000}"/>
    <cellStyle name="Normal 3 21 26" xfId="10570" xr:uid="{00000000-0005-0000-0000-0000E3430000}"/>
    <cellStyle name="Normal 3 21 26 2" xfId="28116" xr:uid="{00000000-0005-0000-0000-0000E4430000}"/>
    <cellStyle name="Normal 3 21 27" xfId="10571" xr:uid="{00000000-0005-0000-0000-0000E5430000}"/>
    <cellStyle name="Normal 3 21 27 2" xfId="28117" xr:uid="{00000000-0005-0000-0000-0000E6430000}"/>
    <cellStyle name="Normal 3 21 28" xfId="28034" xr:uid="{00000000-0005-0000-0000-0000E7430000}"/>
    <cellStyle name="Normal 3 21 3" xfId="10572" xr:uid="{00000000-0005-0000-0000-0000E8430000}"/>
    <cellStyle name="Normal 3 21 4" xfId="10573" xr:uid="{00000000-0005-0000-0000-0000E9430000}"/>
    <cellStyle name="Normal 3 21 5" xfId="10574" xr:uid="{00000000-0005-0000-0000-0000EA430000}"/>
    <cellStyle name="Normal 3 21 6" xfId="10575" xr:uid="{00000000-0005-0000-0000-0000EB430000}"/>
    <cellStyle name="Normal 3 21 6 10" xfId="10576" xr:uid="{00000000-0005-0000-0000-0000EC430000}"/>
    <cellStyle name="Normal 3 21 6 10 2" xfId="28119" xr:uid="{00000000-0005-0000-0000-0000ED430000}"/>
    <cellStyle name="Normal 3 21 6 11" xfId="10577" xr:uid="{00000000-0005-0000-0000-0000EE430000}"/>
    <cellStyle name="Normal 3 21 6 11 2" xfId="28120" xr:uid="{00000000-0005-0000-0000-0000EF430000}"/>
    <cellStyle name="Normal 3 21 6 12" xfId="10578" xr:uid="{00000000-0005-0000-0000-0000F0430000}"/>
    <cellStyle name="Normal 3 21 6 12 2" xfId="28121" xr:uid="{00000000-0005-0000-0000-0000F1430000}"/>
    <cellStyle name="Normal 3 21 6 13" xfId="10579" xr:uid="{00000000-0005-0000-0000-0000F2430000}"/>
    <cellStyle name="Normal 3 21 6 13 2" xfId="28122" xr:uid="{00000000-0005-0000-0000-0000F3430000}"/>
    <cellStyle name="Normal 3 21 6 14" xfId="10580" xr:uid="{00000000-0005-0000-0000-0000F4430000}"/>
    <cellStyle name="Normal 3 21 6 14 2" xfId="28123" xr:uid="{00000000-0005-0000-0000-0000F5430000}"/>
    <cellStyle name="Normal 3 21 6 15" xfId="10581" xr:uid="{00000000-0005-0000-0000-0000F6430000}"/>
    <cellStyle name="Normal 3 21 6 15 2" xfId="28124" xr:uid="{00000000-0005-0000-0000-0000F7430000}"/>
    <cellStyle name="Normal 3 21 6 16" xfId="28118" xr:uid="{00000000-0005-0000-0000-0000F8430000}"/>
    <cellStyle name="Normal 3 21 6 2" xfId="10582" xr:uid="{00000000-0005-0000-0000-0000F9430000}"/>
    <cellStyle name="Normal 3 21 6 2 10" xfId="10583" xr:uid="{00000000-0005-0000-0000-0000FA430000}"/>
    <cellStyle name="Normal 3 21 6 2 10 2" xfId="28126" xr:uid="{00000000-0005-0000-0000-0000FB430000}"/>
    <cellStyle name="Normal 3 21 6 2 11" xfId="10584" xr:uid="{00000000-0005-0000-0000-0000FC430000}"/>
    <cellStyle name="Normal 3 21 6 2 11 2" xfId="28127" xr:uid="{00000000-0005-0000-0000-0000FD430000}"/>
    <cellStyle name="Normal 3 21 6 2 12" xfId="10585" xr:uid="{00000000-0005-0000-0000-0000FE430000}"/>
    <cellStyle name="Normal 3 21 6 2 12 2" xfId="28128" xr:uid="{00000000-0005-0000-0000-0000FF430000}"/>
    <cellStyle name="Normal 3 21 6 2 13" xfId="10586" xr:uid="{00000000-0005-0000-0000-000000440000}"/>
    <cellStyle name="Normal 3 21 6 2 13 2" xfId="28129" xr:uid="{00000000-0005-0000-0000-000001440000}"/>
    <cellStyle name="Normal 3 21 6 2 14" xfId="10587" xr:uid="{00000000-0005-0000-0000-000002440000}"/>
    <cellStyle name="Normal 3 21 6 2 14 2" xfId="28130" xr:uid="{00000000-0005-0000-0000-000003440000}"/>
    <cellStyle name="Normal 3 21 6 2 15" xfId="28125" xr:uid="{00000000-0005-0000-0000-000004440000}"/>
    <cellStyle name="Normal 3 21 6 2 2" xfId="10588" xr:uid="{00000000-0005-0000-0000-000005440000}"/>
    <cellStyle name="Normal 3 21 6 2 2 2" xfId="28131" xr:uid="{00000000-0005-0000-0000-000006440000}"/>
    <cellStyle name="Normal 3 21 6 2 3" xfId="10589" xr:uid="{00000000-0005-0000-0000-000007440000}"/>
    <cellStyle name="Normal 3 21 6 2 3 2" xfId="28132" xr:uid="{00000000-0005-0000-0000-000008440000}"/>
    <cellStyle name="Normal 3 21 6 2 4" xfId="10590" xr:uid="{00000000-0005-0000-0000-000009440000}"/>
    <cellStyle name="Normal 3 21 6 2 4 2" xfId="28133" xr:uid="{00000000-0005-0000-0000-00000A440000}"/>
    <cellStyle name="Normal 3 21 6 2 5" xfId="10591" xr:uid="{00000000-0005-0000-0000-00000B440000}"/>
    <cellStyle name="Normal 3 21 6 2 5 2" xfId="28134" xr:uid="{00000000-0005-0000-0000-00000C440000}"/>
    <cellStyle name="Normal 3 21 6 2 6" xfId="10592" xr:uid="{00000000-0005-0000-0000-00000D440000}"/>
    <cellStyle name="Normal 3 21 6 2 6 2" xfId="28135" xr:uid="{00000000-0005-0000-0000-00000E440000}"/>
    <cellStyle name="Normal 3 21 6 2 7" xfId="10593" xr:uid="{00000000-0005-0000-0000-00000F440000}"/>
    <cellStyle name="Normal 3 21 6 2 7 2" xfId="28136" xr:uid="{00000000-0005-0000-0000-000010440000}"/>
    <cellStyle name="Normal 3 21 6 2 8" xfId="10594" xr:uid="{00000000-0005-0000-0000-000011440000}"/>
    <cellStyle name="Normal 3 21 6 2 8 2" xfId="28137" xr:uid="{00000000-0005-0000-0000-000012440000}"/>
    <cellStyle name="Normal 3 21 6 2 9" xfId="10595" xr:uid="{00000000-0005-0000-0000-000013440000}"/>
    <cellStyle name="Normal 3 21 6 2 9 2" xfId="28138" xr:uid="{00000000-0005-0000-0000-000014440000}"/>
    <cellStyle name="Normal 3 21 6 3" xfId="10596" xr:uid="{00000000-0005-0000-0000-000015440000}"/>
    <cellStyle name="Normal 3 21 6 3 2" xfId="28139" xr:uid="{00000000-0005-0000-0000-000016440000}"/>
    <cellStyle name="Normal 3 21 6 4" xfId="10597" xr:uid="{00000000-0005-0000-0000-000017440000}"/>
    <cellStyle name="Normal 3 21 6 4 2" xfId="28140" xr:uid="{00000000-0005-0000-0000-000018440000}"/>
    <cellStyle name="Normal 3 21 6 5" xfId="10598" xr:uid="{00000000-0005-0000-0000-000019440000}"/>
    <cellStyle name="Normal 3 21 6 5 2" xfId="28141" xr:uid="{00000000-0005-0000-0000-00001A440000}"/>
    <cellStyle name="Normal 3 21 6 6" xfId="10599" xr:uid="{00000000-0005-0000-0000-00001B440000}"/>
    <cellStyle name="Normal 3 21 6 6 2" xfId="28142" xr:uid="{00000000-0005-0000-0000-00001C440000}"/>
    <cellStyle name="Normal 3 21 6 7" xfId="10600" xr:uid="{00000000-0005-0000-0000-00001D440000}"/>
    <cellStyle name="Normal 3 21 6 7 2" xfId="28143" xr:uid="{00000000-0005-0000-0000-00001E440000}"/>
    <cellStyle name="Normal 3 21 6 8" xfId="10601" xr:uid="{00000000-0005-0000-0000-00001F440000}"/>
    <cellStyle name="Normal 3 21 6 8 2" xfId="28144" xr:uid="{00000000-0005-0000-0000-000020440000}"/>
    <cellStyle name="Normal 3 21 6 9" xfId="10602" xr:uid="{00000000-0005-0000-0000-000021440000}"/>
    <cellStyle name="Normal 3 21 6 9 2" xfId="28145" xr:uid="{00000000-0005-0000-0000-000022440000}"/>
    <cellStyle name="Normal 3 21 7" xfId="10603" xr:uid="{00000000-0005-0000-0000-000023440000}"/>
    <cellStyle name="Normal 3 21 7 10" xfId="10604" xr:uid="{00000000-0005-0000-0000-000024440000}"/>
    <cellStyle name="Normal 3 21 7 10 2" xfId="28147" xr:uid="{00000000-0005-0000-0000-000025440000}"/>
    <cellStyle name="Normal 3 21 7 11" xfId="10605" xr:uid="{00000000-0005-0000-0000-000026440000}"/>
    <cellStyle name="Normal 3 21 7 11 2" xfId="28148" xr:uid="{00000000-0005-0000-0000-000027440000}"/>
    <cellStyle name="Normal 3 21 7 12" xfId="10606" xr:uid="{00000000-0005-0000-0000-000028440000}"/>
    <cellStyle name="Normal 3 21 7 12 2" xfId="28149" xr:uid="{00000000-0005-0000-0000-000029440000}"/>
    <cellStyle name="Normal 3 21 7 13" xfId="10607" xr:uid="{00000000-0005-0000-0000-00002A440000}"/>
    <cellStyle name="Normal 3 21 7 13 2" xfId="28150" xr:uid="{00000000-0005-0000-0000-00002B440000}"/>
    <cellStyle name="Normal 3 21 7 14" xfId="10608" xr:uid="{00000000-0005-0000-0000-00002C440000}"/>
    <cellStyle name="Normal 3 21 7 14 2" xfId="28151" xr:uid="{00000000-0005-0000-0000-00002D440000}"/>
    <cellStyle name="Normal 3 21 7 15" xfId="10609" xr:uid="{00000000-0005-0000-0000-00002E440000}"/>
    <cellStyle name="Normal 3 21 7 15 2" xfId="28152" xr:uid="{00000000-0005-0000-0000-00002F440000}"/>
    <cellStyle name="Normal 3 21 7 16" xfId="28146" xr:uid="{00000000-0005-0000-0000-000030440000}"/>
    <cellStyle name="Normal 3 21 7 2" xfId="10610" xr:uid="{00000000-0005-0000-0000-000031440000}"/>
    <cellStyle name="Normal 3 21 7 2 10" xfId="10611" xr:uid="{00000000-0005-0000-0000-000032440000}"/>
    <cellStyle name="Normal 3 21 7 2 10 2" xfId="28154" xr:uid="{00000000-0005-0000-0000-000033440000}"/>
    <cellStyle name="Normal 3 21 7 2 11" xfId="10612" xr:uid="{00000000-0005-0000-0000-000034440000}"/>
    <cellStyle name="Normal 3 21 7 2 11 2" xfId="28155" xr:uid="{00000000-0005-0000-0000-000035440000}"/>
    <cellStyle name="Normal 3 21 7 2 12" xfId="10613" xr:uid="{00000000-0005-0000-0000-000036440000}"/>
    <cellStyle name="Normal 3 21 7 2 12 2" xfId="28156" xr:uid="{00000000-0005-0000-0000-000037440000}"/>
    <cellStyle name="Normal 3 21 7 2 13" xfId="10614" xr:uid="{00000000-0005-0000-0000-000038440000}"/>
    <cellStyle name="Normal 3 21 7 2 13 2" xfId="28157" xr:uid="{00000000-0005-0000-0000-000039440000}"/>
    <cellStyle name="Normal 3 21 7 2 14" xfId="10615" xr:uid="{00000000-0005-0000-0000-00003A440000}"/>
    <cellStyle name="Normal 3 21 7 2 14 2" xfId="28158" xr:uid="{00000000-0005-0000-0000-00003B440000}"/>
    <cellStyle name="Normal 3 21 7 2 15" xfId="28153" xr:uid="{00000000-0005-0000-0000-00003C440000}"/>
    <cellStyle name="Normal 3 21 7 2 2" xfId="10616" xr:uid="{00000000-0005-0000-0000-00003D440000}"/>
    <cellStyle name="Normal 3 21 7 2 2 2" xfId="28159" xr:uid="{00000000-0005-0000-0000-00003E440000}"/>
    <cellStyle name="Normal 3 21 7 2 3" xfId="10617" xr:uid="{00000000-0005-0000-0000-00003F440000}"/>
    <cellStyle name="Normal 3 21 7 2 3 2" xfId="28160" xr:uid="{00000000-0005-0000-0000-000040440000}"/>
    <cellStyle name="Normal 3 21 7 2 4" xfId="10618" xr:uid="{00000000-0005-0000-0000-000041440000}"/>
    <cellStyle name="Normal 3 21 7 2 4 2" xfId="28161" xr:uid="{00000000-0005-0000-0000-000042440000}"/>
    <cellStyle name="Normal 3 21 7 2 5" xfId="10619" xr:uid="{00000000-0005-0000-0000-000043440000}"/>
    <cellStyle name="Normal 3 21 7 2 5 2" xfId="28162" xr:uid="{00000000-0005-0000-0000-000044440000}"/>
    <cellStyle name="Normal 3 21 7 2 6" xfId="10620" xr:uid="{00000000-0005-0000-0000-000045440000}"/>
    <cellStyle name="Normal 3 21 7 2 6 2" xfId="28163" xr:uid="{00000000-0005-0000-0000-000046440000}"/>
    <cellStyle name="Normal 3 21 7 2 7" xfId="10621" xr:uid="{00000000-0005-0000-0000-000047440000}"/>
    <cellStyle name="Normal 3 21 7 2 7 2" xfId="28164" xr:uid="{00000000-0005-0000-0000-000048440000}"/>
    <cellStyle name="Normal 3 21 7 2 8" xfId="10622" xr:uid="{00000000-0005-0000-0000-000049440000}"/>
    <cellStyle name="Normal 3 21 7 2 8 2" xfId="28165" xr:uid="{00000000-0005-0000-0000-00004A440000}"/>
    <cellStyle name="Normal 3 21 7 2 9" xfId="10623" xr:uid="{00000000-0005-0000-0000-00004B440000}"/>
    <cellStyle name="Normal 3 21 7 2 9 2" xfId="28166" xr:uid="{00000000-0005-0000-0000-00004C440000}"/>
    <cellStyle name="Normal 3 21 7 3" xfId="10624" xr:uid="{00000000-0005-0000-0000-00004D440000}"/>
    <cellStyle name="Normal 3 21 7 3 2" xfId="28167" xr:uid="{00000000-0005-0000-0000-00004E440000}"/>
    <cellStyle name="Normal 3 21 7 4" xfId="10625" xr:uid="{00000000-0005-0000-0000-00004F440000}"/>
    <cellStyle name="Normal 3 21 7 4 2" xfId="28168" xr:uid="{00000000-0005-0000-0000-000050440000}"/>
    <cellStyle name="Normal 3 21 7 5" xfId="10626" xr:uid="{00000000-0005-0000-0000-000051440000}"/>
    <cellStyle name="Normal 3 21 7 5 2" xfId="28169" xr:uid="{00000000-0005-0000-0000-000052440000}"/>
    <cellStyle name="Normal 3 21 7 6" xfId="10627" xr:uid="{00000000-0005-0000-0000-000053440000}"/>
    <cellStyle name="Normal 3 21 7 6 2" xfId="28170" xr:uid="{00000000-0005-0000-0000-000054440000}"/>
    <cellStyle name="Normal 3 21 7 7" xfId="10628" xr:uid="{00000000-0005-0000-0000-000055440000}"/>
    <cellStyle name="Normal 3 21 7 7 2" xfId="28171" xr:uid="{00000000-0005-0000-0000-000056440000}"/>
    <cellStyle name="Normal 3 21 7 8" xfId="10629" xr:uid="{00000000-0005-0000-0000-000057440000}"/>
    <cellStyle name="Normal 3 21 7 8 2" xfId="28172" xr:uid="{00000000-0005-0000-0000-000058440000}"/>
    <cellStyle name="Normal 3 21 7 9" xfId="10630" xr:uid="{00000000-0005-0000-0000-000059440000}"/>
    <cellStyle name="Normal 3 21 7 9 2" xfId="28173" xr:uid="{00000000-0005-0000-0000-00005A440000}"/>
    <cellStyle name="Normal 3 21 8" xfId="10631" xr:uid="{00000000-0005-0000-0000-00005B440000}"/>
    <cellStyle name="Normal 3 21 8 10" xfId="10632" xr:uid="{00000000-0005-0000-0000-00005C440000}"/>
    <cellStyle name="Normal 3 21 8 10 2" xfId="28175" xr:uid="{00000000-0005-0000-0000-00005D440000}"/>
    <cellStyle name="Normal 3 21 8 11" xfId="10633" xr:uid="{00000000-0005-0000-0000-00005E440000}"/>
    <cellStyle name="Normal 3 21 8 11 2" xfId="28176" xr:uid="{00000000-0005-0000-0000-00005F440000}"/>
    <cellStyle name="Normal 3 21 8 12" xfId="10634" xr:uid="{00000000-0005-0000-0000-000060440000}"/>
    <cellStyle name="Normal 3 21 8 12 2" xfId="28177" xr:uid="{00000000-0005-0000-0000-000061440000}"/>
    <cellStyle name="Normal 3 21 8 13" xfId="10635" xr:uid="{00000000-0005-0000-0000-000062440000}"/>
    <cellStyle name="Normal 3 21 8 13 2" xfId="28178" xr:uid="{00000000-0005-0000-0000-000063440000}"/>
    <cellStyle name="Normal 3 21 8 14" xfId="10636" xr:uid="{00000000-0005-0000-0000-000064440000}"/>
    <cellStyle name="Normal 3 21 8 14 2" xfId="28179" xr:uid="{00000000-0005-0000-0000-000065440000}"/>
    <cellStyle name="Normal 3 21 8 15" xfId="10637" xr:uid="{00000000-0005-0000-0000-000066440000}"/>
    <cellStyle name="Normal 3 21 8 15 2" xfId="28180" xr:uid="{00000000-0005-0000-0000-000067440000}"/>
    <cellStyle name="Normal 3 21 8 16" xfId="28174" xr:uid="{00000000-0005-0000-0000-000068440000}"/>
    <cellStyle name="Normal 3 21 8 2" xfId="10638" xr:uid="{00000000-0005-0000-0000-000069440000}"/>
    <cellStyle name="Normal 3 21 8 2 10" xfId="10639" xr:uid="{00000000-0005-0000-0000-00006A440000}"/>
    <cellStyle name="Normal 3 21 8 2 10 2" xfId="28182" xr:uid="{00000000-0005-0000-0000-00006B440000}"/>
    <cellStyle name="Normal 3 21 8 2 11" xfId="10640" xr:uid="{00000000-0005-0000-0000-00006C440000}"/>
    <cellStyle name="Normal 3 21 8 2 11 2" xfId="28183" xr:uid="{00000000-0005-0000-0000-00006D440000}"/>
    <cellStyle name="Normal 3 21 8 2 12" xfId="10641" xr:uid="{00000000-0005-0000-0000-00006E440000}"/>
    <cellStyle name="Normal 3 21 8 2 12 2" xfId="28184" xr:uid="{00000000-0005-0000-0000-00006F440000}"/>
    <cellStyle name="Normal 3 21 8 2 13" xfId="10642" xr:uid="{00000000-0005-0000-0000-000070440000}"/>
    <cellStyle name="Normal 3 21 8 2 13 2" xfId="28185" xr:uid="{00000000-0005-0000-0000-000071440000}"/>
    <cellStyle name="Normal 3 21 8 2 14" xfId="10643" xr:uid="{00000000-0005-0000-0000-000072440000}"/>
    <cellStyle name="Normal 3 21 8 2 14 2" xfId="28186" xr:uid="{00000000-0005-0000-0000-000073440000}"/>
    <cellStyle name="Normal 3 21 8 2 15" xfId="28181" xr:uid="{00000000-0005-0000-0000-000074440000}"/>
    <cellStyle name="Normal 3 21 8 2 2" xfId="10644" xr:uid="{00000000-0005-0000-0000-000075440000}"/>
    <cellStyle name="Normal 3 21 8 2 2 2" xfId="28187" xr:uid="{00000000-0005-0000-0000-000076440000}"/>
    <cellStyle name="Normal 3 21 8 2 3" xfId="10645" xr:uid="{00000000-0005-0000-0000-000077440000}"/>
    <cellStyle name="Normal 3 21 8 2 3 2" xfId="28188" xr:uid="{00000000-0005-0000-0000-000078440000}"/>
    <cellStyle name="Normal 3 21 8 2 4" xfId="10646" xr:uid="{00000000-0005-0000-0000-000079440000}"/>
    <cellStyle name="Normal 3 21 8 2 4 2" xfId="28189" xr:uid="{00000000-0005-0000-0000-00007A440000}"/>
    <cellStyle name="Normal 3 21 8 2 5" xfId="10647" xr:uid="{00000000-0005-0000-0000-00007B440000}"/>
    <cellStyle name="Normal 3 21 8 2 5 2" xfId="28190" xr:uid="{00000000-0005-0000-0000-00007C440000}"/>
    <cellStyle name="Normal 3 21 8 2 6" xfId="10648" xr:uid="{00000000-0005-0000-0000-00007D440000}"/>
    <cellStyle name="Normal 3 21 8 2 6 2" xfId="28191" xr:uid="{00000000-0005-0000-0000-00007E440000}"/>
    <cellStyle name="Normal 3 21 8 2 7" xfId="10649" xr:uid="{00000000-0005-0000-0000-00007F440000}"/>
    <cellStyle name="Normal 3 21 8 2 7 2" xfId="28192" xr:uid="{00000000-0005-0000-0000-000080440000}"/>
    <cellStyle name="Normal 3 21 8 2 8" xfId="10650" xr:uid="{00000000-0005-0000-0000-000081440000}"/>
    <cellStyle name="Normal 3 21 8 2 8 2" xfId="28193" xr:uid="{00000000-0005-0000-0000-000082440000}"/>
    <cellStyle name="Normal 3 21 8 2 9" xfId="10651" xr:uid="{00000000-0005-0000-0000-000083440000}"/>
    <cellStyle name="Normal 3 21 8 2 9 2" xfId="28194" xr:uid="{00000000-0005-0000-0000-000084440000}"/>
    <cellStyle name="Normal 3 21 8 3" xfId="10652" xr:uid="{00000000-0005-0000-0000-000085440000}"/>
    <cellStyle name="Normal 3 21 8 3 2" xfId="28195" xr:uid="{00000000-0005-0000-0000-000086440000}"/>
    <cellStyle name="Normal 3 21 8 4" xfId="10653" xr:uid="{00000000-0005-0000-0000-000087440000}"/>
    <cellStyle name="Normal 3 21 8 4 2" xfId="28196" xr:uid="{00000000-0005-0000-0000-000088440000}"/>
    <cellStyle name="Normal 3 21 8 5" xfId="10654" xr:uid="{00000000-0005-0000-0000-000089440000}"/>
    <cellStyle name="Normal 3 21 8 5 2" xfId="28197" xr:uid="{00000000-0005-0000-0000-00008A440000}"/>
    <cellStyle name="Normal 3 21 8 6" xfId="10655" xr:uid="{00000000-0005-0000-0000-00008B440000}"/>
    <cellStyle name="Normal 3 21 8 6 2" xfId="28198" xr:uid="{00000000-0005-0000-0000-00008C440000}"/>
    <cellStyle name="Normal 3 21 8 7" xfId="10656" xr:uid="{00000000-0005-0000-0000-00008D440000}"/>
    <cellStyle name="Normal 3 21 8 7 2" xfId="28199" xr:uid="{00000000-0005-0000-0000-00008E440000}"/>
    <cellStyle name="Normal 3 21 8 8" xfId="10657" xr:uid="{00000000-0005-0000-0000-00008F440000}"/>
    <cellStyle name="Normal 3 21 8 8 2" xfId="28200" xr:uid="{00000000-0005-0000-0000-000090440000}"/>
    <cellStyle name="Normal 3 21 8 9" xfId="10658" xr:uid="{00000000-0005-0000-0000-000091440000}"/>
    <cellStyle name="Normal 3 21 8 9 2" xfId="28201" xr:uid="{00000000-0005-0000-0000-000092440000}"/>
    <cellStyle name="Normal 3 21 9" xfId="10659" xr:uid="{00000000-0005-0000-0000-000093440000}"/>
    <cellStyle name="Normal 3 21 9 10" xfId="10660" xr:uid="{00000000-0005-0000-0000-000094440000}"/>
    <cellStyle name="Normal 3 21 9 10 2" xfId="28203" xr:uid="{00000000-0005-0000-0000-000095440000}"/>
    <cellStyle name="Normal 3 21 9 11" xfId="10661" xr:uid="{00000000-0005-0000-0000-000096440000}"/>
    <cellStyle name="Normal 3 21 9 11 2" xfId="28204" xr:uid="{00000000-0005-0000-0000-000097440000}"/>
    <cellStyle name="Normal 3 21 9 12" xfId="10662" xr:uid="{00000000-0005-0000-0000-000098440000}"/>
    <cellStyle name="Normal 3 21 9 12 2" xfId="28205" xr:uid="{00000000-0005-0000-0000-000099440000}"/>
    <cellStyle name="Normal 3 21 9 13" xfId="10663" xr:uid="{00000000-0005-0000-0000-00009A440000}"/>
    <cellStyle name="Normal 3 21 9 13 2" xfId="28206" xr:uid="{00000000-0005-0000-0000-00009B440000}"/>
    <cellStyle name="Normal 3 21 9 14" xfId="10664" xr:uid="{00000000-0005-0000-0000-00009C440000}"/>
    <cellStyle name="Normal 3 21 9 14 2" xfId="28207" xr:uid="{00000000-0005-0000-0000-00009D440000}"/>
    <cellStyle name="Normal 3 21 9 15" xfId="28202" xr:uid="{00000000-0005-0000-0000-00009E440000}"/>
    <cellStyle name="Normal 3 21 9 2" xfId="10665" xr:uid="{00000000-0005-0000-0000-00009F440000}"/>
    <cellStyle name="Normal 3 21 9 2 2" xfId="28208" xr:uid="{00000000-0005-0000-0000-0000A0440000}"/>
    <cellStyle name="Normal 3 21 9 3" xfId="10666" xr:uid="{00000000-0005-0000-0000-0000A1440000}"/>
    <cellStyle name="Normal 3 21 9 3 2" xfId="28209" xr:uid="{00000000-0005-0000-0000-0000A2440000}"/>
    <cellStyle name="Normal 3 21 9 4" xfId="10667" xr:uid="{00000000-0005-0000-0000-0000A3440000}"/>
    <cellStyle name="Normal 3 21 9 4 2" xfId="28210" xr:uid="{00000000-0005-0000-0000-0000A4440000}"/>
    <cellStyle name="Normal 3 21 9 5" xfId="10668" xr:uid="{00000000-0005-0000-0000-0000A5440000}"/>
    <cellStyle name="Normal 3 21 9 5 2" xfId="28211" xr:uid="{00000000-0005-0000-0000-0000A6440000}"/>
    <cellStyle name="Normal 3 21 9 6" xfId="10669" xr:uid="{00000000-0005-0000-0000-0000A7440000}"/>
    <cellStyle name="Normal 3 21 9 6 2" xfId="28212" xr:uid="{00000000-0005-0000-0000-0000A8440000}"/>
    <cellStyle name="Normal 3 21 9 7" xfId="10670" xr:uid="{00000000-0005-0000-0000-0000A9440000}"/>
    <cellStyle name="Normal 3 21 9 7 2" xfId="28213" xr:uid="{00000000-0005-0000-0000-0000AA440000}"/>
    <cellStyle name="Normal 3 21 9 8" xfId="10671" xr:uid="{00000000-0005-0000-0000-0000AB440000}"/>
    <cellStyle name="Normal 3 21 9 8 2" xfId="28214" xr:uid="{00000000-0005-0000-0000-0000AC440000}"/>
    <cellStyle name="Normal 3 21 9 9" xfId="10672" xr:uid="{00000000-0005-0000-0000-0000AD440000}"/>
    <cellStyle name="Normal 3 21 9 9 2" xfId="28215" xr:uid="{00000000-0005-0000-0000-0000AE440000}"/>
    <cellStyle name="Normal 3 22" xfId="10673" xr:uid="{00000000-0005-0000-0000-0000AF440000}"/>
    <cellStyle name="Normal 3 22 10" xfId="10674" xr:uid="{00000000-0005-0000-0000-0000B0440000}"/>
    <cellStyle name="Normal 3 22 10 10" xfId="10675" xr:uid="{00000000-0005-0000-0000-0000B1440000}"/>
    <cellStyle name="Normal 3 22 10 10 2" xfId="28218" xr:uid="{00000000-0005-0000-0000-0000B2440000}"/>
    <cellStyle name="Normal 3 22 10 11" xfId="10676" xr:uid="{00000000-0005-0000-0000-0000B3440000}"/>
    <cellStyle name="Normal 3 22 10 11 2" xfId="28219" xr:uid="{00000000-0005-0000-0000-0000B4440000}"/>
    <cellStyle name="Normal 3 22 10 12" xfId="10677" xr:uid="{00000000-0005-0000-0000-0000B5440000}"/>
    <cellStyle name="Normal 3 22 10 12 2" xfId="28220" xr:uid="{00000000-0005-0000-0000-0000B6440000}"/>
    <cellStyle name="Normal 3 22 10 13" xfId="10678" xr:uid="{00000000-0005-0000-0000-0000B7440000}"/>
    <cellStyle name="Normal 3 22 10 13 2" xfId="28221" xr:uid="{00000000-0005-0000-0000-0000B8440000}"/>
    <cellStyle name="Normal 3 22 10 14" xfId="10679" xr:uid="{00000000-0005-0000-0000-0000B9440000}"/>
    <cellStyle name="Normal 3 22 10 14 2" xfId="28222" xr:uid="{00000000-0005-0000-0000-0000BA440000}"/>
    <cellStyle name="Normal 3 22 10 15" xfId="28217" xr:uid="{00000000-0005-0000-0000-0000BB440000}"/>
    <cellStyle name="Normal 3 22 10 2" xfId="10680" xr:uid="{00000000-0005-0000-0000-0000BC440000}"/>
    <cellStyle name="Normal 3 22 10 2 2" xfId="28223" xr:uid="{00000000-0005-0000-0000-0000BD440000}"/>
    <cellStyle name="Normal 3 22 10 3" xfId="10681" xr:uid="{00000000-0005-0000-0000-0000BE440000}"/>
    <cellStyle name="Normal 3 22 10 3 2" xfId="28224" xr:uid="{00000000-0005-0000-0000-0000BF440000}"/>
    <cellStyle name="Normal 3 22 10 4" xfId="10682" xr:uid="{00000000-0005-0000-0000-0000C0440000}"/>
    <cellStyle name="Normal 3 22 10 4 2" xfId="28225" xr:uid="{00000000-0005-0000-0000-0000C1440000}"/>
    <cellStyle name="Normal 3 22 10 5" xfId="10683" xr:uid="{00000000-0005-0000-0000-0000C2440000}"/>
    <cellStyle name="Normal 3 22 10 5 2" xfId="28226" xr:uid="{00000000-0005-0000-0000-0000C3440000}"/>
    <cellStyle name="Normal 3 22 10 6" xfId="10684" xr:uid="{00000000-0005-0000-0000-0000C4440000}"/>
    <cellStyle name="Normal 3 22 10 6 2" xfId="28227" xr:uid="{00000000-0005-0000-0000-0000C5440000}"/>
    <cellStyle name="Normal 3 22 10 7" xfId="10685" xr:uid="{00000000-0005-0000-0000-0000C6440000}"/>
    <cellStyle name="Normal 3 22 10 7 2" xfId="28228" xr:uid="{00000000-0005-0000-0000-0000C7440000}"/>
    <cellStyle name="Normal 3 22 10 8" xfId="10686" xr:uid="{00000000-0005-0000-0000-0000C8440000}"/>
    <cellStyle name="Normal 3 22 10 8 2" xfId="28229" xr:uid="{00000000-0005-0000-0000-0000C9440000}"/>
    <cellStyle name="Normal 3 22 10 9" xfId="10687" xr:uid="{00000000-0005-0000-0000-0000CA440000}"/>
    <cellStyle name="Normal 3 22 10 9 2" xfId="28230" xr:uid="{00000000-0005-0000-0000-0000CB440000}"/>
    <cellStyle name="Normal 3 22 11" xfId="10688" xr:uid="{00000000-0005-0000-0000-0000CC440000}"/>
    <cellStyle name="Normal 3 22 11 10" xfId="10689" xr:uid="{00000000-0005-0000-0000-0000CD440000}"/>
    <cellStyle name="Normal 3 22 11 10 2" xfId="28232" xr:uid="{00000000-0005-0000-0000-0000CE440000}"/>
    <cellStyle name="Normal 3 22 11 11" xfId="10690" xr:uid="{00000000-0005-0000-0000-0000CF440000}"/>
    <cellStyle name="Normal 3 22 11 11 2" xfId="28233" xr:uid="{00000000-0005-0000-0000-0000D0440000}"/>
    <cellStyle name="Normal 3 22 11 12" xfId="10691" xr:uid="{00000000-0005-0000-0000-0000D1440000}"/>
    <cellStyle name="Normal 3 22 11 12 2" xfId="28234" xr:uid="{00000000-0005-0000-0000-0000D2440000}"/>
    <cellStyle name="Normal 3 22 11 13" xfId="10692" xr:uid="{00000000-0005-0000-0000-0000D3440000}"/>
    <cellStyle name="Normal 3 22 11 13 2" xfId="28235" xr:uid="{00000000-0005-0000-0000-0000D4440000}"/>
    <cellStyle name="Normal 3 22 11 14" xfId="10693" xr:uid="{00000000-0005-0000-0000-0000D5440000}"/>
    <cellStyle name="Normal 3 22 11 14 2" xfId="28236" xr:uid="{00000000-0005-0000-0000-0000D6440000}"/>
    <cellStyle name="Normal 3 22 11 15" xfId="28231" xr:uid="{00000000-0005-0000-0000-0000D7440000}"/>
    <cellStyle name="Normal 3 22 11 2" xfId="10694" xr:uid="{00000000-0005-0000-0000-0000D8440000}"/>
    <cellStyle name="Normal 3 22 11 2 2" xfId="28237" xr:uid="{00000000-0005-0000-0000-0000D9440000}"/>
    <cellStyle name="Normal 3 22 11 3" xfId="10695" xr:uid="{00000000-0005-0000-0000-0000DA440000}"/>
    <cellStyle name="Normal 3 22 11 3 2" xfId="28238" xr:uid="{00000000-0005-0000-0000-0000DB440000}"/>
    <cellStyle name="Normal 3 22 11 4" xfId="10696" xr:uid="{00000000-0005-0000-0000-0000DC440000}"/>
    <cellStyle name="Normal 3 22 11 4 2" xfId="28239" xr:uid="{00000000-0005-0000-0000-0000DD440000}"/>
    <cellStyle name="Normal 3 22 11 5" xfId="10697" xr:uid="{00000000-0005-0000-0000-0000DE440000}"/>
    <cellStyle name="Normal 3 22 11 5 2" xfId="28240" xr:uid="{00000000-0005-0000-0000-0000DF440000}"/>
    <cellStyle name="Normal 3 22 11 6" xfId="10698" xr:uid="{00000000-0005-0000-0000-0000E0440000}"/>
    <cellStyle name="Normal 3 22 11 6 2" xfId="28241" xr:uid="{00000000-0005-0000-0000-0000E1440000}"/>
    <cellStyle name="Normal 3 22 11 7" xfId="10699" xr:uid="{00000000-0005-0000-0000-0000E2440000}"/>
    <cellStyle name="Normal 3 22 11 7 2" xfId="28242" xr:uid="{00000000-0005-0000-0000-0000E3440000}"/>
    <cellStyle name="Normal 3 22 11 8" xfId="10700" xr:uid="{00000000-0005-0000-0000-0000E4440000}"/>
    <cellStyle name="Normal 3 22 11 8 2" xfId="28243" xr:uid="{00000000-0005-0000-0000-0000E5440000}"/>
    <cellStyle name="Normal 3 22 11 9" xfId="10701" xr:uid="{00000000-0005-0000-0000-0000E6440000}"/>
    <cellStyle name="Normal 3 22 11 9 2" xfId="28244" xr:uid="{00000000-0005-0000-0000-0000E7440000}"/>
    <cellStyle name="Normal 3 22 12" xfId="10702" xr:uid="{00000000-0005-0000-0000-0000E8440000}"/>
    <cellStyle name="Normal 3 22 12 10" xfId="10703" xr:uid="{00000000-0005-0000-0000-0000E9440000}"/>
    <cellStyle name="Normal 3 22 12 10 2" xfId="28246" xr:uid="{00000000-0005-0000-0000-0000EA440000}"/>
    <cellStyle name="Normal 3 22 12 11" xfId="10704" xr:uid="{00000000-0005-0000-0000-0000EB440000}"/>
    <cellStyle name="Normal 3 22 12 11 2" xfId="28247" xr:uid="{00000000-0005-0000-0000-0000EC440000}"/>
    <cellStyle name="Normal 3 22 12 12" xfId="10705" xr:uid="{00000000-0005-0000-0000-0000ED440000}"/>
    <cellStyle name="Normal 3 22 12 12 2" xfId="28248" xr:uid="{00000000-0005-0000-0000-0000EE440000}"/>
    <cellStyle name="Normal 3 22 12 13" xfId="10706" xr:uid="{00000000-0005-0000-0000-0000EF440000}"/>
    <cellStyle name="Normal 3 22 12 13 2" xfId="28249" xr:uid="{00000000-0005-0000-0000-0000F0440000}"/>
    <cellStyle name="Normal 3 22 12 14" xfId="10707" xr:uid="{00000000-0005-0000-0000-0000F1440000}"/>
    <cellStyle name="Normal 3 22 12 14 2" xfId="28250" xr:uid="{00000000-0005-0000-0000-0000F2440000}"/>
    <cellStyle name="Normal 3 22 12 15" xfId="28245" xr:uid="{00000000-0005-0000-0000-0000F3440000}"/>
    <cellStyle name="Normal 3 22 12 2" xfId="10708" xr:uid="{00000000-0005-0000-0000-0000F4440000}"/>
    <cellStyle name="Normal 3 22 12 2 2" xfId="28251" xr:uid="{00000000-0005-0000-0000-0000F5440000}"/>
    <cellStyle name="Normal 3 22 12 3" xfId="10709" xr:uid="{00000000-0005-0000-0000-0000F6440000}"/>
    <cellStyle name="Normal 3 22 12 3 2" xfId="28252" xr:uid="{00000000-0005-0000-0000-0000F7440000}"/>
    <cellStyle name="Normal 3 22 12 4" xfId="10710" xr:uid="{00000000-0005-0000-0000-0000F8440000}"/>
    <cellStyle name="Normal 3 22 12 4 2" xfId="28253" xr:uid="{00000000-0005-0000-0000-0000F9440000}"/>
    <cellStyle name="Normal 3 22 12 5" xfId="10711" xr:uid="{00000000-0005-0000-0000-0000FA440000}"/>
    <cellStyle name="Normal 3 22 12 5 2" xfId="28254" xr:uid="{00000000-0005-0000-0000-0000FB440000}"/>
    <cellStyle name="Normal 3 22 12 6" xfId="10712" xr:uid="{00000000-0005-0000-0000-0000FC440000}"/>
    <cellStyle name="Normal 3 22 12 6 2" xfId="28255" xr:uid="{00000000-0005-0000-0000-0000FD440000}"/>
    <cellStyle name="Normal 3 22 12 7" xfId="10713" xr:uid="{00000000-0005-0000-0000-0000FE440000}"/>
    <cellStyle name="Normal 3 22 12 7 2" xfId="28256" xr:uid="{00000000-0005-0000-0000-0000FF440000}"/>
    <cellStyle name="Normal 3 22 12 8" xfId="10714" xr:uid="{00000000-0005-0000-0000-000000450000}"/>
    <cellStyle name="Normal 3 22 12 8 2" xfId="28257" xr:uid="{00000000-0005-0000-0000-000001450000}"/>
    <cellStyle name="Normal 3 22 12 9" xfId="10715" xr:uid="{00000000-0005-0000-0000-000002450000}"/>
    <cellStyle name="Normal 3 22 12 9 2" xfId="28258" xr:uid="{00000000-0005-0000-0000-000003450000}"/>
    <cellStyle name="Normal 3 22 13" xfId="10716" xr:uid="{00000000-0005-0000-0000-000004450000}"/>
    <cellStyle name="Normal 3 22 13 10" xfId="10717" xr:uid="{00000000-0005-0000-0000-000005450000}"/>
    <cellStyle name="Normal 3 22 13 10 2" xfId="28260" xr:uid="{00000000-0005-0000-0000-000006450000}"/>
    <cellStyle name="Normal 3 22 13 11" xfId="10718" xr:uid="{00000000-0005-0000-0000-000007450000}"/>
    <cellStyle name="Normal 3 22 13 11 2" xfId="28261" xr:uid="{00000000-0005-0000-0000-000008450000}"/>
    <cellStyle name="Normal 3 22 13 12" xfId="10719" xr:uid="{00000000-0005-0000-0000-000009450000}"/>
    <cellStyle name="Normal 3 22 13 12 2" xfId="28262" xr:uid="{00000000-0005-0000-0000-00000A450000}"/>
    <cellStyle name="Normal 3 22 13 13" xfId="10720" xr:uid="{00000000-0005-0000-0000-00000B450000}"/>
    <cellStyle name="Normal 3 22 13 13 2" xfId="28263" xr:uid="{00000000-0005-0000-0000-00000C450000}"/>
    <cellStyle name="Normal 3 22 13 14" xfId="10721" xr:uid="{00000000-0005-0000-0000-00000D450000}"/>
    <cellStyle name="Normal 3 22 13 14 2" xfId="28264" xr:uid="{00000000-0005-0000-0000-00000E450000}"/>
    <cellStyle name="Normal 3 22 13 15" xfId="28259" xr:uid="{00000000-0005-0000-0000-00000F450000}"/>
    <cellStyle name="Normal 3 22 13 2" xfId="10722" xr:uid="{00000000-0005-0000-0000-000010450000}"/>
    <cellStyle name="Normal 3 22 13 2 2" xfId="28265" xr:uid="{00000000-0005-0000-0000-000011450000}"/>
    <cellStyle name="Normal 3 22 13 3" xfId="10723" xr:uid="{00000000-0005-0000-0000-000012450000}"/>
    <cellStyle name="Normal 3 22 13 3 2" xfId="28266" xr:uid="{00000000-0005-0000-0000-000013450000}"/>
    <cellStyle name="Normal 3 22 13 4" xfId="10724" xr:uid="{00000000-0005-0000-0000-000014450000}"/>
    <cellStyle name="Normal 3 22 13 4 2" xfId="28267" xr:uid="{00000000-0005-0000-0000-000015450000}"/>
    <cellStyle name="Normal 3 22 13 5" xfId="10725" xr:uid="{00000000-0005-0000-0000-000016450000}"/>
    <cellStyle name="Normal 3 22 13 5 2" xfId="28268" xr:uid="{00000000-0005-0000-0000-000017450000}"/>
    <cellStyle name="Normal 3 22 13 6" xfId="10726" xr:uid="{00000000-0005-0000-0000-000018450000}"/>
    <cellStyle name="Normal 3 22 13 6 2" xfId="28269" xr:uid="{00000000-0005-0000-0000-000019450000}"/>
    <cellStyle name="Normal 3 22 13 7" xfId="10727" xr:uid="{00000000-0005-0000-0000-00001A450000}"/>
    <cellStyle name="Normal 3 22 13 7 2" xfId="28270" xr:uid="{00000000-0005-0000-0000-00001B450000}"/>
    <cellStyle name="Normal 3 22 13 8" xfId="10728" xr:uid="{00000000-0005-0000-0000-00001C450000}"/>
    <cellStyle name="Normal 3 22 13 8 2" xfId="28271" xr:uid="{00000000-0005-0000-0000-00001D450000}"/>
    <cellStyle name="Normal 3 22 13 9" xfId="10729" xr:uid="{00000000-0005-0000-0000-00001E450000}"/>
    <cellStyle name="Normal 3 22 13 9 2" xfId="28272" xr:uid="{00000000-0005-0000-0000-00001F450000}"/>
    <cellStyle name="Normal 3 22 14" xfId="10730" xr:uid="{00000000-0005-0000-0000-000020450000}"/>
    <cellStyle name="Normal 3 22 14 10" xfId="10731" xr:uid="{00000000-0005-0000-0000-000021450000}"/>
    <cellStyle name="Normal 3 22 14 10 2" xfId="28274" xr:uid="{00000000-0005-0000-0000-000022450000}"/>
    <cellStyle name="Normal 3 22 14 11" xfId="10732" xr:uid="{00000000-0005-0000-0000-000023450000}"/>
    <cellStyle name="Normal 3 22 14 11 2" xfId="28275" xr:uid="{00000000-0005-0000-0000-000024450000}"/>
    <cellStyle name="Normal 3 22 14 12" xfId="10733" xr:uid="{00000000-0005-0000-0000-000025450000}"/>
    <cellStyle name="Normal 3 22 14 12 2" xfId="28276" xr:uid="{00000000-0005-0000-0000-000026450000}"/>
    <cellStyle name="Normal 3 22 14 13" xfId="10734" xr:uid="{00000000-0005-0000-0000-000027450000}"/>
    <cellStyle name="Normal 3 22 14 13 2" xfId="28277" xr:uid="{00000000-0005-0000-0000-000028450000}"/>
    <cellStyle name="Normal 3 22 14 14" xfId="10735" xr:uid="{00000000-0005-0000-0000-000029450000}"/>
    <cellStyle name="Normal 3 22 14 14 2" xfId="28278" xr:uid="{00000000-0005-0000-0000-00002A450000}"/>
    <cellStyle name="Normal 3 22 14 15" xfId="28273" xr:uid="{00000000-0005-0000-0000-00002B450000}"/>
    <cellStyle name="Normal 3 22 14 2" xfId="10736" xr:uid="{00000000-0005-0000-0000-00002C450000}"/>
    <cellStyle name="Normal 3 22 14 2 2" xfId="28279" xr:uid="{00000000-0005-0000-0000-00002D450000}"/>
    <cellStyle name="Normal 3 22 14 3" xfId="10737" xr:uid="{00000000-0005-0000-0000-00002E450000}"/>
    <cellStyle name="Normal 3 22 14 3 2" xfId="28280" xr:uid="{00000000-0005-0000-0000-00002F450000}"/>
    <cellStyle name="Normal 3 22 14 4" xfId="10738" xr:uid="{00000000-0005-0000-0000-000030450000}"/>
    <cellStyle name="Normal 3 22 14 4 2" xfId="28281" xr:uid="{00000000-0005-0000-0000-000031450000}"/>
    <cellStyle name="Normal 3 22 14 5" xfId="10739" xr:uid="{00000000-0005-0000-0000-000032450000}"/>
    <cellStyle name="Normal 3 22 14 5 2" xfId="28282" xr:uid="{00000000-0005-0000-0000-000033450000}"/>
    <cellStyle name="Normal 3 22 14 6" xfId="10740" xr:uid="{00000000-0005-0000-0000-000034450000}"/>
    <cellStyle name="Normal 3 22 14 6 2" xfId="28283" xr:uid="{00000000-0005-0000-0000-000035450000}"/>
    <cellStyle name="Normal 3 22 14 7" xfId="10741" xr:uid="{00000000-0005-0000-0000-000036450000}"/>
    <cellStyle name="Normal 3 22 14 7 2" xfId="28284" xr:uid="{00000000-0005-0000-0000-000037450000}"/>
    <cellStyle name="Normal 3 22 14 8" xfId="10742" xr:uid="{00000000-0005-0000-0000-000038450000}"/>
    <cellStyle name="Normal 3 22 14 8 2" xfId="28285" xr:uid="{00000000-0005-0000-0000-000039450000}"/>
    <cellStyle name="Normal 3 22 14 9" xfId="10743" xr:uid="{00000000-0005-0000-0000-00003A450000}"/>
    <cellStyle name="Normal 3 22 14 9 2" xfId="28286" xr:uid="{00000000-0005-0000-0000-00003B450000}"/>
    <cellStyle name="Normal 3 22 15" xfId="10744" xr:uid="{00000000-0005-0000-0000-00003C450000}"/>
    <cellStyle name="Normal 3 22 15 2" xfId="28287" xr:uid="{00000000-0005-0000-0000-00003D450000}"/>
    <cellStyle name="Normal 3 22 16" xfId="10745" xr:uid="{00000000-0005-0000-0000-00003E450000}"/>
    <cellStyle name="Normal 3 22 16 2" xfId="28288" xr:uid="{00000000-0005-0000-0000-00003F450000}"/>
    <cellStyle name="Normal 3 22 17" xfId="10746" xr:uid="{00000000-0005-0000-0000-000040450000}"/>
    <cellStyle name="Normal 3 22 17 2" xfId="28289" xr:uid="{00000000-0005-0000-0000-000041450000}"/>
    <cellStyle name="Normal 3 22 18" xfId="10747" xr:uid="{00000000-0005-0000-0000-000042450000}"/>
    <cellStyle name="Normal 3 22 18 2" xfId="28290" xr:uid="{00000000-0005-0000-0000-000043450000}"/>
    <cellStyle name="Normal 3 22 19" xfId="10748" xr:uid="{00000000-0005-0000-0000-000044450000}"/>
    <cellStyle name="Normal 3 22 19 2" xfId="28291" xr:uid="{00000000-0005-0000-0000-000045450000}"/>
    <cellStyle name="Normal 3 22 2" xfId="10749" xr:uid="{00000000-0005-0000-0000-000046450000}"/>
    <cellStyle name="Normal 3 22 20" xfId="10750" xr:uid="{00000000-0005-0000-0000-000047450000}"/>
    <cellStyle name="Normal 3 22 20 2" xfId="28292" xr:uid="{00000000-0005-0000-0000-000048450000}"/>
    <cellStyle name="Normal 3 22 21" xfId="10751" xr:uid="{00000000-0005-0000-0000-000049450000}"/>
    <cellStyle name="Normal 3 22 21 2" xfId="28293" xr:uid="{00000000-0005-0000-0000-00004A450000}"/>
    <cellStyle name="Normal 3 22 22" xfId="10752" xr:uid="{00000000-0005-0000-0000-00004B450000}"/>
    <cellStyle name="Normal 3 22 22 2" xfId="28294" xr:uid="{00000000-0005-0000-0000-00004C450000}"/>
    <cellStyle name="Normal 3 22 23" xfId="10753" xr:uid="{00000000-0005-0000-0000-00004D450000}"/>
    <cellStyle name="Normal 3 22 23 2" xfId="28295" xr:uid="{00000000-0005-0000-0000-00004E450000}"/>
    <cellStyle name="Normal 3 22 24" xfId="10754" xr:uid="{00000000-0005-0000-0000-00004F450000}"/>
    <cellStyle name="Normal 3 22 24 2" xfId="28296" xr:uid="{00000000-0005-0000-0000-000050450000}"/>
    <cellStyle name="Normal 3 22 25" xfId="10755" xr:uid="{00000000-0005-0000-0000-000051450000}"/>
    <cellStyle name="Normal 3 22 25 2" xfId="28297" xr:uid="{00000000-0005-0000-0000-000052450000}"/>
    <cellStyle name="Normal 3 22 26" xfId="10756" xr:uid="{00000000-0005-0000-0000-000053450000}"/>
    <cellStyle name="Normal 3 22 26 2" xfId="28298" xr:uid="{00000000-0005-0000-0000-000054450000}"/>
    <cellStyle name="Normal 3 22 27" xfId="10757" xr:uid="{00000000-0005-0000-0000-000055450000}"/>
    <cellStyle name="Normal 3 22 27 2" xfId="28299" xr:uid="{00000000-0005-0000-0000-000056450000}"/>
    <cellStyle name="Normal 3 22 28" xfId="28216" xr:uid="{00000000-0005-0000-0000-000057450000}"/>
    <cellStyle name="Normal 3 22 3" xfId="10758" xr:uid="{00000000-0005-0000-0000-000058450000}"/>
    <cellStyle name="Normal 3 22 4" xfId="10759" xr:uid="{00000000-0005-0000-0000-000059450000}"/>
    <cellStyle name="Normal 3 22 5" xfId="10760" xr:uid="{00000000-0005-0000-0000-00005A450000}"/>
    <cellStyle name="Normal 3 22 6" xfId="10761" xr:uid="{00000000-0005-0000-0000-00005B450000}"/>
    <cellStyle name="Normal 3 22 6 10" xfId="10762" xr:uid="{00000000-0005-0000-0000-00005C450000}"/>
    <cellStyle name="Normal 3 22 6 10 2" xfId="28301" xr:uid="{00000000-0005-0000-0000-00005D450000}"/>
    <cellStyle name="Normal 3 22 6 11" xfId="10763" xr:uid="{00000000-0005-0000-0000-00005E450000}"/>
    <cellStyle name="Normal 3 22 6 11 2" xfId="28302" xr:uid="{00000000-0005-0000-0000-00005F450000}"/>
    <cellStyle name="Normal 3 22 6 12" xfId="10764" xr:uid="{00000000-0005-0000-0000-000060450000}"/>
    <cellStyle name="Normal 3 22 6 12 2" xfId="28303" xr:uid="{00000000-0005-0000-0000-000061450000}"/>
    <cellStyle name="Normal 3 22 6 13" xfId="10765" xr:uid="{00000000-0005-0000-0000-000062450000}"/>
    <cellStyle name="Normal 3 22 6 13 2" xfId="28304" xr:uid="{00000000-0005-0000-0000-000063450000}"/>
    <cellStyle name="Normal 3 22 6 14" xfId="10766" xr:uid="{00000000-0005-0000-0000-000064450000}"/>
    <cellStyle name="Normal 3 22 6 14 2" xfId="28305" xr:uid="{00000000-0005-0000-0000-000065450000}"/>
    <cellStyle name="Normal 3 22 6 15" xfId="10767" xr:uid="{00000000-0005-0000-0000-000066450000}"/>
    <cellStyle name="Normal 3 22 6 15 2" xfId="28306" xr:uid="{00000000-0005-0000-0000-000067450000}"/>
    <cellStyle name="Normal 3 22 6 16" xfId="28300" xr:uid="{00000000-0005-0000-0000-000068450000}"/>
    <cellStyle name="Normal 3 22 6 2" xfId="10768" xr:uid="{00000000-0005-0000-0000-000069450000}"/>
    <cellStyle name="Normal 3 22 6 2 10" xfId="10769" xr:uid="{00000000-0005-0000-0000-00006A450000}"/>
    <cellStyle name="Normal 3 22 6 2 10 2" xfId="28308" xr:uid="{00000000-0005-0000-0000-00006B450000}"/>
    <cellStyle name="Normal 3 22 6 2 11" xfId="10770" xr:uid="{00000000-0005-0000-0000-00006C450000}"/>
    <cellStyle name="Normal 3 22 6 2 11 2" xfId="28309" xr:uid="{00000000-0005-0000-0000-00006D450000}"/>
    <cellStyle name="Normal 3 22 6 2 12" xfId="10771" xr:uid="{00000000-0005-0000-0000-00006E450000}"/>
    <cellStyle name="Normal 3 22 6 2 12 2" xfId="28310" xr:uid="{00000000-0005-0000-0000-00006F450000}"/>
    <cellStyle name="Normal 3 22 6 2 13" xfId="10772" xr:uid="{00000000-0005-0000-0000-000070450000}"/>
    <cellStyle name="Normal 3 22 6 2 13 2" xfId="28311" xr:uid="{00000000-0005-0000-0000-000071450000}"/>
    <cellStyle name="Normal 3 22 6 2 14" xfId="10773" xr:uid="{00000000-0005-0000-0000-000072450000}"/>
    <cellStyle name="Normal 3 22 6 2 14 2" xfId="28312" xr:uid="{00000000-0005-0000-0000-000073450000}"/>
    <cellStyle name="Normal 3 22 6 2 15" xfId="28307" xr:uid="{00000000-0005-0000-0000-000074450000}"/>
    <cellStyle name="Normal 3 22 6 2 2" xfId="10774" xr:uid="{00000000-0005-0000-0000-000075450000}"/>
    <cellStyle name="Normal 3 22 6 2 2 2" xfId="28313" xr:uid="{00000000-0005-0000-0000-000076450000}"/>
    <cellStyle name="Normal 3 22 6 2 3" xfId="10775" xr:uid="{00000000-0005-0000-0000-000077450000}"/>
    <cellStyle name="Normal 3 22 6 2 3 2" xfId="28314" xr:uid="{00000000-0005-0000-0000-000078450000}"/>
    <cellStyle name="Normal 3 22 6 2 4" xfId="10776" xr:uid="{00000000-0005-0000-0000-000079450000}"/>
    <cellStyle name="Normal 3 22 6 2 4 2" xfId="28315" xr:uid="{00000000-0005-0000-0000-00007A450000}"/>
    <cellStyle name="Normal 3 22 6 2 5" xfId="10777" xr:uid="{00000000-0005-0000-0000-00007B450000}"/>
    <cellStyle name="Normal 3 22 6 2 5 2" xfId="28316" xr:uid="{00000000-0005-0000-0000-00007C450000}"/>
    <cellStyle name="Normal 3 22 6 2 6" xfId="10778" xr:uid="{00000000-0005-0000-0000-00007D450000}"/>
    <cellStyle name="Normal 3 22 6 2 6 2" xfId="28317" xr:uid="{00000000-0005-0000-0000-00007E450000}"/>
    <cellStyle name="Normal 3 22 6 2 7" xfId="10779" xr:uid="{00000000-0005-0000-0000-00007F450000}"/>
    <cellStyle name="Normal 3 22 6 2 7 2" xfId="28318" xr:uid="{00000000-0005-0000-0000-000080450000}"/>
    <cellStyle name="Normal 3 22 6 2 8" xfId="10780" xr:uid="{00000000-0005-0000-0000-000081450000}"/>
    <cellStyle name="Normal 3 22 6 2 8 2" xfId="28319" xr:uid="{00000000-0005-0000-0000-000082450000}"/>
    <cellStyle name="Normal 3 22 6 2 9" xfId="10781" xr:uid="{00000000-0005-0000-0000-000083450000}"/>
    <cellStyle name="Normal 3 22 6 2 9 2" xfId="28320" xr:uid="{00000000-0005-0000-0000-000084450000}"/>
    <cellStyle name="Normal 3 22 6 3" xfId="10782" xr:uid="{00000000-0005-0000-0000-000085450000}"/>
    <cellStyle name="Normal 3 22 6 3 2" xfId="28321" xr:uid="{00000000-0005-0000-0000-000086450000}"/>
    <cellStyle name="Normal 3 22 6 4" xfId="10783" xr:uid="{00000000-0005-0000-0000-000087450000}"/>
    <cellStyle name="Normal 3 22 6 4 2" xfId="28322" xr:uid="{00000000-0005-0000-0000-000088450000}"/>
    <cellStyle name="Normal 3 22 6 5" xfId="10784" xr:uid="{00000000-0005-0000-0000-000089450000}"/>
    <cellStyle name="Normal 3 22 6 5 2" xfId="28323" xr:uid="{00000000-0005-0000-0000-00008A450000}"/>
    <cellStyle name="Normal 3 22 6 6" xfId="10785" xr:uid="{00000000-0005-0000-0000-00008B450000}"/>
    <cellStyle name="Normal 3 22 6 6 2" xfId="28324" xr:uid="{00000000-0005-0000-0000-00008C450000}"/>
    <cellStyle name="Normal 3 22 6 7" xfId="10786" xr:uid="{00000000-0005-0000-0000-00008D450000}"/>
    <cellStyle name="Normal 3 22 6 7 2" xfId="28325" xr:uid="{00000000-0005-0000-0000-00008E450000}"/>
    <cellStyle name="Normal 3 22 6 8" xfId="10787" xr:uid="{00000000-0005-0000-0000-00008F450000}"/>
    <cellStyle name="Normal 3 22 6 8 2" xfId="28326" xr:uid="{00000000-0005-0000-0000-000090450000}"/>
    <cellStyle name="Normal 3 22 6 9" xfId="10788" xr:uid="{00000000-0005-0000-0000-000091450000}"/>
    <cellStyle name="Normal 3 22 6 9 2" xfId="28327" xr:uid="{00000000-0005-0000-0000-000092450000}"/>
    <cellStyle name="Normal 3 22 7" xfId="10789" xr:uid="{00000000-0005-0000-0000-000093450000}"/>
    <cellStyle name="Normal 3 22 7 10" xfId="10790" xr:uid="{00000000-0005-0000-0000-000094450000}"/>
    <cellStyle name="Normal 3 22 7 10 2" xfId="28329" xr:uid="{00000000-0005-0000-0000-000095450000}"/>
    <cellStyle name="Normal 3 22 7 11" xfId="10791" xr:uid="{00000000-0005-0000-0000-000096450000}"/>
    <cellStyle name="Normal 3 22 7 11 2" xfId="28330" xr:uid="{00000000-0005-0000-0000-000097450000}"/>
    <cellStyle name="Normal 3 22 7 12" xfId="10792" xr:uid="{00000000-0005-0000-0000-000098450000}"/>
    <cellStyle name="Normal 3 22 7 12 2" xfId="28331" xr:uid="{00000000-0005-0000-0000-000099450000}"/>
    <cellStyle name="Normal 3 22 7 13" xfId="10793" xr:uid="{00000000-0005-0000-0000-00009A450000}"/>
    <cellStyle name="Normal 3 22 7 13 2" xfId="28332" xr:uid="{00000000-0005-0000-0000-00009B450000}"/>
    <cellStyle name="Normal 3 22 7 14" xfId="10794" xr:uid="{00000000-0005-0000-0000-00009C450000}"/>
    <cellStyle name="Normal 3 22 7 14 2" xfId="28333" xr:uid="{00000000-0005-0000-0000-00009D450000}"/>
    <cellStyle name="Normal 3 22 7 15" xfId="10795" xr:uid="{00000000-0005-0000-0000-00009E450000}"/>
    <cellStyle name="Normal 3 22 7 15 2" xfId="28334" xr:uid="{00000000-0005-0000-0000-00009F450000}"/>
    <cellStyle name="Normal 3 22 7 16" xfId="28328" xr:uid="{00000000-0005-0000-0000-0000A0450000}"/>
    <cellStyle name="Normal 3 22 7 2" xfId="10796" xr:uid="{00000000-0005-0000-0000-0000A1450000}"/>
    <cellStyle name="Normal 3 22 7 2 10" xfId="10797" xr:uid="{00000000-0005-0000-0000-0000A2450000}"/>
    <cellStyle name="Normal 3 22 7 2 10 2" xfId="28336" xr:uid="{00000000-0005-0000-0000-0000A3450000}"/>
    <cellStyle name="Normal 3 22 7 2 11" xfId="10798" xr:uid="{00000000-0005-0000-0000-0000A4450000}"/>
    <cellStyle name="Normal 3 22 7 2 11 2" xfId="28337" xr:uid="{00000000-0005-0000-0000-0000A5450000}"/>
    <cellStyle name="Normal 3 22 7 2 12" xfId="10799" xr:uid="{00000000-0005-0000-0000-0000A6450000}"/>
    <cellStyle name="Normal 3 22 7 2 12 2" xfId="28338" xr:uid="{00000000-0005-0000-0000-0000A7450000}"/>
    <cellStyle name="Normal 3 22 7 2 13" xfId="10800" xr:uid="{00000000-0005-0000-0000-0000A8450000}"/>
    <cellStyle name="Normal 3 22 7 2 13 2" xfId="28339" xr:uid="{00000000-0005-0000-0000-0000A9450000}"/>
    <cellStyle name="Normal 3 22 7 2 14" xfId="10801" xr:uid="{00000000-0005-0000-0000-0000AA450000}"/>
    <cellStyle name="Normal 3 22 7 2 14 2" xfId="28340" xr:uid="{00000000-0005-0000-0000-0000AB450000}"/>
    <cellStyle name="Normal 3 22 7 2 15" xfId="28335" xr:uid="{00000000-0005-0000-0000-0000AC450000}"/>
    <cellStyle name="Normal 3 22 7 2 2" xfId="10802" xr:uid="{00000000-0005-0000-0000-0000AD450000}"/>
    <cellStyle name="Normal 3 22 7 2 2 2" xfId="28341" xr:uid="{00000000-0005-0000-0000-0000AE450000}"/>
    <cellStyle name="Normal 3 22 7 2 3" xfId="10803" xr:uid="{00000000-0005-0000-0000-0000AF450000}"/>
    <cellStyle name="Normal 3 22 7 2 3 2" xfId="28342" xr:uid="{00000000-0005-0000-0000-0000B0450000}"/>
    <cellStyle name="Normal 3 22 7 2 4" xfId="10804" xr:uid="{00000000-0005-0000-0000-0000B1450000}"/>
    <cellStyle name="Normal 3 22 7 2 4 2" xfId="28343" xr:uid="{00000000-0005-0000-0000-0000B2450000}"/>
    <cellStyle name="Normal 3 22 7 2 5" xfId="10805" xr:uid="{00000000-0005-0000-0000-0000B3450000}"/>
    <cellStyle name="Normal 3 22 7 2 5 2" xfId="28344" xr:uid="{00000000-0005-0000-0000-0000B4450000}"/>
    <cellStyle name="Normal 3 22 7 2 6" xfId="10806" xr:uid="{00000000-0005-0000-0000-0000B5450000}"/>
    <cellStyle name="Normal 3 22 7 2 6 2" xfId="28345" xr:uid="{00000000-0005-0000-0000-0000B6450000}"/>
    <cellStyle name="Normal 3 22 7 2 7" xfId="10807" xr:uid="{00000000-0005-0000-0000-0000B7450000}"/>
    <cellStyle name="Normal 3 22 7 2 7 2" xfId="28346" xr:uid="{00000000-0005-0000-0000-0000B8450000}"/>
    <cellStyle name="Normal 3 22 7 2 8" xfId="10808" xr:uid="{00000000-0005-0000-0000-0000B9450000}"/>
    <cellStyle name="Normal 3 22 7 2 8 2" xfId="28347" xr:uid="{00000000-0005-0000-0000-0000BA450000}"/>
    <cellStyle name="Normal 3 22 7 2 9" xfId="10809" xr:uid="{00000000-0005-0000-0000-0000BB450000}"/>
    <cellStyle name="Normal 3 22 7 2 9 2" xfId="28348" xr:uid="{00000000-0005-0000-0000-0000BC450000}"/>
    <cellStyle name="Normal 3 22 7 3" xfId="10810" xr:uid="{00000000-0005-0000-0000-0000BD450000}"/>
    <cellStyle name="Normal 3 22 7 3 2" xfId="28349" xr:uid="{00000000-0005-0000-0000-0000BE450000}"/>
    <cellStyle name="Normal 3 22 7 4" xfId="10811" xr:uid="{00000000-0005-0000-0000-0000BF450000}"/>
    <cellStyle name="Normal 3 22 7 4 2" xfId="28350" xr:uid="{00000000-0005-0000-0000-0000C0450000}"/>
    <cellStyle name="Normal 3 22 7 5" xfId="10812" xr:uid="{00000000-0005-0000-0000-0000C1450000}"/>
    <cellStyle name="Normal 3 22 7 5 2" xfId="28351" xr:uid="{00000000-0005-0000-0000-0000C2450000}"/>
    <cellStyle name="Normal 3 22 7 6" xfId="10813" xr:uid="{00000000-0005-0000-0000-0000C3450000}"/>
    <cellStyle name="Normal 3 22 7 6 2" xfId="28352" xr:uid="{00000000-0005-0000-0000-0000C4450000}"/>
    <cellStyle name="Normal 3 22 7 7" xfId="10814" xr:uid="{00000000-0005-0000-0000-0000C5450000}"/>
    <cellStyle name="Normal 3 22 7 7 2" xfId="28353" xr:uid="{00000000-0005-0000-0000-0000C6450000}"/>
    <cellStyle name="Normal 3 22 7 8" xfId="10815" xr:uid="{00000000-0005-0000-0000-0000C7450000}"/>
    <cellStyle name="Normal 3 22 7 8 2" xfId="28354" xr:uid="{00000000-0005-0000-0000-0000C8450000}"/>
    <cellStyle name="Normal 3 22 7 9" xfId="10816" xr:uid="{00000000-0005-0000-0000-0000C9450000}"/>
    <cellStyle name="Normal 3 22 7 9 2" xfId="28355" xr:uid="{00000000-0005-0000-0000-0000CA450000}"/>
    <cellStyle name="Normal 3 22 8" xfId="10817" xr:uid="{00000000-0005-0000-0000-0000CB450000}"/>
    <cellStyle name="Normal 3 22 8 10" xfId="10818" xr:uid="{00000000-0005-0000-0000-0000CC450000}"/>
    <cellStyle name="Normal 3 22 8 10 2" xfId="28357" xr:uid="{00000000-0005-0000-0000-0000CD450000}"/>
    <cellStyle name="Normal 3 22 8 11" xfId="10819" xr:uid="{00000000-0005-0000-0000-0000CE450000}"/>
    <cellStyle name="Normal 3 22 8 11 2" xfId="28358" xr:uid="{00000000-0005-0000-0000-0000CF450000}"/>
    <cellStyle name="Normal 3 22 8 12" xfId="10820" xr:uid="{00000000-0005-0000-0000-0000D0450000}"/>
    <cellStyle name="Normal 3 22 8 12 2" xfId="28359" xr:uid="{00000000-0005-0000-0000-0000D1450000}"/>
    <cellStyle name="Normal 3 22 8 13" xfId="10821" xr:uid="{00000000-0005-0000-0000-0000D2450000}"/>
    <cellStyle name="Normal 3 22 8 13 2" xfId="28360" xr:uid="{00000000-0005-0000-0000-0000D3450000}"/>
    <cellStyle name="Normal 3 22 8 14" xfId="10822" xr:uid="{00000000-0005-0000-0000-0000D4450000}"/>
    <cellStyle name="Normal 3 22 8 14 2" xfId="28361" xr:uid="{00000000-0005-0000-0000-0000D5450000}"/>
    <cellStyle name="Normal 3 22 8 15" xfId="10823" xr:uid="{00000000-0005-0000-0000-0000D6450000}"/>
    <cellStyle name="Normal 3 22 8 15 2" xfId="28362" xr:uid="{00000000-0005-0000-0000-0000D7450000}"/>
    <cellStyle name="Normal 3 22 8 16" xfId="28356" xr:uid="{00000000-0005-0000-0000-0000D8450000}"/>
    <cellStyle name="Normal 3 22 8 2" xfId="10824" xr:uid="{00000000-0005-0000-0000-0000D9450000}"/>
    <cellStyle name="Normal 3 22 8 2 10" xfId="10825" xr:uid="{00000000-0005-0000-0000-0000DA450000}"/>
    <cellStyle name="Normal 3 22 8 2 10 2" xfId="28364" xr:uid="{00000000-0005-0000-0000-0000DB450000}"/>
    <cellStyle name="Normal 3 22 8 2 11" xfId="10826" xr:uid="{00000000-0005-0000-0000-0000DC450000}"/>
    <cellStyle name="Normal 3 22 8 2 11 2" xfId="28365" xr:uid="{00000000-0005-0000-0000-0000DD450000}"/>
    <cellStyle name="Normal 3 22 8 2 12" xfId="10827" xr:uid="{00000000-0005-0000-0000-0000DE450000}"/>
    <cellStyle name="Normal 3 22 8 2 12 2" xfId="28366" xr:uid="{00000000-0005-0000-0000-0000DF450000}"/>
    <cellStyle name="Normal 3 22 8 2 13" xfId="10828" xr:uid="{00000000-0005-0000-0000-0000E0450000}"/>
    <cellStyle name="Normal 3 22 8 2 13 2" xfId="28367" xr:uid="{00000000-0005-0000-0000-0000E1450000}"/>
    <cellStyle name="Normal 3 22 8 2 14" xfId="10829" xr:uid="{00000000-0005-0000-0000-0000E2450000}"/>
    <cellStyle name="Normal 3 22 8 2 14 2" xfId="28368" xr:uid="{00000000-0005-0000-0000-0000E3450000}"/>
    <cellStyle name="Normal 3 22 8 2 15" xfId="28363" xr:uid="{00000000-0005-0000-0000-0000E4450000}"/>
    <cellStyle name="Normal 3 22 8 2 2" xfId="10830" xr:uid="{00000000-0005-0000-0000-0000E5450000}"/>
    <cellStyle name="Normal 3 22 8 2 2 2" xfId="28369" xr:uid="{00000000-0005-0000-0000-0000E6450000}"/>
    <cellStyle name="Normal 3 22 8 2 3" xfId="10831" xr:uid="{00000000-0005-0000-0000-0000E7450000}"/>
    <cellStyle name="Normal 3 22 8 2 3 2" xfId="28370" xr:uid="{00000000-0005-0000-0000-0000E8450000}"/>
    <cellStyle name="Normal 3 22 8 2 4" xfId="10832" xr:uid="{00000000-0005-0000-0000-0000E9450000}"/>
    <cellStyle name="Normal 3 22 8 2 4 2" xfId="28371" xr:uid="{00000000-0005-0000-0000-0000EA450000}"/>
    <cellStyle name="Normal 3 22 8 2 5" xfId="10833" xr:uid="{00000000-0005-0000-0000-0000EB450000}"/>
    <cellStyle name="Normal 3 22 8 2 5 2" xfId="28372" xr:uid="{00000000-0005-0000-0000-0000EC450000}"/>
    <cellStyle name="Normal 3 22 8 2 6" xfId="10834" xr:uid="{00000000-0005-0000-0000-0000ED450000}"/>
    <cellStyle name="Normal 3 22 8 2 6 2" xfId="28373" xr:uid="{00000000-0005-0000-0000-0000EE450000}"/>
    <cellStyle name="Normal 3 22 8 2 7" xfId="10835" xr:uid="{00000000-0005-0000-0000-0000EF450000}"/>
    <cellStyle name="Normal 3 22 8 2 7 2" xfId="28374" xr:uid="{00000000-0005-0000-0000-0000F0450000}"/>
    <cellStyle name="Normal 3 22 8 2 8" xfId="10836" xr:uid="{00000000-0005-0000-0000-0000F1450000}"/>
    <cellStyle name="Normal 3 22 8 2 8 2" xfId="28375" xr:uid="{00000000-0005-0000-0000-0000F2450000}"/>
    <cellStyle name="Normal 3 22 8 2 9" xfId="10837" xr:uid="{00000000-0005-0000-0000-0000F3450000}"/>
    <cellStyle name="Normal 3 22 8 2 9 2" xfId="28376" xr:uid="{00000000-0005-0000-0000-0000F4450000}"/>
    <cellStyle name="Normal 3 22 8 3" xfId="10838" xr:uid="{00000000-0005-0000-0000-0000F5450000}"/>
    <cellStyle name="Normal 3 22 8 3 2" xfId="28377" xr:uid="{00000000-0005-0000-0000-0000F6450000}"/>
    <cellStyle name="Normal 3 22 8 4" xfId="10839" xr:uid="{00000000-0005-0000-0000-0000F7450000}"/>
    <cellStyle name="Normal 3 22 8 4 2" xfId="28378" xr:uid="{00000000-0005-0000-0000-0000F8450000}"/>
    <cellStyle name="Normal 3 22 8 5" xfId="10840" xr:uid="{00000000-0005-0000-0000-0000F9450000}"/>
    <cellStyle name="Normal 3 22 8 5 2" xfId="28379" xr:uid="{00000000-0005-0000-0000-0000FA450000}"/>
    <cellStyle name="Normal 3 22 8 6" xfId="10841" xr:uid="{00000000-0005-0000-0000-0000FB450000}"/>
    <cellStyle name="Normal 3 22 8 6 2" xfId="28380" xr:uid="{00000000-0005-0000-0000-0000FC450000}"/>
    <cellStyle name="Normal 3 22 8 7" xfId="10842" xr:uid="{00000000-0005-0000-0000-0000FD450000}"/>
    <cellStyle name="Normal 3 22 8 7 2" xfId="28381" xr:uid="{00000000-0005-0000-0000-0000FE450000}"/>
    <cellStyle name="Normal 3 22 8 8" xfId="10843" xr:uid="{00000000-0005-0000-0000-0000FF450000}"/>
    <cellStyle name="Normal 3 22 8 8 2" xfId="28382" xr:uid="{00000000-0005-0000-0000-000000460000}"/>
    <cellStyle name="Normal 3 22 8 9" xfId="10844" xr:uid="{00000000-0005-0000-0000-000001460000}"/>
    <cellStyle name="Normal 3 22 8 9 2" xfId="28383" xr:uid="{00000000-0005-0000-0000-000002460000}"/>
    <cellStyle name="Normal 3 22 9" xfId="10845" xr:uid="{00000000-0005-0000-0000-000003460000}"/>
    <cellStyle name="Normal 3 22 9 10" xfId="10846" xr:uid="{00000000-0005-0000-0000-000004460000}"/>
    <cellStyle name="Normal 3 22 9 10 2" xfId="28385" xr:uid="{00000000-0005-0000-0000-000005460000}"/>
    <cellStyle name="Normal 3 22 9 11" xfId="10847" xr:uid="{00000000-0005-0000-0000-000006460000}"/>
    <cellStyle name="Normal 3 22 9 11 2" xfId="28386" xr:uid="{00000000-0005-0000-0000-000007460000}"/>
    <cellStyle name="Normal 3 22 9 12" xfId="10848" xr:uid="{00000000-0005-0000-0000-000008460000}"/>
    <cellStyle name="Normal 3 22 9 12 2" xfId="28387" xr:uid="{00000000-0005-0000-0000-000009460000}"/>
    <cellStyle name="Normal 3 22 9 13" xfId="10849" xr:uid="{00000000-0005-0000-0000-00000A460000}"/>
    <cellStyle name="Normal 3 22 9 13 2" xfId="28388" xr:uid="{00000000-0005-0000-0000-00000B460000}"/>
    <cellStyle name="Normal 3 22 9 14" xfId="10850" xr:uid="{00000000-0005-0000-0000-00000C460000}"/>
    <cellStyle name="Normal 3 22 9 14 2" xfId="28389" xr:uid="{00000000-0005-0000-0000-00000D460000}"/>
    <cellStyle name="Normal 3 22 9 15" xfId="28384" xr:uid="{00000000-0005-0000-0000-00000E460000}"/>
    <cellStyle name="Normal 3 22 9 2" xfId="10851" xr:uid="{00000000-0005-0000-0000-00000F460000}"/>
    <cellStyle name="Normal 3 22 9 2 2" xfId="28390" xr:uid="{00000000-0005-0000-0000-000010460000}"/>
    <cellStyle name="Normal 3 22 9 3" xfId="10852" xr:uid="{00000000-0005-0000-0000-000011460000}"/>
    <cellStyle name="Normal 3 22 9 3 2" xfId="28391" xr:uid="{00000000-0005-0000-0000-000012460000}"/>
    <cellStyle name="Normal 3 22 9 4" xfId="10853" xr:uid="{00000000-0005-0000-0000-000013460000}"/>
    <cellStyle name="Normal 3 22 9 4 2" xfId="28392" xr:uid="{00000000-0005-0000-0000-000014460000}"/>
    <cellStyle name="Normal 3 22 9 5" xfId="10854" xr:uid="{00000000-0005-0000-0000-000015460000}"/>
    <cellStyle name="Normal 3 22 9 5 2" xfId="28393" xr:uid="{00000000-0005-0000-0000-000016460000}"/>
    <cellStyle name="Normal 3 22 9 6" xfId="10855" xr:uid="{00000000-0005-0000-0000-000017460000}"/>
    <cellStyle name="Normal 3 22 9 6 2" xfId="28394" xr:uid="{00000000-0005-0000-0000-000018460000}"/>
    <cellStyle name="Normal 3 22 9 7" xfId="10856" xr:uid="{00000000-0005-0000-0000-000019460000}"/>
    <cellStyle name="Normal 3 22 9 7 2" xfId="28395" xr:uid="{00000000-0005-0000-0000-00001A460000}"/>
    <cellStyle name="Normal 3 22 9 8" xfId="10857" xr:uid="{00000000-0005-0000-0000-00001B460000}"/>
    <cellStyle name="Normal 3 22 9 8 2" xfId="28396" xr:uid="{00000000-0005-0000-0000-00001C460000}"/>
    <cellStyle name="Normal 3 22 9 9" xfId="10858" xr:uid="{00000000-0005-0000-0000-00001D460000}"/>
    <cellStyle name="Normal 3 22 9 9 2" xfId="28397" xr:uid="{00000000-0005-0000-0000-00001E460000}"/>
    <cellStyle name="Normal 3 23" xfId="10859" xr:uid="{00000000-0005-0000-0000-00001F460000}"/>
    <cellStyle name="Normal 3 24" xfId="10860" xr:uid="{00000000-0005-0000-0000-000020460000}"/>
    <cellStyle name="Normal 3 25" xfId="10861" xr:uid="{00000000-0005-0000-0000-000021460000}"/>
    <cellStyle name="Normal 3 26" xfId="10862" xr:uid="{00000000-0005-0000-0000-000022460000}"/>
    <cellStyle name="Normal 3 27" xfId="10863" xr:uid="{00000000-0005-0000-0000-000023460000}"/>
    <cellStyle name="Normal 3 28" xfId="10864" xr:uid="{00000000-0005-0000-0000-000024460000}"/>
    <cellStyle name="Normal 3 29" xfId="10865" xr:uid="{00000000-0005-0000-0000-000025460000}"/>
    <cellStyle name="Normal 3 3" xfId="62" xr:uid="{00000000-0005-0000-0000-000026460000}"/>
    <cellStyle name="Normal 3 3 10" xfId="10867" xr:uid="{00000000-0005-0000-0000-000027460000}"/>
    <cellStyle name="Normal 3 3 10 10" xfId="10868" xr:uid="{00000000-0005-0000-0000-000028460000}"/>
    <cellStyle name="Normal 3 3 10 10 10" xfId="10869" xr:uid="{00000000-0005-0000-0000-000029460000}"/>
    <cellStyle name="Normal 3 3 10 10 10 2" xfId="28400" xr:uid="{00000000-0005-0000-0000-00002A460000}"/>
    <cellStyle name="Normal 3 3 10 10 11" xfId="10870" xr:uid="{00000000-0005-0000-0000-00002B460000}"/>
    <cellStyle name="Normal 3 3 10 10 11 2" xfId="28401" xr:uid="{00000000-0005-0000-0000-00002C460000}"/>
    <cellStyle name="Normal 3 3 10 10 12" xfId="10871" xr:uid="{00000000-0005-0000-0000-00002D460000}"/>
    <cellStyle name="Normal 3 3 10 10 12 2" xfId="28402" xr:uid="{00000000-0005-0000-0000-00002E460000}"/>
    <cellStyle name="Normal 3 3 10 10 13" xfId="10872" xr:uid="{00000000-0005-0000-0000-00002F460000}"/>
    <cellStyle name="Normal 3 3 10 10 13 2" xfId="28403" xr:uid="{00000000-0005-0000-0000-000030460000}"/>
    <cellStyle name="Normal 3 3 10 10 14" xfId="10873" xr:uid="{00000000-0005-0000-0000-000031460000}"/>
    <cellStyle name="Normal 3 3 10 10 14 2" xfId="28404" xr:uid="{00000000-0005-0000-0000-000032460000}"/>
    <cellStyle name="Normal 3 3 10 10 15" xfId="28399" xr:uid="{00000000-0005-0000-0000-000033460000}"/>
    <cellStyle name="Normal 3 3 10 10 2" xfId="10874" xr:uid="{00000000-0005-0000-0000-000034460000}"/>
    <cellStyle name="Normal 3 3 10 10 2 2" xfId="28405" xr:uid="{00000000-0005-0000-0000-000035460000}"/>
    <cellStyle name="Normal 3 3 10 10 3" xfId="10875" xr:uid="{00000000-0005-0000-0000-000036460000}"/>
    <cellStyle name="Normal 3 3 10 10 3 2" xfId="28406" xr:uid="{00000000-0005-0000-0000-000037460000}"/>
    <cellStyle name="Normal 3 3 10 10 4" xfId="10876" xr:uid="{00000000-0005-0000-0000-000038460000}"/>
    <cellStyle name="Normal 3 3 10 10 4 2" xfId="28407" xr:uid="{00000000-0005-0000-0000-000039460000}"/>
    <cellStyle name="Normal 3 3 10 10 5" xfId="10877" xr:uid="{00000000-0005-0000-0000-00003A460000}"/>
    <cellStyle name="Normal 3 3 10 10 5 2" xfId="28408" xr:uid="{00000000-0005-0000-0000-00003B460000}"/>
    <cellStyle name="Normal 3 3 10 10 6" xfId="10878" xr:uid="{00000000-0005-0000-0000-00003C460000}"/>
    <cellStyle name="Normal 3 3 10 10 6 2" xfId="28409" xr:uid="{00000000-0005-0000-0000-00003D460000}"/>
    <cellStyle name="Normal 3 3 10 10 7" xfId="10879" xr:uid="{00000000-0005-0000-0000-00003E460000}"/>
    <cellStyle name="Normal 3 3 10 10 7 2" xfId="28410" xr:uid="{00000000-0005-0000-0000-00003F460000}"/>
    <cellStyle name="Normal 3 3 10 10 8" xfId="10880" xr:uid="{00000000-0005-0000-0000-000040460000}"/>
    <cellStyle name="Normal 3 3 10 10 8 2" xfId="28411" xr:uid="{00000000-0005-0000-0000-000041460000}"/>
    <cellStyle name="Normal 3 3 10 10 9" xfId="10881" xr:uid="{00000000-0005-0000-0000-000042460000}"/>
    <cellStyle name="Normal 3 3 10 10 9 2" xfId="28412" xr:uid="{00000000-0005-0000-0000-000043460000}"/>
    <cellStyle name="Normal 3 3 10 11" xfId="10882" xr:uid="{00000000-0005-0000-0000-000044460000}"/>
    <cellStyle name="Normal 3 3 10 11 2" xfId="28413" xr:uid="{00000000-0005-0000-0000-000045460000}"/>
    <cellStyle name="Normal 3 3 10 12" xfId="10883" xr:uid="{00000000-0005-0000-0000-000046460000}"/>
    <cellStyle name="Normal 3 3 10 12 2" xfId="28414" xr:uid="{00000000-0005-0000-0000-000047460000}"/>
    <cellStyle name="Normal 3 3 10 13" xfId="10884" xr:uid="{00000000-0005-0000-0000-000048460000}"/>
    <cellStyle name="Normal 3 3 10 13 2" xfId="28415" xr:uid="{00000000-0005-0000-0000-000049460000}"/>
    <cellStyle name="Normal 3 3 10 14" xfId="10885" xr:uid="{00000000-0005-0000-0000-00004A460000}"/>
    <cellStyle name="Normal 3 3 10 14 2" xfId="28416" xr:uid="{00000000-0005-0000-0000-00004B460000}"/>
    <cellStyle name="Normal 3 3 10 15" xfId="10886" xr:uid="{00000000-0005-0000-0000-00004C460000}"/>
    <cellStyle name="Normal 3 3 10 15 2" xfId="28417" xr:uid="{00000000-0005-0000-0000-00004D460000}"/>
    <cellStyle name="Normal 3 3 10 16" xfId="10887" xr:uid="{00000000-0005-0000-0000-00004E460000}"/>
    <cellStyle name="Normal 3 3 10 16 2" xfId="28418" xr:uid="{00000000-0005-0000-0000-00004F460000}"/>
    <cellStyle name="Normal 3 3 10 17" xfId="10888" xr:uid="{00000000-0005-0000-0000-000050460000}"/>
    <cellStyle name="Normal 3 3 10 17 2" xfId="28419" xr:uid="{00000000-0005-0000-0000-000051460000}"/>
    <cellStyle name="Normal 3 3 10 18" xfId="10889" xr:uid="{00000000-0005-0000-0000-000052460000}"/>
    <cellStyle name="Normal 3 3 10 18 2" xfId="28420" xr:uid="{00000000-0005-0000-0000-000053460000}"/>
    <cellStyle name="Normal 3 3 10 19" xfId="10890" xr:uid="{00000000-0005-0000-0000-000054460000}"/>
    <cellStyle name="Normal 3 3 10 19 2" xfId="28421" xr:uid="{00000000-0005-0000-0000-000055460000}"/>
    <cellStyle name="Normal 3 3 10 2" xfId="10891" xr:uid="{00000000-0005-0000-0000-000056460000}"/>
    <cellStyle name="Normal 3 3 10 2 10" xfId="10892" xr:uid="{00000000-0005-0000-0000-000057460000}"/>
    <cellStyle name="Normal 3 3 10 2 10 2" xfId="28423" xr:uid="{00000000-0005-0000-0000-000058460000}"/>
    <cellStyle name="Normal 3 3 10 2 11" xfId="10893" xr:uid="{00000000-0005-0000-0000-000059460000}"/>
    <cellStyle name="Normal 3 3 10 2 11 2" xfId="28424" xr:uid="{00000000-0005-0000-0000-00005A460000}"/>
    <cellStyle name="Normal 3 3 10 2 12" xfId="10894" xr:uid="{00000000-0005-0000-0000-00005B460000}"/>
    <cellStyle name="Normal 3 3 10 2 12 2" xfId="28425" xr:uid="{00000000-0005-0000-0000-00005C460000}"/>
    <cellStyle name="Normal 3 3 10 2 13" xfId="10895" xr:uid="{00000000-0005-0000-0000-00005D460000}"/>
    <cellStyle name="Normal 3 3 10 2 13 2" xfId="28426" xr:uid="{00000000-0005-0000-0000-00005E460000}"/>
    <cellStyle name="Normal 3 3 10 2 14" xfId="10896" xr:uid="{00000000-0005-0000-0000-00005F460000}"/>
    <cellStyle name="Normal 3 3 10 2 14 2" xfId="28427" xr:uid="{00000000-0005-0000-0000-000060460000}"/>
    <cellStyle name="Normal 3 3 10 2 15" xfId="10897" xr:uid="{00000000-0005-0000-0000-000061460000}"/>
    <cellStyle name="Normal 3 3 10 2 15 2" xfId="28428" xr:uid="{00000000-0005-0000-0000-000062460000}"/>
    <cellStyle name="Normal 3 3 10 2 16" xfId="28422" xr:uid="{00000000-0005-0000-0000-000063460000}"/>
    <cellStyle name="Normal 3 3 10 2 2" xfId="10898" xr:uid="{00000000-0005-0000-0000-000064460000}"/>
    <cellStyle name="Normal 3 3 10 2 2 10" xfId="10899" xr:uid="{00000000-0005-0000-0000-000065460000}"/>
    <cellStyle name="Normal 3 3 10 2 2 10 2" xfId="28430" xr:uid="{00000000-0005-0000-0000-000066460000}"/>
    <cellStyle name="Normal 3 3 10 2 2 11" xfId="10900" xr:uid="{00000000-0005-0000-0000-000067460000}"/>
    <cellStyle name="Normal 3 3 10 2 2 11 2" xfId="28431" xr:uid="{00000000-0005-0000-0000-000068460000}"/>
    <cellStyle name="Normal 3 3 10 2 2 12" xfId="10901" xr:uid="{00000000-0005-0000-0000-000069460000}"/>
    <cellStyle name="Normal 3 3 10 2 2 12 2" xfId="28432" xr:uid="{00000000-0005-0000-0000-00006A460000}"/>
    <cellStyle name="Normal 3 3 10 2 2 13" xfId="10902" xr:uid="{00000000-0005-0000-0000-00006B460000}"/>
    <cellStyle name="Normal 3 3 10 2 2 13 2" xfId="28433" xr:uid="{00000000-0005-0000-0000-00006C460000}"/>
    <cellStyle name="Normal 3 3 10 2 2 14" xfId="10903" xr:uid="{00000000-0005-0000-0000-00006D460000}"/>
    <cellStyle name="Normal 3 3 10 2 2 14 2" xfId="28434" xr:uid="{00000000-0005-0000-0000-00006E460000}"/>
    <cellStyle name="Normal 3 3 10 2 2 15" xfId="28429" xr:uid="{00000000-0005-0000-0000-00006F460000}"/>
    <cellStyle name="Normal 3 3 10 2 2 2" xfId="10904" xr:uid="{00000000-0005-0000-0000-000070460000}"/>
    <cellStyle name="Normal 3 3 10 2 2 2 2" xfId="28435" xr:uid="{00000000-0005-0000-0000-000071460000}"/>
    <cellStyle name="Normal 3 3 10 2 2 3" xfId="10905" xr:uid="{00000000-0005-0000-0000-000072460000}"/>
    <cellStyle name="Normal 3 3 10 2 2 3 2" xfId="28436" xr:uid="{00000000-0005-0000-0000-000073460000}"/>
    <cellStyle name="Normal 3 3 10 2 2 4" xfId="10906" xr:uid="{00000000-0005-0000-0000-000074460000}"/>
    <cellStyle name="Normal 3 3 10 2 2 4 2" xfId="28437" xr:uid="{00000000-0005-0000-0000-000075460000}"/>
    <cellStyle name="Normal 3 3 10 2 2 5" xfId="10907" xr:uid="{00000000-0005-0000-0000-000076460000}"/>
    <cellStyle name="Normal 3 3 10 2 2 5 2" xfId="28438" xr:uid="{00000000-0005-0000-0000-000077460000}"/>
    <cellStyle name="Normal 3 3 10 2 2 6" xfId="10908" xr:uid="{00000000-0005-0000-0000-000078460000}"/>
    <cellStyle name="Normal 3 3 10 2 2 6 2" xfId="28439" xr:uid="{00000000-0005-0000-0000-000079460000}"/>
    <cellStyle name="Normal 3 3 10 2 2 7" xfId="10909" xr:uid="{00000000-0005-0000-0000-00007A460000}"/>
    <cellStyle name="Normal 3 3 10 2 2 7 2" xfId="28440" xr:uid="{00000000-0005-0000-0000-00007B460000}"/>
    <cellStyle name="Normal 3 3 10 2 2 8" xfId="10910" xr:uid="{00000000-0005-0000-0000-00007C460000}"/>
    <cellStyle name="Normal 3 3 10 2 2 8 2" xfId="28441" xr:uid="{00000000-0005-0000-0000-00007D460000}"/>
    <cellStyle name="Normal 3 3 10 2 2 9" xfId="10911" xr:uid="{00000000-0005-0000-0000-00007E460000}"/>
    <cellStyle name="Normal 3 3 10 2 2 9 2" xfId="28442" xr:uid="{00000000-0005-0000-0000-00007F460000}"/>
    <cellStyle name="Normal 3 3 10 2 3" xfId="10912" xr:uid="{00000000-0005-0000-0000-000080460000}"/>
    <cellStyle name="Normal 3 3 10 2 3 2" xfId="28443" xr:uid="{00000000-0005-0000-0000-000081460000}"/>
    <cellStyle name="Normal 3 3 10 2 4" xfId="10913" xr:uid="{00000000-0005-0000-0000-000082460000}"/>
    <cellStyle name="Normal 3 3 10 2 4 2" xfId="28444" xr:uid="{00000000-0005-0000-0000-000083460000}"/>
    <cellStyle name="Normal 3 3 10 2 5" xfId="10914" xr:uid="{00000000-0005-0000-0000-000084460000}"/>
    <cellStyle name="Normal 3 3 10 2 5 2" xfId="28445" xr:uid="{00000000-0005-0000-0000-000085460000}"/>
    <cellStyle name="Normal 3 3 10 2 6" xfId="10915" xr:uid="{00000000-0005-0000-0000-000086460000}"/>
    <cellStyle name="Normal 3 3 10 2 6 2" xfId="28446" xr:uid="{00000000-0005-0000-0000-000087460000}"/>
    <cellStyle name="Normal 3 3 10 2 7" xfId="10916" xr:uid="{00000000-0005-0000-0000-000088460000}"/>
    <cellStyle name="Normal 3 3 10 2 7 2" xfId="28447" xr:uid="{00000000-0005-0000-0000-000089460000}"/>
    <cellStyle name="Normal 3 3 10 2 8" xfId="10917" xr:uid="{00000000-0005-0000-0000-00008A460000}"/>
    <cellStyle name="Normal 3 3 10 2 8 2" xfId="28448" xr:uid="{00000000-0005-0000-0000-00008B460000}"/>
    <cellStyle name="Normal 3 3 10 2 9" xfId="10918" xr:uid="{00000000-0005-0000-0000-00008C460000}"/>
    <cellStyle name="Normal 3 3 10 2 9 2" xfId="28449" xr:uid="{00000000-0005-0000-0000-00008D460000}"/>
    <cellStyle name="Normal 3 3 10 20" xfId="10919" xr:uid="{00000000-0005-0000-0000-00008E460000}"/>
    <cellStyle name="Normal 3 3 10 20 2" xfId="28450" xr:uid="{00000000-0005-0000-0000-00008F460000}"/>
    <cellStyle name="Normal 3 3 10 21" xfId="10920" xr:uid="{00000000-0005-0000-0000-000090460000}"/>
    <cellStyle name="Normal 3 3 10 21 2" xfId="28451" xr:uid="{00000000-0005-0000-0000-000091460000}"/>
    <cellStyle name="Normal 3 3 10 22" xfId="10921" xr:uid="{00000000-0005-0000-0000-000092460000}"/>
    <cellStyle name="Normal 3 3 10 22 2" xfId="28452" xr:uid="{00000000-0005-0000-0000-000093460000}"/>
    <cellStyle name="Normal 3 3 10 23" xfId="10922" xr:uid="{00000000-0005-0000-0000-000094460000}"/>
    <cellStyle name="Normal 3 3 10 23 2" xfId="28453" xr:uid="{00000000-0005-0000-0000-000095460000}"/>
    <cellStyle name="Normal 3 3 10 24" xfId="28398" xr:uid="{00000000-0005-0000-0000-000096460000}"/>
    <cellStyle name="Normal 3 3 10 3" xfId="10923" xr:uid="{00000000-0005-0000-0000-000097460000}"/>
    <cellStyle name="Normal 3 3 10 3 10" xfId="10924" xr:uid="{00000000-0005-0000-0000-000098460000}"/>
    <cellStyle name="Normal 3 3 10 3 10 2" xfId="28455" xr:uid="{00000000-0005-0000-0000-000099460000}"/>
    <cellStyle name="Normal 3 3 10 3 11" xfId="10925" xr:uid="{00000000-0005-0000-0000-00009A460000}"/>
    <cellStyle name="Normal 3 3 10 3 11 2" xfId="28456" xr:uid="{00000000-0005-0000-0000-00009B460000}"/>
    <cellStyle name="Normal 3 3 10 3 12" xfId="10926" xr:uid="{00000000-0005-0000-0000-00009C460000}"/>
    <cellStyle name="Normal 3 3 10 3 12 2" xfId="28457" xr:uid="{00000000-0005-0000-0000-00009D460000}"/>
    <cellStyle name="Normal 3 3 10 3 13" xfId="10927" xr:uid="{00000000-0005-0000-0000-00009E460000}"/>
    <cellStyle name="Normal 3 3 10 3 13 2" xfId="28458" xr:uid="{00000000-0005-0000-0000-00009F460000}"/>
    <cellStyle name="Normal 3 3 10 3 14" xfId="10928" xr:uid="{00000000-0005-0000-0000-0000A0460000}"/>
    <cellStyle name="Normal 3 3 10 3 14 2" xfId="28459" xr:uid="{00000000-0005-0000-0000-0000A1460000}"/>
    <cellStyle name="Normal 3 3 10 3 15" xfId="10929" xr:uid="{00000000-0005-0000-0000-0000A2460000}"/>
    <cellStyle name="Normal 3 3 10 3 15 2" xfId="28460" xr:uid="{00000000-0005-0000-0000-0000A3460000}"/>
    <cellStyle name="Normal 3 3 10 3 16" xfId="28454" xr:uid="{00000000-0005-0000-0000-0000A4460000}"/>
    <cellStyle name="Normal 3 3 10 3 2" xfId="10930" xr:uid="{00000000-0005-0000-0000-0000A5460000}"/>
    <cellStyle name="Normal 3 3 10 3 2 10" xfId="10931" xr:uid="{00000000-0005-0000-0000-0000A6460000}"/>
    <cellStyle name="Normal 3 3 10 3 2 10 2" xfId="28462" xr:uid="{00000000-0005-0000-0000-0000A7460000}"/>
    <cellStyle name="Normal 3 3 10 3 2 11" xfId="10932" xr:uid="{00000000-0005-0000-0000-0000A8460000}"/>
    <cellStyle name="Normal 3 3 10 3 2 11 2" xfId="28463" xr:uid="{00000000-0005-0000-0000-0000A9460000}"/>
    <cellStyle name="Normal 3 3 10 3 2 12" xfId="10933" xr:uid="{00000000-0005-0000-0000-0000AA460000}"/>
    <cellStyle name="Normal 3 3 10 3 2 12 2" xfId="28464" xr:uid="{00000000-0005-0000-0000-0000AB460000}"/>
    <cellStyle name="Normal 3 3 10 3 2 13" xfId="10934" xr:uid="{00000000-0005-0000-0000-0000AC460000}"/>
    <cellStyle name="Normal 3 3 10 3 2 13 2" xfId="28465" xr:uid="{00000000-0005-0000-0000-0000AD460000}"/>
    <cellStyle name="Normal 3 3 10 3 2 14" xfId="10935" xr:uid="{00000000-0005-0000-0000-0000AE460000}"/>
    <cellStyle name="Normal 3 3 10 3 2 14 2" xfId="28466" xr:uid="{00000000-0005-0000-0000-0000AF460000}"/>
    <cellStyle name="Normal 3 3 10 3 2 15" xfId="28461" xr:uid="{00000000-0005-0000-0000-0000B0460000}"/>
    <cellStyle name="Normal 3 3 10 3 2 2" xfId="10936" xr:uid="{00000000-0005-0000-0000-0000B1460000}"/>
    <cellStyle name="Normal 3 3 10 3 2 2 2" xfId="28467" xr:uid="{00000000-0005-0000-0000-0000B2460000}"/>
    <cellStyle name="Normal 3 3 10 3 2 3" xfId="10937" xr:uid="{00000000-0005-0000-0000-0000B3460000}"/>
    <cellStyle name="Normal 3 3 10 3 2 3 2" xfId="28468" xr:uid="{00000000-0005-0000-0000-0000B4460000}"/>
    <cellStyle name="Normal 3 3 10 3 2 4" xfId="10938" xr:uid="{00000000-0005-0000-0000-0000B5460000}"/>
    <cellStyle name="Normal 3 3 10 3 2 4 2" xfId="28469" xr:uid="{00000000-0005-0000-0000-0000B6460000}"/>
    <cellStyle name="Normal 3 3 10 3 2 5" xfId="10939" xr:uid="{00000000-0005-0000-0000-0000B7460000}"/>
    <cellStyle name="Normal 3 3 10 3 2 5 2" xfId="28470" xr:uid="{00000000-0005-0000-0000-0000B8460000}"/>
    <cellStyle name="Normal 3 3 10 3 2 6" xfId="10940" xr:uid="{00000000-0005-0000-0000-0000B9460000}"/>
    <cellStyle name="Normal 3 3 10 3 2 6 2" xfId="28471" xr:uid="{00000000-0005-0000-0000-0000BA460000}"/>
    <cellStyle name="Normal 3 3 10 3 2 7" xfId="10941" xr:uid="{00000000-0005-0000-0000-0000BB460000}"/>
    <cellStyle name="Normal 3 3 10 3 2 7 2" xfId="28472" xr:uid="{00000000-0005-0000-0000-0000BC460000}"/>
    <cellStyle name="Normal 3 3 10 3 2 8" xfId="10942" xr:uid="{00000000-0005-0000-0000-0000BD460000}"/>
    <cellStyle name="Normal 3 3 10 3 2 8 2" xfId="28473" xr:uid="{00000000-0005-0000-0000-0000BE460000}"/>
    <cellStyle name="Normal 3 3 10 3 2 9" xfId="10943" xr:uid="{00000000-0005-0000-0000-0000BF460000}"/>
    <cellStyle name="Normal 3 3 10 3 2 9 2" xfId="28474" xr:uid="{00000000-0005-0000-0000-0000C0460000}"/>
    <cellStyle name="Normal 3 3 10 3 3" xfId="10944" xr:uid="{00000000-0005-0000-0000-0000C1460000}"/>
    <cellStyle name="Normal 3 3 10 3 3 2" xfId="28475" xr:uid="{00000000-0005-0000-0000-0000C2460000}"/>
    <cellStyle name="Normal 3 3 10 3 4" xfId="10945" xr:uid="{00000000-0005-0000-0000-0000C3460000}"/>
    <cellStyle name="Normal 3 3 10 3 4 2" xfId="28476" xr:uid="{00000000-0005-0000-0000-0000C4460000}"/>
    <cellStyle name="Normal 3 3 10 3 5" xfId="10946" xr:uid="{00000000-0005-0000-0000-0000C5460000}"/>
    <cellStyle name="Normal 3 3 10 3 5 2" xfId="28477" xr:uid="{00000000-0005-0000-0000-0000C6460000}"/>
    <cellStyle name="Normal 3 3 10 3 6" xfId="10947" xr:uid="{00000000-0005-0000-0000-0000C7460000}"/>
    <cellStyle name="Normal 3 3 10 3 6 2" xfId="28478" xr:uid="{00000000-0005-0000-0000-0000C8460000}"/>
    <cellStyle name="Normal 3 3 10 3 7" xfId="10948" xr:uid="{00000000-0005-0000-0000-0000C9460000}"/>
    <cellStyle name="Normal 3 3 10 3 7 2" xfId="28479" xr:uid="{00000000-0005-0000-0000-0000CA460000}"/>
    <cellStyle name="Normal 3 3 10 3 8" xfId="10949" xr:uid="{00000000-0005-0000-0000-0000CB460000}"/>
    <cellStyle name="Normal 3 3 10 3 8 2" xfId="28480" xr:uid="{00000000-0005-0000-0000-0000CC460000}"/>
    <cellStyle name="Normal 3 3 10 3 9" xfId="10950" xr:uid="{00000000-0005-0000-0000-0000CD460000}"/>
    <cellStyle name="Normal 3 3 10 3 9 2" xfId="28481" xr:uid="{00000000-0005-0000-0000-0000CE460000}"/>
    <cellStyle name="Normal 3 3 10 4" xfId="10951" xr:uid="{00000000-0005-0000-0000-0000CF460000}"/>
    <cellStyle name="Normal 3 3 10 4 10" xfId="10952" xr:uid="{00000000-0005-0000-0000-0000D0460000}"/>
    <cellStyle name="Normal 3 3 10 4 10 2" xfId="28483" xr:uid="{00000000-0005-0000-0000-0000D1460000}"/>
    <cellStyle name="Normal 3 3 10 4 11" xfId="10953" xr:uid="{00000000-0005-0000-0000-0000D2460000}"/>
    <cellStyle name="Normal 3 3 10 4 11 2" xfId="28484" xr:uid="{00000000-0005-0000-0000-0000D3460000}"/>
    <cellStyle name="Normal 3 3 10 4 12" xfId="10954" xr:uid="{00000000-0005-0000-0000-0000D4460000}"/>
    <cellStyle name="Normal 3 3 10 4 12 2" xfId="28485" xr:uid="{00000000-0005-0000-0000-0000D5460000}"/>
    <cellStyle name="Normal 3 3 10 4 13" xfId="10955" xr:uid="{00000000-0005-0000-0000-0000D6460000}"/>
    <cellStyle name="Normal 3 3 10 4 13 2" xfId="28486" xr:uid="{00000000-0005-0000-0000-0000D7460000}"/>
    <cellStyle name="Normal 3 3 10 4 14" xfId="10956" xr:uid="{00000000-0005-0000-0000-0000D8460000}"/>
    <cellStyle name="Normal 3 3 10 4 14 2" xfId="28487" xr:uid="{00000000-0005-0000-0000-0000D9460000}"/>
    <cellStyle name="Normal 3 3 10 4 15" xfId="10957" xr:uid="{00000000-0005-0000-0000-0000DA460000}"/>
    <cellStyle name="Normal 3 3 10 4 15 2" xfId="28488" xr:uid="{00000000-0005-0000-0000-0000DB460000}"/>
    <cellStyle name="Normal 3 3 10 4 16" xfId="28482" xr:uid="{00000000-0005-0000-0000-0000DC460000}"/>
    <cellStyle name="Normal 3 3 10 4 2" xfId="10958" xr:uid="{00000000-0005-0000-0000-0000DD460000}"/>
    <cellStyle name="Normal 3 3 10 4 2 10" xfId="10959" xr:uid="{00000000-0005-0000-0000-0000DE460000}"/>
    <cellStyle name="Normal 3 3 10 4 2 10 2" xfId="28490" xr:uid="{00000000-0005-0000-0000-0000DF460000}"/>
    <cellStyle name="Normal 3 3 10 4 2 11" xfId="10960" xr:uid="{00000000-0005-0000-0000-0000E0460000}"/>
    <cellStyle name="Normal 3 3 10 4 2 11 2" xfId="28491" xr:uid="{00000000-0005-0000-0000-0000E1460000}"/>
    <cellStyle name="Normal 3 3 10 4 2 12" xfId="10961" xr:uid="{00000000-0005-0000-0000-0000E2460000}"/>
    <cellStyle name="Normal 3 3 10 4 2 12 2" xfId="28492" xr:uid="{00000000-0005-0000-0000-0000E3460000}"/>
    <cellStyle name="Normal 3 3 10 4 2 13" xfId="10962" xr:uid="{00000000-0005-0000-0000-0000E4460000}"/>
    <cellStyle name="Normal 3 3 10 4 2 13 2" xfId="28493" xr:uid="{00000000-0005-0000-0000-0000E5460000}"/>
    <cellStyle name="Normal 3 3 10 4 2 14" xfId="10963" xr:uid="{00000000-0005-0000-0000-0000E6460000}"/>
    <cellStyle name="Normal 3 3 10 4 2 14 2" xfId="28494" xr:uid="{00000000-0005-0000-0000-0000E7460000}"/>
    <cellStyle name="Normal 3 3 10 4 2 15" xfId="28489" xr:uid="{00000000-0005-0000-0000-0000E8460000}"/>
    <cellStyle name="Normal 3 3 10 4 2 2" xfId="10964" xr:uid="{00000000-0005-0000-0000-0000E9460000}"/>
    <cellStyle name="Normal 3 3 10 4 2 2 2" xfId="28495" xr:uid="{00000000-0005-0000-0000-0000EA460000}"/>
    <cellStyle name="Normal 3 3 10 4 2 3" xfId="10965" xr:uid="{00000000-0005-0000-0000-0000EB460000}"/>
    <cellStyle name="Normal 3 3 10 4 2 3 2" xfId="28496" xr:uid="{00000000-0005-0000-0000-0000EC460000}"/>
    <cellStyle name="Normal 3 3 10 4 2 4" xfId="10966" xr:uid="{00000000-0005-0000-0000-0000ED460000}"/>
    <cellStyle name="Normal 3 3 10 4 2 4 2" xfId="28497" xr:uid="{00000000-0005-0000-0000-0000EE460000}"/>
    <cellStyle name="Normal 3 3 10 4 2 5" xfId="10967" xr:uid="{00000000-0005-0000-0000-0000EF460000}"/>
    <cellStyle name="Normal 3 3 10 4 2 5 2" xfId="28498" xr:uid="{00000000-0005-0000-0000-0000F0460000}"/>
    <cellStyle name="Normal 3 3 10 4 2 6" xfId="10968" xr:uid="{00000000-0005-0000-0000-0000F1460000}"/>
    <cellStyle name="Normal 3 3 10 4 2 6 2" xfId="28499" xr:uid="{00000000-0005-0000-0000-0000F2460000}"/>
    <cellStyle name="Normal 3 3 10 4 2 7" xfId="10969" xr:uid="{00000000-0005-0000-0000-0000F3460000}"/>
    <cellStyle name="Normal 3 3 10 4 2 7 2" xfId="28500" xr:uid="{00000000-0005-0000-0000-0000F4460000}"/>
    <cellStyle name="Normal 3 3 10 4 2 8" xfId="10970" xr:uid="{00000000-0005-0000-0000-0000F5460000}"/>
    <cellStyle name="Normal 3 3 10 4 2 8 2" xfId="28501" xr:uid="{00000000-0005-0000-0000-0000F6460000}"/>
    <cellStyle name="Normal 3 3 10 4 2 9" xfId="10971" xr:uid="{00000000-0005-0000-0000-0000F7460000}"/>
    <cellStyle name="Normal 3 3 10 4 2 9 2" xfId="28502" xr:uid="{00000000-0005-0000-0000-0000F8460000}"/>
    <cellStyle name="Normal 3 3 10 4 3" xfId="10972" xr:uid="{00000000-0005-0000-0000-0000F9460000}"/>
    <cellStyle name="Normal 3 3 10 4 3 2" xfId="28503" xr:uid="{00000000-0005-0000-0000-0000FA460000}"/>
    <cellStyle name="Normal 3 3 10 4 4" xfId="10973" xr:uid="{00000000-0005-0000-0000-0000FB460000}"/>
    <cellStyle name="Normal 3 3 10 4 4 2" xfId="28504" xr:uid="{00000000-0005-0000-0000-0000FC460000}"/>
    <cellStyle name="Normal 3 3 10 4 5" xfId="10974" xr:uid="{00000000-0005-0000-0000-0000FD460000}"/>
    <cellStyle name="Normal 3 3 10 4 5 2" xfId="28505" xr:uid="{00000000-0005-0000-0000-0000FE460000}"/>
    <cellStyle name="Normal 3 3 10 4 6" xfId="10975" xr:uid="{00000000-0005-0000-0000-0000FF460000}"/>
    <cellStyle name="Normal 3 3 10 4 6 2" xfId="28506" xr:uid="{00000000-0005-0000-0000-000000470000}"/>
    <cellStyle name="Normal 3 3 10 4 7" xfId="10976" xr:uid="{00000000-0005-0000-0000-000001470000}"/>
    <cellStyle name="Normal 3 3 10 4 7 2" xfId="28507" xr:uid="{00000000-0005-0000-0000-000002470000}"/>
    <cellStyle name="Normal 3 3 10 4 8" xfId="10977" xr:uid="{00000000-0005-0000-0000-000003470000}"/>
    <cellStyle name="Normal 3 3 10 4 8 2" xfId="28508" xr:uid="{00000000-0005-0000-0000-000004470000}"/>
    <cellStyle name="Normal 3 3 10 4 9" xfId="10978" xr:uid="{00000000-0005-0000-0000-000005470000}"/>
    <cellStyle name="Normal 3 3 10 4 9 2" xfId="28509" xr:uid="{00000000-0005-0000-0000-000006470000}"/>
    <cellStyle name="Normal 3 3 10 5" xfId="10979" xr:uid="{00000000-0005-0000-0000-000007470000}"/>
    <cellStyle name="Normal 3 3 10 5 10" xfId="10980" xr:uid="{00000000-0005-0000-0000-000008470000}"/>
    <cellStyle name="Normal 3 3 10 5 10 2" xfId="28511" xr:uid="{00000000-0005-0000-0000-000009470000}"/>
    <cellStyle name="Normal 3 3 10 5 11" xfId="10981" xr:uid="{00000000-0005-0000-0000-00000A470000}"/>
    <cellStyle name="Normal 3 3 10 5 11 2" xfId="28512" xr:uid="{00000000-0005-0000-0000-00000B470000}"/>
    <cellStyle name="Normal 3 3 10 5 12" xfId="10982" xr:uid="{00000000-0005-0000-0000-00000C470000}"/>
    <cellStyle name="Normal 3 3 10 5 12 2" xfId="28513" xr:uid="{00000000-0005-0000-0000-00000D470000}"/>
    <cellStyle name="Normal 3 3 10 5 13" xfId="10983" xr:uid="{00000000-0005-0000-0000-00000E470000}"/>
    <cellStyle name="Normal 3 3 10 5 13 2" xfId="28514" xr:uid="{00000000-0005-0000-0000-00000F470000}"/>
    <cellStyle name="Normal 3 3 10 5 14" xfId="10984" xr:uid="{00000000-0005-0000-0000-000010470000}"/>
    <cellStyle name="Normal 3 3 10 5 14 2" xfId="28515" xr:uid="{00000000-0005-0000-0000-000011470000}"/>
    <cellStyle name="Normal 3 3 10 5 15" xfId="28510" xr:uid="{00000000-0005-0000-0000-000012470000}"/>
    <cellStyle name="Normal 3 3 10 5 2" xfId="10985" xr:uid="{00000000-0005-0000-0000-000013470000}"/>
    <cellStyle name="Normal 3 3 10 5 2 2" xfId="28516" xr:uid="{00000000-0005-0000-0000-000014470000}"/>
    <cellStyle name="Normal 3 3 10 5 3" xfId="10986" xr:uid="{00000000-0005-0000-0000-000015470000}"/>
    <cellStyle name="Normal 3 3 10 5 3 2" xfId="28517" xr:uid="{00000000-0005-0000-0000-000016470000}"/>
    <cellStyle name="Normal 3 3 10 5 4" xfId="10987" xr:uid="{00000000-0005-0000-0000-000017470000}"/>
    <cellStyle name="Normal 3 3 10 5 4 2" xfId="28518" xr:uid="{00000000-0005-0000-0000-000018470000}"/>
    <cellStyle name="Normal 3 3 10 5 5" xfId="10988" xr:uid="{00000000-0005-0000-0000-000019470000}"/>
    <cellStyle name="Normal 3 3 10 5 5 2" xfId="28519" xr:uid="{00000000-0005-0000-0000-00001A470000}"/>
    <cellStyle name="Normal 3 3 10 5 6" xfId="10989" xr:uid="{00000000-0005-0000-0000-00001B470000}"/>
    <cellStyle name="Normal 3 3 10 5 6 2" xfId="28520" xr:uid="{00000000-0005-0000-0000-00001C470000}"/>
    <cellStyle name="Normal 3 3 10 5 7" xfId="10990" xr:uid="{00000000-0005-0000-0000-00001D470000}"/>
    <cellStyle name="Normal 3 3 10 5 7 2" xfId="28521" xr:uid="{00000000-0005-0000-0000-00001E470000}"/>
    <cellStyle name="Normal 3 3 10 5 8" xfId="10991" xr:uid="{00000000-0005-0000-0000-00001F470000}"/>
    <cellStyle name="Normal 3 3 10 5 8 2" xfId="28522" xr:uid="{00000000-0005-0000-0000-000020470000}"/>
    <cellStyle name="Normal 3 3 10 5 9" xfId="10992" xr:uid="{00000000-0005-0000-0000-000021470000}"/>
    <cellStyle name="Normal 3 3 10 5 9 2" xfId="28523" xr:uid="{00000000-0005-0000-0000-000022470000}"/>
    <cellStyle name="Normal 3 3 10 6" xfId="10993" xr:uid="{00000000-0005-0000-0000-000023470000}"/>
    <cellStyle name="Normal 3 3 10 6 10" xfId="10994" xr:uid="{00000000-0005-0000-0000-000024470000}"/>
    <cellStyle name="Normal 3 3 10 6 10 2" xfId="28525" xr:uid="{00000000-0005-0000-0000-000025470000}"/>
    <cellStyle name="Normal 3 3 10 6 11" xfId="10995" xr:uid="{00000000-0005-0000-0000-000026470000}"/>
    <cellStyle name="Normal 3 3 10 6 11 2" xfId="28526" xr:uid="{00000000-0005-0000-0000-000027470000}"/>
    <cellStyle name="Normal 3 3 10 6 12" xfId="10996" xr:uid="{00000000-0005-0000-0000-000028470000}"/>
    <cellStyle name="Normal 3 3 10 6 12 2" xfId="28527" xr:uid="{00000000-0005-0000-0000-000029470000}"/>
    <cellStyle name="Normal 3 3 10 6 13" xfId="10997" xr:uid="{00000000-0005-0000-0000-00002A470000}"/>
    <cellStyle name="Normal 3 3 10 6 13 2" xfId="28528" xr:uid="{00000000-0005-0000-0000-00002B470000}"/>
    <cellStyle name="Normal 3 3 10 6 14" xfId="10998" xr:uid="{00000000-0005-0000-0000-00002C470000}"/>
    <cellStyle name="Normal 3 3 10 6 14 2" xfId="28529" xr:uid="{00000000-0005-0000-0000-00002D470000}"/>
    <cellStyle name="Normal 3 3 10 6 15" xfId="28524" xr:uid="{00000000-0005-0000-0000-00002E470000}"/>
    <cellStyle name="Normal 3 3 10 6 2" xfId="10999" xr:uid="{00000000-0005-0000-0000-00002F470000}"/>
    <cellStyle name="Normal 3 3 10 6 2 2" xfId="28530" xr:uid="{00000000-0005-0000-0000-000030470000}"/>
    <cellStyle name="Normal 3 3 10 6 3" xfId="11000" xr:uid="{00000000-0005-0000-0000-000031470000}"/>
    <cellStyle name="Normal 3 3 10 6 3 2" xfId="28531" xr:uid="{00000000-0005-0000-0000-000032470000}"/>
    <cellStyle name="Normal 3 3 10 6 4" xfId="11001" xr:uid="{00000000-0005-0000-0000-000033470000}"/>
    <cellStyle name="Normal 3 3 10 6 4 2" xfId="28532" xr:uid="{00000000-0005-0000-0000-000034470000}"/>
    <cellStyle name="Normal 3 3 10 6 5" xfId="11002" xr:uid="{00000000-0005-0000-0000-000035470000}"/>
    <cellStyle name="Normal 3 3 10 6 5 2" xfId="28533" xr:uid="{00000000-0005-0000-0000-000036470000}"/>
    <cellStyle name="Normal 3 3 10 6 6" xfId="11003" xr:uid="{00000000-0005-0000-0000-000037470000}"/>
    <cellStyle name="Normal 3 3 10 6 6 2" xfId="28534" xr:uid="{00000000-0005-0000-0000-000038470000}"/>
    <cellStyle name="Normal 3 3 10 6 7" xfId="11004" xr:uid="{00000000-0005-0000-0000-000039470000}"/>
    <cellStyle name="Normal 3 3 10 6 7 2" xfId="28535" xr:uid="{00000000-0005-0000-0000-00003A470000}"/>
    <cellStyle name="Normal 3 3 10 6 8" xfId="11005" xr:uid="{00000000-0005-0000-0000-00003B470000}"/>
    <cellStyle name="Normal 3 3 10 6 8 2" xfId="28536" xr:uid="{00000000-0005-0000-0000-00003C470000}"/>
    <cellStyle name="Normal 3 3 10 6 9" xfId="11006" xr:uid="{00000000-0005-0000-0000-00003D470000}"/>
    <cellStyle name="Normal 3 3 10 6 9 2" xfId="28537" xr:uid="{00000000-0005-0000-0000-00003E470000}"/>
    <cellStyle name="Normal 3 3 10 7" xfId="11007" xr:uid="{00000000-0005-0000-0000-00003F470000}"/>
    <cellStyle name="Normal 3 3 10 7 10" xfId="11008" xr:uid="{00000000-0005-0000-0000-000040470000}"/>
    <cellStyle name="Normal 3 3 10 7 10 2" xfId="28539" xr:uid="{00000000-0005-0000-0000-000041470000}"/>
    <cellStyle name="Normal 3 3 10 7 11" xfId="11009" xr:uid="{00000000-0005-0000-0000-000042470000}"/>
    <cellStyle name="Normal 3 3 10 7 11 2" xfId="28540" xr:uid="{00000000-0005-0000-0000-000043470000}"/>
    <cellStyle name="Normal 3 3 10 7 12" xfId="11010" xr:uid="{00000000-0005-0000-0000-000044470000}"/>
    <cellStyle name="Normal 3 3 10 7 12 2" xfId="28541" xr:uid="{00000000-0005-0000-0000-000045470000}"/>
    <cellStyle name="Normal 3 3 10 7 13" xfId="11011" xr:uid="{00000000-0005-0000-0000-000046470000}"/>
    <cellStyle name="Normal 3 3 10 7 13 2" xfId="28542" xr:uid="{00000000-0005-0000-0000-000047470000}"/>
    <cellStyle name="Normal 3 3 10 7 14" xfId="11012" xr:uid="{00000000-0005-0000-0000-000048470000}"/>
    <cellStyle name="Normal 3 3 10 7 14 2" xfId="28543" xr:uid="{00000000-0005-0000-0000-000049470000}"/>
    <cellStyle name="Normal 3 3 10 7 15" xfId="28538" xr:uid="{00000000-0005-0000-0000-00004A470000}"/>
    <cellStyle name="Normal 3 3 10 7 2" xfId="11013" xr:uid="{00000000-0005-0000-0000-00004B470000}"/>
    <cellStyle name="Normal 3 3 10 7 2 2" xfId="28544" xr:uid="{00000000-0005-0000-0000-00004C470000}"/>
    <cellStyle name="Normal 3 3 10 7 3" xfId="11014" xr:uid="{00000000-0005-0000-0000-00004D470000}"/>
    <cellStyle name="Normal 3 3 10 7 3 2" xfId="28545" xr:uid="{00000000-0005-0000-0000-00004E470000}"/>
    <cellStyle name="Normal 3 3 10 7 4" xfId="11015" xr:uid="{00000000-0005-0000-0000-00004F470000}"/>
    <cellStyle name="Normal 3 3 10 7 4 2" xfId="28546" xr:uid="{00000000-0005-0000-0000-000050470000}"/>
    <cellStyle name="Normal 3 3 10 7 5" xfId="11016" xr:uid="{00000000-0005-0000-0000-000051470000}"/>
    <cellStyle name="Normal 3 3 10 7 5 2" xfId="28547" xr:uid="{00000000-0005-0000-0000-000052470000}"/>
    <cellStyle name="Normal 3 3 10 7 6" xfId="11017" xr:uid="{00000000-0005-0000-0000-000053470000}"/>
    <cellStyle name="Normal 3 3 10 7 6 2" xfId="28548" xr:uid="{00000000-0005-0000-0000-000054470000}"/>
    <cellStyle name="Normal 3 3 10 7 7" xfId="11018" xr:uid="{00000000-0005-0000-0000-000055470000}"/>
    <cellStyle name="Normal 3 3 10 7 7 2" xfId="28549" xr:uid="{00000000-0005-0000-0000-000056470000}"/>
    <cellStyle name="Normal 3 3 10 7 8" xfId="11019" xr:uid="{00000000-0005-0000-0000-000057470000}"/>
    <cellStyle name="Normal 3 3 10 7 8 2" xfId="28550" xr:uid="{00000000-0005-0000-0000-000058470000}"/>
    <cellStyle name="Normal 3 3 10 7 9" xfId="11020" xr:uid="{00000000-0005-0000-0000-000059470000}"/>
    <cellStyle name="Normal 3 3 10 7 9 2" xfId="28551" xr:uid="{00000000-0005-0000-0000-00005A470000}"/>
    <cellStyle name="Normal 3 3 10 8" xfId="11021" xr:uid="{00000000-0005-0000-0000-00005B470000}"/>
    <cellStyle name="Normal 3 3 10 8 10" xfId="11022" xr:uid="{00000000-0005-0000-0000-00005C470000}"/>
    <cellStyle name="Normal 3 3 10 8 10 2" xfId="28553" xr:uid="{00000000-0005-0000-0000-00005D470000}"/>
    <cellStyle name="Normal 3 3 10 8 11" xfId="11023" xr:uid="{00000000-0005-0000-0000-00005E470000}"/>
    <cellStyle name="Normal 3 3 10 8 11 2" xfId="28554" xr:uid="{00000000-0005-0000-0000-00005F470000}"/>
    <cellStyle name="Normal 3 3 10 8 12" xfId="11024" xr:uid="{00000000-0005-0000-0000-000060470000}"/>
    <cellStyle name="Normal 3 3 10 8 12 2" xfId="28555" xr:uid="{00000000-0005-0000-0000-000061470000}"/>
    <cellStyle name="Normal 3 3 10 8 13" xfId="11025" xr:uid="{00000000-0005-0000-0000-000062470000}"/>
    <cellStyle name="Normal 3 3 10 8 13 2" xfId="28556" xr:uid="{00000000-0005-0000-0000-000063470000}"/>
    <cellStyle name="Normal 3 3 10 8 14" xfId="11026" xr:uid="{00000000-0005-0000-0000-000064470000}"/>
    <cellStyle name="Normal 3 3 10 8 14 2" xfId="28557" xr:uid="{00000000-0005-0000-0000-000065470000}"/>
    <cellStyle name="Normal 3 3 10 8 15" xfId="28552" xr:uid="{00000000-0005-0000-0000-000066470000}"/>
    <cellStyle name="Normal 3 3 10 8 2" xfId="11027" xr:uid="{00000000-0005-0000-0000-000067470000}"/>
    <cellStyle name="Normal 3 3 10 8 2 2" xfId="28558" xr:uid="{00000000-0005-0000-0000-000068470000}"/>
    <cellStyle name="Normal 3 3 10 8 3" xfId="11028" xr:uid="{00000000-0005-0000-0000-000069470000}"/>
    <cellStyle name="Normal 3 3 10 8 3 2" xfId="28559" xr:uid="{00000000-0005-0000-0000-00006A470000}"/>
    <cellStyle name="Normal 3 3 10 8 4" xfId="11029" xr:uid="{00000000-0005-0000-0000-00006B470000}"/>
    <cellStyle name="Normal 3 3 10 8 4 2" xfId="28560" xr:uid="{00000000-0005-0000-0000-00006C470000}"/>
    <cellStyle name="Normal 3 3 10 8 5" xfId="11030" xr:uid="{00000000-0005-0000-0000-00006D470000}"/>
    <cellStyle name="Normal 3 3 10 8 5 2" xfId="28561" xr:uid="{00000000-0005-0000-0000-00006E470000}"/>
    <cellStyle name="Normal 3 3 10 8 6" xfId="11031" xr:uid="{00000000-0005-0000-0000-00006F470000}"/>
    <cellStyle name="Normal 3 3 10 8 6 2" xfId="28562" xr:uid="{00000000-0005-0000-0000-000070470000}"/>
    <cellStyle name="Normal 3 3 10 8 7" xfId="11032" xr:uid="{00000000-0005-0000-0000-000071470000}"/>
    <cellStyle name="Normal 3 3 10 8 7 2" xfId="28563" xr:uid="{00000000-0005-0000-0000-000072470000}"/>
    <cellStyle name="Normal 3 3 10 8 8" xfId="11033" xr:uid="{00000000-0005-0000-0000-000073470000}"/>
    <cellStyle name="Normal 3 3 10 8 8 2" xfId="28564" xr:uid="{00000000-0005-0000-0000-000074470000}"/>
    <cellStyle name="Normal 3 3 10 8 9" xfId="11034" xr:uid="{00000000-0005-0000-0000-000075470000}"/>
    <cellStyle name="Normal 3 3 10 8 9 2" xfId="28565" xr:uid="{00000000-0005-0000-0000-000076470000}"/>
    <cellStyle name="Normal 3 3 10 9" xfId="11035" xr:uid="{00000000-0005-0000-0000-000077470000}"/>
    <cellStyle name="Normal 3 3 10 9 10" xfId="11036" xr:uid="{00000000-0005-0000-0000-000078470000}"/>
    <cellStyle name="Normal 3 3 10 9 10 2" xfId="28567" xr:uid="{00000000-0005-0000-0000-000079470000}"/>
    <cellStyle name="Normal 3 3 10 9 11" xfId="11037" xr:uid="{00000000-0005-0000-0000-00007A470000}"/>
    <cellStyle name="Normal 3 3 10 9 11 2" xfId="28568" xr:uid="{00000000-0005-0000-0000-00007B470000}"/>
    <cellStyle name="Normal 3 3 10 9 12" xfId="11038" xr:uid="{00000000-0005-0000-0000-00007C470000}"/>
    <cellStyle name="Normal 3 3 10 9 12 2" xfId="28569" xr:uid="{00000000-0005-0000-0000-00007D470000}"/>
    <cellStyle name="Normal 3 3 10 9 13" xfId="11039" xr:uid="{00000000-0005-0000-0000-00007E470000}"/>
    <cellStyle name="Normal 3 3 10 9 13 2" xfId="28570" xr:uid="{00000000-0005-0000-0000-00007F470000}"/>
    <cellStyle name="Normal 3 3 10 9 14" xfId="11040" xr:uid="{00000000-0005-0000-0000-000080470000}"/>
    <cellStyle name="Normal 3 3 10 9 14 2" xfId="28571" xr:uid="{00000000-0005-0000-0000-000081470000}"/>
    <cellStyle name="Normal 3 3 10 9 15" xfId="28566" xr:uid="{00000000-0005-0000-0000-000082470000}"/>
    <cellStyle name="Normal 3 3 10 9 2" xfId="11041" xr:uid="{00000000-0005-0000-0000-000083470000}"/>
    <cellStyle name="Normal 3 3 10 9 2 2" xfId="28572" xr:uid="{00000000-0005-0000-0000-000084470000}"/>
    <cellStyle name="Normal 3 3 10 9 3" xfId="11042" xr:uid="{00000000-0005-0000-0000-000085470000}"/>
    <cellStyle name="Normal 3 3 10 9 3 2" xfId="28573" xr:uid="{00000000-0005-0000-0000-000086470000}"/>
    <cellStyle name="Normal 3 3 10 9 4" xfId="11043" xr:uid="{00000000-0005-0000-0000-000087470000}"/>
    <cellStyle name="Normal 3 3 10 9 4 2" xfId="28574" xr:uid="{00000000-0005-0000-0000-000088470000}"/>
    <cellStyle name="Normal 3 3 10 9 5" xfId="11044" xr:uid="{00000000-0005-0000-0000-000089470000}"/>
    <cellStyle name="Normal 3 3 10 9 5 2" xfId="28575" xr:uid="{00000000-0005-0000-0000-00008A470000}"/>
    <cellStyle name="Normal 3 3 10 9 6" xfId="11045" xr:uid="{00000000-0005-0000-0000-00008B470000}"/>
    <cellStyle name="Normal 3 3 10 9 6 2" xfId="28576" xr:uid="{00000000-0005-0000-0000-00008C470000}"/>
    <cellStyle name="Normal 3 3 10 9 7" xfId="11046" xr:uid="{00000000-0005-0000-0000-00008D470000}"/>
    <cellStyle name="Normal 3 3 10 9 7 2" xfId="28577" xr:uid="{00000000-0005-0000-0000-00008E470000}"/>
    <cellStyle name="Normal 3 3 10 9 8" xfId="11047" xr:uid="{00000000-0005-0000-0000-00008F470000}"/>
    <cellStyle name="Normal 3 3 10 9 8 2" xfId="28578" xr:uid="{00000000-0005-0000-0000-000090470000}"/>
    <cellStyle name="Normal 3 3 10 9 9" xfId="11048" xr:uid="{00000000-0005-0000-0000-000091470000}"/>
    <cellStyle name="Normal 3 3 10 9 9 2" xfId="28579" xr:uid="{00000000-0005-0000-0000-000092470000}"/>
    <cellStyle name="Normal 3 3 11" xfId="11049" xr:uid="{00000000-0005-0000-0000-000093470000}"/>
    <cellStyle name="Normal 3 3 11 10" xfId="11050" xr:uid="{00000000-0005-0000-0000-000094470000}"/>
    <cellStyle name="Normal 3 3 11 10 10" xfId="11051" xr:uid="{00000000-0005-0000-0000-000095470000}"/>
    <cellStyle name="Normal 3 3 11 10 10 2" xfId="28582" xr:uid="{00000000-0005-0000-0000-000096470000}"/>
    <cellStyle name="Normal 3 3 11 10 11" xfId="11052" xr:uid="{00000000-0005-0000-0000-000097470000}"/>
    <cellStyle name="Normal 3 3 11 10 11 2" xfId="28583" xr:uid="{00000000-0005-0000-0000-000098470000}"/>
    <cellStyle name="Normal 3 3 11 10 12" xfId="11053" xr:uid="{00000000-0005-0000-0000-000099470000}"/>
    <cellStyle name="Normal 3 3 11 10 12 2" xfId="28584" xr:uid="{00000000-0005-0000-0000-00009A470000}"/>
    <cellStyle name="Normal 3 3 11 10 13" xfId="11054" xr:uid="{00000000-0005-0000-0000-00009B470000}"/>
    <cellStyle name="Normal 3 3 11 10 13 2" xfId="28585" xr:uid="{00000000-0005-0000-0000-00009C470000}"/>
    <cellStyle name="Normal 3 3 11 10 14" xfId="11055" xr:uid="{00000000-0005-0000-0000-00009D470000}"/>
    <cellStyle name="Normal 3 3 11 10 14 2" xfId="28586" xr:uid="{00000000-0005-0000-0000-00009E470000}"/>
    <cellStyle name="Normal 3 3 11 10 15" xfId="28581" xr:uid="{00000000-0005-0000-0000-00009F470000}"/>
    <cellStyle name="Normal 3 3 11 10 2" xfId="11056" xr:uid="{00000000-0005-0000-0000-0000A0470000}"/>
    <cellStyle name="Normal 3 3 11 10 2 2" xfId="28587" xr:uid="{00000000-0005-0000-0000-0000A1470000}"/>
    <cellStyle name="Normal 3 3 11 10 3" xfId="11057" xr:uid="{00000000-0005-0000-0000-0000A2470000}"/>
    <cellStyle name="Normal 3 3 11 10 3 2" xfId="28588" xr:uid="{00000000-0005-0000-0000-0000A3470000}"/>
    <cellStyle name="Normal 3 3 11 10 4" xfId="11058" xr:uid="{00000000-0005-0000-0000-0000A4470000}"/>
    <cellStyle name="Normal 3 3 11 10 4 2" xfId="28589" xr:uid="{00000000-0005-0000-0000-0000A5470000}"/>
    <cellStyle name="Normal 3 3 11 10 5" xfId="11059" xr:uid="{00000000-0005-0000-0000-0000A6470000}"/>
    <cellStyle name="Normal 3 3 11 10 5 2" xfId="28590" xr:uid="{00000000-0005-0000-0000-0000A7470000}"/>
    <cellStyle name="Normal 3 3 11 10 6" xfId="11060" xr:uid="{00000000-0005-0000-0000-0000A8470000}"/>
    <cellStyle name="Normal 3 3 11 10 6 2" xfId="28591" xr:uid="{00000000-0005-0000-0000-0000A9470000}"/>
    <cellStyle name="Normal 3 3 11 10 7" xfId="11061" xr:uid="{00000000-0005-0000-0000-0000AA470000}"/>
    <cellStyle name="Normal 3 3 11 10 7 2" xfId="28592" xr:uid="{00000000-0005-0000-0000-0000AB470000}"/>
    <cellStyle name="Normal 3 3 11 10 8" xfId="11062" xr:uid="{00000000-0005-0000-0000-0000AC470000}"/>
    <cellStyle name="Normal 3 3 11 10 8 2" xfId="28593" xr:uid="{00000000-0005-0000-0000-0000AD470000}"/>
    <cellStyle name="Normal 3 3 11 10 9" xfId="11063" xr:uid="{00000000-0005-0000-0000-0000AE470000}"/>
    <cellStyle name="Normal 3 3 11 10 9 2" xfId="28594" xr:uid="{00000000-0005-0000-0000-0000AF470000}"/>
    <cellStyle name="Normal 3 3 11 11" xfId="11064" xr:uid="{00000000-0005-0000-0000-0000B0470000}"/>
    <cellStyle name="Normal 3 3 11 11 2" xfId="28595" xr:uid="{00000000-0005-0000-0000-0000B1470000}"/>
    <cellStyle name="Normal 3 3 11 12" xfId="11065" xr:uid="{00000000-0005-0000-0000-0000B2470000}"/>
    <cellStyle name="Normal 3 3 11 12 2" xfId="28596" xr:uid="{00000000-0005-0000-0000-0000B3470000}"/>
    <cellStyle name="Normal 3 3 11 13" xfId="11066" xr:uid="{00000000-0005-0000-0000-0000B4470000}"/>
    <cellStyle name="Normal 3 3 11 13 2" xfId="28597" xr:uid="{00000000-0005-0000-0000-0000B5470000}"/>
    <cellStyle name="Normal 3 3 11 14" xfId="11067" xr:uid="{00000000-0005-0000-0000-0000B6470000}"/>
    <cellStyle name="Normal 3 3 11 14 2" xfId="28598" xr:uid="{00000000-0005-0000-0000-0000B7470000}"/>
    <cellStyle name="Normal 3 3 11 15" xfId="11068" xr:uid="{00000000-0005-0000-0000-0000B8470000}"/>
    <cellStyle name="Normal 3 3 11 15 2" xfId="28599" xr:uid="{00000000-0005-0000-0000-0000B9470000}"/>
    <cellStyle name="Normal 3 3 11 16" xfId="11069" xr:uid="{00000000-0005-0000-0000-0000BA470000}"/>
    <cellStyle name="Normal 3 3 11 16 2" xfId="28600" xr:uid="{00000000-0005-0000-0000-0000BB470000}"/>
    <cellStyle name="Normal 3 3 11 17" xfId="11070" xr:uid="{00000000-0005-0000-0000-0000BC470000}"/>
    <cellStyle name="Normal 3 3 11 17 2" xfId="28601" xr:uid="{00000000-0005-0000-0000-0000BD470000}"/>
    <cellStyle name="Normal 3 3 11 18" xfId="11071" xr:uid="{00000000-0005-0000-0000-0000BE470000}"/>
    <cellStyle name="Normal 3 3 11 18 2" xfId="28602" xr:uid="{00000000-0005-0000-0000-0000BF470000}"/>
    <cellStyle name="Normal 3 3 11 19" xfId="11072" xr:uid="{00000000-0005-0000-0000-0000C0470000}"/>
    <cellStyle name="Normal 3 3 11 19 2" xfId="28603" xr:uid="{00000000-0005-0000-0000-0000C1470000}"/>
    <cellStyle name="Normal 3 3 11 2" xfId="11073" xr:uid="{00000000-0005-0000-0000-0000C2470000}"/>
    <cellStyle name="Normal 3 3 11 2 10" xfId="11074" xr:uid="{00000000-0005-0000-0000-0000C3470000}"/>
    <cellStyle name="Normal 3 3 11 2 10 2" xfId="28605" xr:uid="{00000000-0005-0000-0000-0000C4470000}"/>
    <cellStyle name="Normal 3 3 11 2 11" xfId="11075" xr:uid="{00000000-0005-0000-0000-0000C5470000}"/>
    <cellStyle name="Normal 3 3 11 2 11 2" xfId="28606" xr:uid="{00000000-0005-0000-0000-0000C6470000}"/>
    <cellStyle name="Normal 3 3 11 2 12" xfId="11076" xr:uid="{00000000-0005-0000-0000-0000C7470000}"/>
    <cellStyle name="Normal 3 3 11 2 12 2" xfId="28607" xr:uid="{00000000-0005-0000-0000-0000C8470000}"/>
    <cellStyle name="Normal 3 3 11 2 13" xfId="11077" xr:uid="{00000000-0005-0000-0000-0000C9470000}"/>
    <cellStyle name="Normal 3 3 11 2 13 2" xfId="28608" xr:uid="{00000000-0005-0000-0000-0000CA470000}"/>
    <cellStyle name="Normal 3 3 11 2 14" xfId="11078" xr:uid="{00000000-0005-0000-0000-0000CB470000}"/>
    <cellStyle name="Normal 3 3 11 2 14 2" xfId="28609" xr:uid="{00000000-0005-0000-0000-0000CC470000}"/>
    <cellStyle name="Normal 3 3 11 2 15" xfId="11079" xr:uid="{00000000-0005-0000-0000-0000CD470000}"/>
    <cellStyle name="Normal 3 3 11 2 15 2" xfId="28610" xr:uid="{00000000-0005-0000-0000-0000CE470000}"/>
    <cellStyle name="Normal 3 3 11 2 16" xfId="28604" xr:uid="{00000000-0005-0000-0000-0000CF470000}"/>
    <cellStyle name="Normal 3 3 11 2 2" xfId="11080" xr:uid="{00000000-0005-0000-0000-0000D0470000}"/>
    <cellStyle name="Normal 3 3 11 2 2 10" xfId="11081" xr:uid="{00000000-0005-0000-0000-0000D1470000}"/>
    <cellStyle name="Normal 3 3 11 2 2 10 2" xfId="28612" xr:uid="{00000000-0005-0000-0000-0000D2470000}"/>
    <cellStyle name="Normal 3 3 11 2 2 11" xfId="11082" xr:uid="{00000000-0005-0000-0000-0000D3470000}"/>
    <cellStyle name="Normal 3 3 11 2 2 11 2" xfId="28613" xr:uid="{00000000-0005-0000-0000-0000D4470000}"/>
    <cellStyle name="Normal 3 3 11 2 2 12" xfId="11083" xr:uid="{00000000-0005-0000-0000-0000D5470000}"/>
    <cellStyle name="Normal 3 3 11 2 2 12 2" xfId="28614" xr:uid="{00000000-0005-0000-0000-0000D6470000}"/>
    <cellStyle name="Normal 3 3 11 2 2 13" xfId="11084" xr:uid="{00000000-0005-0000-0000-0000D7470000}"/>
    <cellStyle name="Normal 3 3 11 2 2 13 2" xfId="28615" xr:uid="{00000000-0005-0000-0000-0000D8470000}"/>
    <cellStyle name="Normal 3 3 11 2 2 14" xfId="11085" xr:uid="{00000000-0005-0000-0000-0000D9470000}"/>
    <cellStyle name="Normal 3 3 11 2 2 14 2" xfId="28616" xr:uid="{00000000-0005-0000-0000-0000DA470000}"/>
    <cellStyle name="Normal 3 3 11 2 2 15" xfId="28611" xr:uid="{00000000-0005-0000-0000-0000DB470000}"/>
    <cellStyle name="Normal 3 3 11 2 2 2" xfId="11086" xr:uid="{00000000-0005-0000-0000-0000DC470000}"/>
    <cellStyle name="Normal 3 3 11 2 2 2 2" xfId="28617" xr:uid="{00000000-0005-0000-0000-0000DD470000}"/>
    <cellStyle name="Normal 3 3 11 2 2 3" xfId="11087" xr:uid="{00000000-0005-0000-0000-0000DE470000}"/>
    <cellStyle name="Normal 3 3 11 2 2 3 2" xfId="28618" xr:uid="{00000000-0005-0000-0000-0000DF470000}"/>
    <cellStyle name="Normal 3 3 11 2 2 4" xfId="11088" xr:uid="{00000000-0005-0000-0000-0000E0470000}"/>
    <cellStyle name="Normal 3 3 11 2 2 4 2" xfId="28619" xr:uid="{00000000-0005-0000-0000-0000E1470000}"/>
    <cellStyle name="Normal 3 3 11 2 2 5" xfId="11089" xr:uid="{00000000-0005-0000-0000-0000E2470000}"/>
    <cellStyle name="Normal 3 3 11 2 2 5 2" xfId="28620" xr:uid="{00000000-0005-0000-0000-0000E3470000}"/>
    <cellStyle name="Normal 3 3 11 2 2 6" xfId="11090" xr:uid="{00000000-0005-0000-0000-0000E4470000}"/>
    <cellStyle name="Normal 3 3 11 2 2 6 2" xfId="28621" xr:uid="{00000000-0005-0000-0000-0000E5470000}"/>
    <cellStyle name="Normal 3 3 11 2 2 7" xfId="11091" xr:uid="{00000000-0005-0000-0000-0000E6470000}"/>
    <cellStyle name="Normal 3 3 11 2 2 7 2" xfId="28622" xr:uid="{00000000-0005-0000-0000-0000E7470000}"/>
    <cellStyle name="Normal 3 3 11 2 2 8" xfId="11092" xr:uid="{00000000-0005-0000-0000-0000E8470000}"/>
    <cellStyle name="Normal 3 3 11 2 2 8 2" xfId="28623" xr:uid="{00000000-0005-0000-0000-0000E9470000}"/>
    <cellStyle name="Normal 3 3 11 2 2 9" xfId="11093" xr:uid="{00000000-0005-0000-0000-0000EA470000}"/>
    <cellStyle name="Normal 3 3 11 2 2 9 2" xfId="28624" xr:uid="{00000000-0005-0000-0000-0000EB470000}"/>
    <cellStyle name="Normal 3 3 11 2 3" xfId="11094" xr:uid="{00000000-0005-0000-0000-0000EC470000}"/>
    <cellStyle name="Normal 3 3 11 2 3 2" xfId="28625" xr:uid="{00000000-0005-0000-0000-0000ED470000}"/>
    <cellStyle name="Normal 3 3 11 2 4" xfId="11095" xr:uid="{00000000-0005-0000-0000-0000EE470000}"/>
    <cellStyle name="Normal 3 3 11 2 4 2" xfId="28626" xr:uid="{00000000-0005-0000-0000-0000EF470000}"/>
    <cellStyle name="Normal 3 3 11 2 5" xfId="11096" xr:uid="{00000000-0005-0000-0000-0000F0470000}"/>
    <cellStyle name="Normal 3 3 11 2 5 2" xfId="28627" xr:uid="{00000000-0005-0000-0000-0000F1470000}"/>
    <cellStyle name="Normal 3 3 11 2 6" xfId="11097" xr:uid="{00000000-0005-0000-0000-0000F2470000}"/>
    <cellStyle name="Normal 3 3 11 2 6 2" xfId="28628" xr:uid="{00000000-0005-0000-0000-0000F3470000}"/>
    <cellStyle name="Normal 3 3 11 2 7" xfId="11098" xr:uid="{00000000-0005-0000-0000-0000F4470000}"/>
    <cellStyle name="Normal 3 3 11 2 7 2" xfId="28629" xr:uid="{00000000-0005-0000-0000-0000F5470000}"/>
    <cellStyle name="Normal 3 3 11 2 8" xfId="11099" xr:uid="{00000000-0005-0000-0000-0000F6470000}"/>
    <cellStyle name="Normal 3 3 11 2 8 2" xfId="28630" xr:uid="{00000000-0005-0000-0000-0000F7470000}"/>
    <cellStyle name="Normal 3 3 11 2 9" xfId="11100" xr:uid="{00000000-0005-0000-0000-0000F8470000}"/>
    <cellStyle name="Normal 3 3 11 2 9 2" xfId="28631" xr:uid="{00000000-0005-0000-0000-0000F9470000}"/>
    <cellStyle name="Normal 3 3 11 20" xfId="11101" xr:uid="{00000000-0005-0000-0000-0000FA470000}"/>
    <cellStyle name="Normal 3 3 11 20 2" xfId="28632" xr:uid="{00000000-0005-0000-0000-0000FB470000}"/>
    <cellStyle name="Normal 3 3 11 21" xfId="11102" xr:uid="{00000000-0005-0000-0000-0000FC470000}"/>
    <cellStyle name="Normal 3 3 11 21 2" xfId="28633" xr:uid="{00000000-0005-0000-0000-0000FD470000}"/>
    <cellStyle name="Normal 3 3 11 22" xfId="11103" xr:uid="{00000000-0005-0000-0000-0000FE470000}"/>
    <cellStyle name="Normal 3 3 11 22 2" xfId="28634" xr:uid="{00000000-0005-0000-0000-0000FF470000}"/>
    <cellStyle name="Normal 3 3 11 23" xfId="11104" xr:uid="{00000000-0005-0000-0000-000000480000}"/>
    <cellStyle name="Normal 3 3 11 23 2" xfId="28635" xr:uid="{00000000-0005-0000-0000-000001480000}"/>
    <cellStyle name="Normal 3 3 11 24" xfId="28580" xr:uid="{00000000-0005-0000-0000-000002480000}"/>
    <cellStyle name="Normal 3 3 11 3" xfId="11105" xr:uid="{00000000-0005-0000-0000-000003480000}"/>
    <cellStyle name="Normal 3 3 11 3 10" xfId="11106" xr:uid="{00000000-0005-0000-0000-000004480000}"/>
    <cellStyle name="Normal 3 3 11 3 10 2" xfId="28637" xr:uid="{00000000-0005-0000-0000-000005480000}"/>
    <cellStyle name="Normal 3 3 11 3 11" xfId="11107" xr:uid="{00000000-0005-0000-0000-000006480000}"/>
    <cellStyle name="Normal 3 3 11 3 11 2" xfId="28638" xr:uid="{00000000-0005-0000-0000-000007480000}"/>
    <cellStyle name="Normal 3 3 11 3 12" xfId="11108" xr:uid="{00000000-0005-0000-0000-000008480000}"/>
    <cellStyle name="Normal 3 3 11 3 12 2" xfId="28639" xr:uid="{00000000-0005-0000-0000-000009480000}"/>
    <cellStyle name="Normal 3 3 11 3 13" xfId="11109" xr:uid="{00000000-0005-0000-0000-00000A480000}"/>
    <cellStyle name="Normal 3 3 11 3 13 2" xfId="28640" xr:uid="{00000000-0005-0000-0000-00000B480000}"/>
    <cellStyle name="Normal 3 3 11 3 14" xfId="11110" xr:uid="{00000000-0005-0000-0000-00000C480000}"/>
    <cellStyle name="Normal 3 3 11 3 14 2" xfId="28641" xr:uid="{00000000-0005-0000-0000-00000D480000}"/>
    <cellStyle name="Normal 3 3 11 3 15" xfId="11111" xr:uid="{00000000-0005-0000-0000-00000E480000}"/>
    <cellStyle name="Normal 3 3 11 3 15 2" xfId="28642" xr:uid="{00000000-0005-0000-0000-00000F480000}"/>
    <cellStyle name="Normal 3 3 11 3 16" xfId="28636" xr:uid="{00000000-0005-0000-0000-000010480000}"/>
    <cellStyle name="Normal 3 3 11 3 2" xfId="11112" xr:uid="{00000000-0005-0000-0000-000011480000}"/>
    <cellStyle name="Normal 3 3 11 3 2 10" xfId="11113" xr:uid="{00000000-0005-0000-0000-000012480000}"/>
    <cellStyle name="Normal 3 3 11 3 2 10 2" xfId="28644" xr:uid="{00000000-0005-0000-0000-000013480000}"/>
    <cellStyle name="Normal 3 3 11 3 2 11" xfId="11114" xr:uid="{00000000-0005-0000-0000-000014480000}"/>
    <cellStyle name="Normal 3 3 11 3 2 11 2" xfId="28645" xr:uid="{00000000-0005-0000-0000-000015480000}"/>
    <cellStyle name="Normal 3 3 11 3 2 12" xfId="11115" xr:uid="{00000000-0005-0000-0000-000016480000}"/>
    <cellStyle name="Normal 3 3 11 3 2 12 2" xfId="28646" xr:uid="{00000000-0005-0000-0000-000017480000}"/>
    <cellStyle name="Normal 3 3 11 3 2 13" xfId="11116" xr:uid="{00000000-0005-0000-0000-000018480000}"/>
    <cellStyle name="Normal 3 3 11 3 2 13 2" xfId="28647" xr:uid="{00000000-0005-0000-0000-000019480000}"/>
    <cellStyle name="Normal 3 3 11 3 2 14" xfId="11117" xr:uid="{00000000-0005-0000-0000-00001A480000}"/>
    <cellStyle name="Normal 3 3 11 3 2 14 2" xfId="28648" xr:uid="{00000000-0005-0000-0000-00001B480000}"/>
    <cellStyle name="Normal 3 3 11 3 2 15" xfId="28643" xr:uid="{00000000-0005-0000-0000-00001C480000}"/>
    <cellStyle name="Normal 3 3 11 3 2 2" xfId="11118" xr:uid="{00000000-0005-0000-0000-00001D480000}"/>
    <cellStyle name="Normal 3 3 11 3 2 2 2" xfId="28649" xr:uid="{00000000-0005-0000-0000-00001E480000}"/>
    <cellStyle name="Normal 3 3 11 3 2 3" xfId="11119" xr:uid="{00000000-0005-0000-0000-00001F480000}"/>
    <cellStyle name="Normal 3 3 11 3 2 3 2" xfId="28650" xr:uid="{00000000-0005-0000-0000-000020480000}"/>
    <cellStyle name="Normal 3 3 11 3 2 4" xfId="11120" xr:uid="{00000000-0005-0000-0000-000021480000}"/>
    <cellStyle name="Normal 3 3 11 3 2 4 2" xfId="28651" xr:uid="{00000000-0005-0000-0000-000022480000}"/>
    <cellStyle name="Normal 3 3 11 3 2 5" xfId="11121" xr:uid="{00000000-0005-0000-0000-000023480000}"/>
    <cellStyle name="Normal 3 3 11 3 2 5 2" xfId="28652" xr:uid="{00000000-0005-0000-0000-000024480000}"/>
    <cellStyle name="Normal 3 3 11 3 2 6" xfId="11122" xr:uid="{00000000-0005-0000-0000-000025480000}"/>
    <cellStyle name="Normal 3 3 11 3 2 6 2" xfId="28653" xr:uid="{00000000-0005-0000-0000-000026480000}"/>
    <cellStyle name="Normal 3 3 11 3 2 7" xfId="11123" xr:uid="{00000000-0005-0000-0000-000027480000}"/>
    <cellStyle name="Normal 3 3 11 3 2 7 2" xfId="28654" xr:uid="{00000000-0005-0000-0000-000028480000}"/>
    <cellStyle name="Normal 3 3 11 3 2 8" xfId="11124" xr:uid="{00000000-0005-0000-0000-000029480000}"/>
    <cellStyle name="Normal 3 3 11 3 2 8 2" xfId="28655" xr:uid="{00000000-0005-0000-0000-00002A480000}"/>
    <cellStyle name="Normal 3 3 11 3 2 9" xfId="11125" xr:uid="{00000000-0005-0000-0000-00002B480000}"/>
    <cellStyle name="Normal 3 3 11 3 2 9 2" xfId="28656" xr:uid="{00000000-0005-0000-0000-00002C480000}"/>
    <cellStyle name="Normal 3 3 11 3 3" xfId="11126" xr:uid="{00000000-0005-0000-0000-00002D480000}"/>
    <cellStyle name="Normal 3 3 11 3 3 2" xfId="28657" xr:uid="{00000000-0005-0000-0000-00002E480000}"/>
    <cellStyle name="Normal 3 3 11 3 4" xfId="11127" xr:uid="{00000000-0005-0000-0000-00002F480000}"/>
    <cellStyle name="Normal 3 3 11 3 4 2" xfId="28658" xr:uid="{00000000-0005-0000-0000-000030480000}"/>
    <cellStyle name="Normal 3 3 11 3 5" xfId="11128" xr:uid="{00000000-0005-0000-0000-000031480000}"/>
    <cellStyle name="Normal 3 3 11 3 5 2" xfId="28659" xr:uid="{00000000-0005-0000-0000-000032480000}"/>
    <cellStyle name="Normal 3 3 11 3 6" xfId="11129" xr:uid="{00000000-0005-0000-0000-000033480000}"/>
    <cellStyle name="Normal 3 3 11 3 6 2" xfId="28660" xr:uid="{00000000-0005-0000-0000-000034480000}"/>
    <cellStyle name="Normal 3 3 11 3 7" xfId="11130" xr:uid="{00000000-0005-0000-0000-000035480000}"/>
    <cellStyle name="Normal 3 3 11 3 7 2" xfId="28661" xr:uid="{00000000-0005-0000-0000-000036480000}"/>
    <cellStyle name="Normal 3 3 11 3 8" xfId="11131" xr:uid="{00000000-0005-0000-0000-000037480000}"/>
    <cellStyle name="Normal 3 3 11 3 8 2" xfId="28662" xr:uid="{00000000-0005-0000-0000-000038480000}"/>
    <cellStyle name="Normal 3 3 11 3 9" xfId="11132" xr:uid="{00000000-0005-0000-0000-000039480000}"/>
    <cellStyle name="Normal 3 3 11 3 9 2" xfId="28663" xr:uid="{00000000-0005-0000-0000-00003A480000}"/>
    <cellStyle name="Normal 3 3 11 4" xfId="11133" xr:uid="{00000000-0005-0000-0000-00003B480000}"/>
    <cellStyle name="Normal 3 3 11 4 10" xfId="11134" xr:uid="{00000000-0005-0000-0000-00003C480000}"/>
    <cellStyle name="Normal 3 3 11 4 10 2" xfId="28665" xr:uid="{00000000-0005-0000-0000-00003D480000}"/>
    <cellStyle name="Normal 3 3 11 4 11" xfId="11135" xr:uid="{00000000-0005-0000-0000-00003E480000}"/>
    <cellStyle name="Normal 3 3 11 4 11 2" xfId="28666" xr:uid="{00000000-0005-0000-0000-00003F480000}"/>
    <cellStyle name="Normal 3 3 11 4 12" xfId="11136" xr:uid="{00000000-0005-0000-0000-000040480000}"/>
    <cellStyle name="Normal 3 3 11 4 12 2" xfId="28667" xr:uid="{00000000-0005-0000-0000-000041480000}"/>
    <cellStyle name="Normal 3 3 11 4 13" xfId="11137" xr:uid="{00000000-0005-0000-0000-000042480000}"/>
    <cellStyle name="Normal 3 3 11 4 13 2" xfId="28668" xr:uid="{00000000-0005-0000-0000-000043480000}"/>
    <cellStyle name="Normal 3 3 11 4 14" xfId="11138" xr:uid="{00000000-0005-0000-0000-000044480000}"/>
    <cellStyle name="Normal 3 3 11 4 14 2" xfId="28669" xr:uid="{00000000-0005-0000-0000-000045480000}"/>
    <cellStyle name="Normal 3 3 11 4 15" xfId="11139" xr:uid="{00000000-0005-0000-0000-000046480000}"/>
    <cellStyle name="Normal 3 3 11 4 15 2" xfId="28670" xr:uid="{00000000-0005-0000-0000-000047480000}"/>
    <cellStyle name="Normal 3 3 11 4 16" xfId="28664" xr:uid="{00000000-0005-0000-0000-000048480000}"/>
    <cellStyle name="Normal 3 3 11 4 2" xfId="11140" xr:uid="{00000000-0005-0000-0000-000049480000}"/>
    <cellStyle name="Normal 3 3 11 4 2 10" xfId="11141" xr:uid="{00000000-0005-0000-0000-00004A480000}"/>
    <cellStyle name="Normal 3 3 11 4 2 10 2" xfId="28672" xr:uid="{00000000-0005-0000-0000-00004B480000}"/>
    <cellStyle name="Normal 3 3 11 4 2 11" xfId="11142" xr:uid="{00000000-0005-0000-0000-00004C480000}"/>
    <cellStyle name="Normal 3 3 11 4 2 11 2" xfId="28673" xr:uid="{00000000-0005-0000-0000-00004D480000}"/>
    <cellStyle name="Normal 3 3 11 4 2 12" xfId="11143" xr:uid="{00000000-0005-0000-0000-00004E480000}"/>
    <cellStyle name="Normal 3 3 11 4 2 12 2" xfId="28674" xr:uid="{00000000-0005-0000-0000-00004F480000}"/>
    <cellStyle name="Normal 3 3 11 4 2 13" xfId="11144" xr:uid="{00000000-0005-0000-0000-000050480000}"/>
    <cellStyle name="Normal 3 3 11 4 2 13 2" xfId="28675" xr:uid="{00000000-0005-0000-0000-000051480000}"/>
    <cellStyle name="Normal 3 3 11 4 2 14" xfId="11145" xr:uid="{00000000-0005-0000-0000-000052480000}"/>
    <cellStyle name="Normal 3 3 11 4 2 14 2" xfId="28676" xr:uid="{00000000-0005-0000-0000-000053480000}"/>
    <cellStyle name="Normal 3 3 11 4 2 15" xfId="28671" xr:uid="{00000000-0005-0000-0000-000054480000}"/>
    <cellStyle name="Normal 3 3 11 4 2 2" xfId="11146" xr:uid="{00000000-0005-0000-0000-000055480000}"/>
    <cellStyle name="Normal 3 3 11 4 2 2 2" xfId="28677" xr:uid="{00000000-0005-0000-0000-000056480000}"/>
    <cellStyle name="Normal 3 3 11 4 2 3" xfId="11147" xr:uid="{00000000-0005-0000-0000-000057480000}"/>
    <cellStyle name="Normal 3 3 11 4 2 3 2" xfId="28678" xr:uid="{00000000-0005-0000-0000-000058480000}"/>
    <cellStyle name="Normal 3 3 11 4 2 4" xfId="11148" xr:uid="{00000000-0005-0000-0000-000059480000}"/>
    <cellStyle name="Normal 3 3 11 4 2 4 2" xfId="28679" xr:uid="{00000000-0005-0000-0000-00005A480000}"/>
    <cellStyle name="Normal 3 3 11 4 2 5" xfId="11149" xr:uid="{00000000-0005-0000-0000-00005B480000}"/>
    <cellStyle name="Normal 3 3 11 4 2 5 2" xfId="28680" xr:uid="{00000000-0005-0000-0000-00005C480000}"/>
    <cellStyle name="Normal 3 3 11 4 2 6" xfId="11150" xr:uid="{00000000-0005-0000-0000-00005D480000}"/>
    <cellStyle name="Normal 3 3 11 4 2 6 2" xfId="28681" xr:uid="{00000000-0005-0000-0000-00005E480000}"/>
    <cellStyle name="Normal 3 3 11 4 2 7" xfId="11151" xr:uid="{00000000-0005-0000-0000-00005F480000}"/>
    <cellStyle name="Normal 3 3 11 4 2 7 2" xfId="28682" xr:uid="{00000000-0005-0000-0000-000060480000}"/>
    <cellStyle name="Normal 3 3 11 4 2 8" xfId="11152" xr:uid="{00000000-0005-0000-0000-000061480000}"/>
    <cellStyle name="Normal 3 3 11 4 2 8 2" xfId="28683" xr:uid="{00000000-0005-0000-0000-000062480000}"/>
    <cellStyle name="Normal 3 3 11 4 2 9" xfId="11153" xr:uid="{00000000-0005-0000-0000-000063480000}"/>
    <cellStyle name="Normal 3 3 11 4 2 9 2" xfId="28684" xr:uid="{00000000-0005-0000-0000-000064480000}"/>
    <cellStyle name="Normal 3 3 11 4 3" xfId="11154" xr:uid="{00000000-0005-0000-0000-000065480000}"/>
    <cellStyle name="Normal 3 3 11 4 3 2" xfId="28685" xr:uid="{00000000-0005-0000-0000-000066480000}"/>
    <cellStyle name="Normal 3 3 11 4 4" xfId="11155" xr:uid="{00000000-0005-0000-0000-000067480000}"/>
    <cellStyle name="Normal 3 3 11 4 4 2" xfId="28686" xr:uid="{00000000-0005-0000-0000-000068480000}"/>
    <cellStyle name="Normal 3 3 11 4 5" xfId="11156" xr:uid="{00000000-0005-0000-0000-000069480000}"/>
    <cellStyle name="Normal 3 3 11 4 5 2" xfId="28687" xr:uid="{00000000-0005-0000-0000-00006A480000}"/>
    <cellStyle name="Normal 3 3 11 4 6" xfId="11157" xr:uid="{00000000-0005-0000-0000-00006B480000}"/>
    <cellStyle name="Normal 3 3 11 4 6 2" xfId="28688" xr:uid="{00000000-0005-0000-0000-00006C480000}"/>
    <cellStyle name="Normal 3 3 11 4 7" xfId="11158" xr:uid="{00000000-0005-0000-0000-00006D480000}"/>
    <cellStyle name="Normal 3 3 11 4 7 2" xfId="28689" xr:uid="{00000000-0005-0000-0000-00006E480000}"/>
    <cellStyle name="Normal 3 3 11 4 8" xfId="11159" xr:uid="{00000000-0005-0000-0000-00006F480000}"/>
    <cellStyle name="Normal 3 3 11 4 8 2" xfId="28690" xr:uid="{00000000-0005-0000-0000-000070480000}"/>
    <cellStyle name="Normal 3 3 11 4 9" xfId="11160" xr:uid="{00000000-0005-0000-0000-000071480000}"/>
    <cellStyle name="Normal 3 3 11 4 9 2" xfId="28691" xr:uid="{00000000-0005-0000-0000-000072480000}"/>
    <cellStyle name="Normal 3 3 11 5" xfId="11161" xr:uid="{00000000-0005-0000-0000-000073480000}"/>
    <cellStyle name="Normal 3 3 11 5 10" xfId="11162" xr:uid="{00000000-0005-0000-0000-000074480000}"/>
    <cellStyle name="Normal 3 3 11 5 10 2" xfId="28693" xr:uid="{00000000-0005-0000-0000-000075480000}"/>
    <cellStyle name="Normal 3 3 11 5 11" xfId="11163" xr:uid="{00000000-0005-0000-0000-000076480000}"/>
    <cellStyle name="Normal 3 3 11 5 11 2" xfId="28694" xr:uid="{00000000-0005-0000-0000-000077480000}"/>
    <cellStyle name="Normal 3 3 11 5 12" xfId="11164" xr:uid="{00000000-0005-0000-0000-000078480000}"/>
    <cellStyle name="Normal 3 3 11 5 12 2" xfId="28695" xr:uid="{00000000-0005-0000-0000-000079480000}"/>
    <cellStyle name="Normal 3 3 11 5 13" xfId="11165" xr:uid="{00000000-0005-0000-0000-00007A480000}"/>
    <cellStyle name="Normal 3 3 11 5 13 2" xfId="28696" xr:uid="{00000000-0005-0000-0000-00007B480000}"/>
    <cellStyle name="Normal 3 3 11 5 14" xfId="11166" xr:uid="{00000000-0005-0000-0000-00007C480000}"/>
    <cellStyle name="Normal 3 3 11 5 14 2" xfId="28697" xr:uid="{00000000-0005-0000-0000-00007D480000}"/>
    <cellStyle name="Normal 3 3 11 5 15" xfId="28692" xr:uid="{00000000-0005-0000-0000-00007E480000}"/>
    <cellStyle name="Normal 3 3 11 5 2" xfId="11167" xr:uid="{00000000-0005-0000-0000-00007F480000}"/>
    <cellStyle name="Normal 3 3 11 5 2 2" xfId="28698" xr:uid="{00000000-0005-0000-0000-000080480000}"/>
    <cellStyle name="Normal 3 3 11 5 3" xfId="11168" xr:uid="{00000000-0005-0000-0000-000081480000}"/>
    <cellStyle name="Normal 3 3 11 5 3 2" xfId="28699" xr:uid="{00000000-0005-0000-0000-000082480000}"/>
    <cellStyle name="Normal 3 3 11 5 4" xfId="11169" xr:uid="{00000000-0005-0000-0000-000083480000}"/>
    <cellStyle name="Normal 3 3 11 5 4 2" xfId="28700" xr:uid="{00000000-0005-0000-0000-000084480000}"/>
    <cellStyle name="Normal 3 3 11 5 5" xfId="11170" xr:uid="{00000000-0005-0000-0000-000085480000}"/>
    <cellStyle name="Normal 3 3 11 5 5 2" xfId="28701" xr:uid="{00000000-0005-0000-0000-000086480000}"/>
    <cellStyle name="Normal 3 3 11 5 6" xfId="11171" xr:uid="{00000000-0005-0000-0000-000087480000}"/>
    <cellStyle name="Normal 3 3 11 5 6 2" xfId="28702" xr:uid="{00000000-0005-0000-0000-000088480000}"/>
    <cellStyle name="Normal 3 3 11 5 7" xfId="11172" xr:uid="{00000000-0005-0000-0000-000089480000}"/>
    <cellStyle name="Normal 3 3 11 5 7 2" xfId="28703" xr:uid="{00000000-0005-0000-0000-00008A480000}"/>
    <cellStyle name="Normal 3 3 11 5 8" xfId="11173" xr:uid="{00000000-0005-0000-0000-00008B480000}"/>
    <cellStyle name="Normal 3 3 11 5 8 2" xfId="28704" xr:uid="{00000000-0005-0000-0000-00008C480000}"/>
    <cellStyle name="Normal 3 3 11 5 9" xfId="11174" xr:uid="{00000000-0005-0000-0000-00008D480000}"/>
    <cellStyle name="Normal 3 3 11 5 9 2" xfId="28705" xr:uid="{00000000-0005-0000-0000-00008E480000}"/>
    <cellStyle name="Normal 3 3 11 6" xfId="11175" xr:uid="{00000000-0005-0000-0000-00008F480000}"/>
    <cellStyle name="Normal 3 3 11 6 10" xfId="11176" xr:uid="{00000000-0005-0000-0000-000090480000}"/>
    <cellStyle name="Normal 3 3 11 6 10 2" xfId="28707" xr:uid="{00000000-0005-0000-0000-000091480000}"/>
    <cellStyle name="Normal 3 3 11 6 11" xfId="11177" xr:uid="{00000000-0005-0000-0000-000092480000}"/>
    <cellStyle name="Normal 3 3 11 6 11 2" xfId="28708" xr:uid="{00000000-0005-0000-0000-000093480000}"/>
    <cellStyle name="Normal 3 3 11 6 12" xfId="11178" xr:uid="{00000000-0005-0000-0000-000094480000}"/>
    <cellStyle name="Normal 3 3 11 6 12 2" xfId="28709" xr:uid="{00000000-0005-0000-0000-000095480000}"/>
    <cellStyle name="Normal 3 3 11 6 13" xfId="11179" xr:uid="{00000000-0005-0000-0000-000096480000}"/>
    <cellStyle name="Normal 3 3 11 6 13 2" xfId="28710" xr:uid="{00000000-0005-0000-0000-000097480000}"/>
    <cellStyle name="Normal 3 3 11 6 14" xfId="11180" xr:uid="{00000000-0005-0000-0000-000098480000}"/>
    <cellStyle name="Normal 3 3 11 6 14 2" xfId="28711" xr:uid="{00000000-0005-0000-0000-000099480000}"/>
    <cellStyle name="Normal 3 3 11 6 15" xfId="28706" xr:uid="{00000000-0005-0000-0000-00009A480000}"/>
    <cellStyle name="Normal 3 3 11 6 2" xfId="11181" xr:uid="{00000000-0005-0000-0000-00009B480000}"/>
    <cellStyle name="Normal 3 3 11 6 2 2" xfId="28712" xr:uid="{00000000-0005-0000-0000-00009C480000}"/>
    <cellStyle name="Normal 3 3 11 6 3" xfId="11182" xr:uid="{00000000-0005-0000-0000-00009D480000}"/>
    <cellStyle name="Normal 3 3 11 6 3 2" xfId="28713" xr:uid="{00000000-0005-0000-0000-00009E480000}"/>
    <cellStyle name="Normal 3 3 11 6 4" xfId="11183" xr:uid="{00000000-0005-0000-0000-00009F480000}"/>
    <cellStyle name="Normal 3 3 11 6 4 2" xfId="28714" xr:uid="{00000000-0005-0000-0000-0000A0480000}"/>
    <cellStyle name="Normal 3 3 11 6 5" xfId="11184" xr:uid="{00000000-0005-0000-0000-0000A1480000}"/>
    <cellStyle name="Normal 3 3 11 6 5 2" xfId="28715" xr:uid="{00000000-0005-0000-0000-0000A2480000}"/>
    <cellStyle name="Normal 3 3 11 6 6" xfId="11185" xr:uid="{00000000-0005-0000-0000-0000A3480000}"/>
    <cellStyle name="Normal 3 3 11 6 6 2" xfId="28716" xr:uid="{00000000-0005-0000-0000-0000A4480000}"/>
    <cellStyle name="Normal 3 3 11 6 7" xfId="11186" xr:uid="{00000000-0005-0000-0000-0000A5480000}"/>
    <cellStyle name="Normal 3 3 11 6 7 2" xfId="28717" xr:uid="{00000000-0005-0000-0000-0000A6480000}"/>
    <cellStyle name="Normal 3 3 11 6 8" xfId="11187" xr:uid="{00000000-0005-0000-0000-0000A7480000}"/>
    <cellStyle name="Normal 3 3 11 6 8 2" xfId="28718" xr:uid="{00000000-0005-0000-0000-0000A8480000}"/>
    <cellStyle name="Normal 3 3 11 6 9" xfId="11188" xr:uid="{00000000-0005-0000-0000-0000A9480000}"/>
    <cellStyle name="Normal 3 3 11 6 9 2" xfId="28719" xr:uid="{00000000-0005-0000-0000-0000AA480000}"/>
    <cellStyle name="Normal 3 3 11 7" xfId="11189" xr:uid="{00000000-0005-0000-0000-0000AB480000}"/>
    <cellStyle name="Normal 3 3 11 7 10" xfId="11190" xr:uid="{00000000-0005-0000-0000-0000AC480000}"/>
    <cellStyle name="Normal 3 3 11 7 10 2" xfId="28721" xr:uid="{00000000-0005-0000-0000-0000AD480000}"/>
    <cellStyle name="Normal 3 3 11 7 11" xfId="11191" xr:uid="{00000000-0005-0000-0000-0000AE480000}"/>
    <cellStyle name="Normal 3 3 11 7 11 2" xfId="28722" xr:uid="{00000000-0005-0000-0000-0000AF480000}"/>
    <cellStyle name="Normal 3 3 11 7 12" xfId="11192" xr:uid="{00000000-0005-0000-0000-0000B0480000}"/>
    <cellStyle name="Normal 3 3 11 7 12 2" xfId="28723" xr:uid="{00000000-0005-0000-0000-0000B1480000}"/>
    <cellStyle name="Normal 3 3 11 7 13" xfId="11193" xr:uid="{00000000-0005-0000-0000-0000B2480000}"/>
    <cellStyle name="Normal 3 3 11 7 13 2" xfId="28724" xr:uid="{00000000-0005-0000-0000-0000B3480000}"/>
    <cellStyle name="Normal 3 3 11 7 14" xfId="11194" xr:uid="{00000000-0005-0000-0000-0000B4480000}"/>
    <cellStyle name="Normal 3 3 11 7 14 2" xfId="28725" xr:uid="{00000000-0005-0000-0000-0000B5480000}"/>
    <cellStyle name="Normal 3 3 11 7 15" xfId="28720" xr:uid="{00000000-0005-0000-0000-0000B6480000}"/>
    <cellStyle name="Normal 3 3 11 7 2" xfId="11195" xr:uid="{00000000-0005-0000-0000-0000B7480000}"/>
    <cellStyle name="Normal 3 3 11 7 2 2" xfId="28726" xr:uid="{00000000-0005-0000-0000-0000B8480000}"/>
    <cellStyle name="Normal 3 3 11 7 3" xfId="11196" xr:uid="{00000000-0005-0000-0000-0000B9480000}"/>
    <cellStyle name="Normal 3 3 11 7 3 2" xfId="28727" xr:uid="{00000000-0005-0000-0000-0000BA480000}"/>
    <cellStyle name="Normal 3 3 11 7 4" xfId="11197" xr:uid="{00000000-0005-0000-0000-0000BB480000}"/>
    <cellStyle name="Normal 3 3 11 7 4 2" xfId="28728" xr:uid="{00000000-0005-0000-0000-0000BC480000}"/>
    <cellStyle name="Normal 3 3 11 7 5" xfId="11198" xr:uid="{00000000-0005-0000-0000-0000BD480000}"/>
    <cellStyle name="Normal 3 3 11 7 5 2" xfId="28729" xr:uid="{00000000-0005-0000-0000-0000BE480000}"/>
    <cellStyle name="Normal 3 3 11 7 6" xfId="11199" xr:uid="{00000000-0005-0000-0000-0000BF480000}"/>
    <cellStyle name="Normal 3 3 11 7 6 2" xfId="28730" xr:uid="{00000000-0005-0000-0000-0000C0480000}"/>
    <cellStyle name="Normal 3 3 11 7 7" xfId="11200" xr:uid="{00000000-0005-0000-0000-0000C1480000}"/>
    <cellStyle name="Normal 3 3 11 7 7 2" xfId="28731" xr:uid="{00000000-0005-0000-0000-0000C2480000}"/>
    <cellStyle name="Normal 3 3 11 7 8" xfId="11201" xr:uid="{00000000-0005-0000-0000-0000C3480000}"/>
    <cellStyle name="Normal 3 3 11 7 8 2" xfId="28732" xr:uid="{00000000-0005-0000-0000-0000C4480000}"/>
    <cellStyle name="Normal 3 3 11 7 9" xfId="11202" xr:uid="{00000000-0005-0000-0000-0000C5480000}"/>
    <cellStyle name="Normal 3 3 11 7 9 2" xfId="28733" xr:uid="{00000000-0005-0000-0000-0000C6480000}"/>
    <cellStyle name="Normal 3 3 11 8" xfId="11203" xr:uid="{00000000-0005-0000-0000-0000C7480000}"/>
    <cellStyle name="Normal 3 3 11 8 10" xfId="11204" xr:uid="{00000000-0005-0000-0000-0000C8480000}"/>
    <cellStyle name="Normal 3 3 11 8 10 2" xfId="28735" xr:uid="{00000000-0005-0000-0000-0000C9480000}"/>
    <cellStyle name="Normal 3 3 11 8 11" xfId="11205" xr:uid="{00000000-0005-0000-0000-0000CA480000}"/>
    <cellStyle name="Normal 3 3 11 8 11 2" xfId="28736" xr:uid="{00000000-0005-0000-0000-0000CB480000}"/>
    <cellStyle name="Normal 3 3 11 8 12" xfId="11206" xr:uid="{00000000-0005-0000-0000-0000CC480000}"/>
    <cellStyle name="Normal 3 3 11 8 12 2" xfId="28737" xr:uid="{00000000-0005-0000-0000-0000CD480000}"/>
    <cellStyle name="Normal 3 3 11 8 13" xfId="11207" xr:uid="{00000000-0005-0000-0000-0000CE480000}"/>
    <cellStyle name="Normal 3 3 11 8 13 2" xfId="28738" xr:uid="{00000000-0005-0000-0000-0000CF480000}"/>
    <cellStyle name="Normal 3 3 11 8 14" xfId="11208" xr:uid="{00000000-0005-0000-0000-0000D0480000}"/>
    <cellStyle name="Normal 3 3 11 8 14 2" xfId="28739" xr:uid="{00000000-0005-0000-0000-0000D1480000}"/>
    <cellStyle name="Normal 3 3 11 8 15" xfId="28734" xr:uid="{00000000-0005-0000-0000-0000D2480000}"/>
    <cellStyle name="Normal 3 3 11 8 2" xfId="11209" xr:uid="{00000000-0005-0000-0000-0000D3480000}"/>
    <cellStyle name="Normal 3 3 11 8 2 2" xfId="28740" xr:uid="{00000000-0005-0000-0000-0000D4480000}"/>
    <cellStyle name="Normal 3 3 11 8 3" xfId="11210" xr:uid="{00000000-0005-0000-0000-0000D5480000}"/>
    <cellStyle name="Normal 3 3 11 8 3 2" xfId="28741" xr:uid="{00000000-0005-0000-0000-0000D6480000}"/>
    <cellStyle name="Normal 3 3 11 8 4" xfId="11211" xr:uid="{00000000-0005-0000-0000-0000D7480000}"/>
    <cellStyle name="Normal 3 3 11 8 4 2" xfId="28742" xr:uid="{00000000-0005-0000-0000-0000D8480000}"/>
    <cellStyle name="Normal 3 3 11 8 5" xfId="11212" xr:uid="{00000000-0005-0000-0000-0000D9480000}"/>
    <cellStyle name="Normal 3 3 11 8 5 2" xfId="28743" xr:uid="{00000000-0005-0000-0000-0000DA480000}"/>
    <cellStyle name="Normal 3 3 11 8 6" xfId="11213" xr:uid="{00000000-0005-0000-0000-0000DB480000}"/>
    <cellStyle name="Normal 3 3 11 8 6 2" xfId="28744" xr:uid="{00000000-0005-0000-0000-0000DC480000}"/>
    <cellStyle name="Normal 3 3 11 8 7" xfId="11214" xr:uid="{00000000-0005-0000-0000-0000DD480000}"/>
    <cellStyle name="Normal 3 3 11 8 7 2" xfId="28745" xr:uid="{00000000-0005-0000-0000-0000DE480000}"/>
    <cellStyle name="Normal 3 3 11 8 8" xfId="11215" xr:uid="{00000000-0005-0000-0000-0000DF480000}"/>
    <cellStyle name="Normal 3 3 11 8 8 2" xfId="28746" xr:uid="{00000000-0005-0000-0000-0000E0480000}"/>
    <cellStyle name="Normal 3 3 11 8 9" xfId="11216" xr:uid="{00000000-0005-0000-0000-0000E1480000}"/>
    <cellStyle name="Normal 3 3 11 8 9 2" xfId="28747" xr:uid="{00000000-0005-0000-0000-0000E2480000}"/>
    <cellStyle name="Normal 3 3 11 9" xfId="11217" xr:uid="{00000000-0005-0000-0000-0000E3480000}"/>
    <cellStyle name="Normal 3 3 11 9 10" xfId="11218" xr:uid="{00000000-0005-0000-0000-0000E4480000}"/>
    <cellStyle name="Normal 3 3 11 9 10 2" xfId="28749" xr:uid="{00000000-0005-0000-0000-0000E5480000}"/>
    <cellStyle name="Normal 3 3 11 9 11" xfId="11219" xr:uid="{00000000-0005-0000-0000-0000E6480000}"/>
    <cellStyle name="Normal 3 3 11 9 11 2" xfId="28750" xr:uid="{00000000-0005-0000-0000-0000E7480000}"/>
    <cellStyle name="Normal 3 3 11 9 12" xfId="11220" xr:uid="{00000000-0005-0000-0000-0000E8480000}"/>
    <cellStyle name="Normal 3 3 11 9 12 2" xfId="28751" xr:uid="{00000000-0005-0000-0000-0000E9480000}"/>
    <cellStyle name="Normal 3 3 11 9 13" xfId="11221" xr:uid="{00000000-0005-0000-0000-0000EA480000}"/>
    <cellStyle name="Normal 3 3 11 9 13 2" xfId="28752" xr:uid="{00000000-0005-0000-0000-0000EB480000}"/>
    <cellStyle name="Normal 3 3 11 9 14" xfId="11222" xr:uid="{00000000-0005-0000-0000-0000EC480000}"/>
    <cellStyle name="Normal 3 3 11 9 14 2" xfId="28753" xr:uid="{00000000-0005-0000-0000-0000ED480000}"/>
    <cellStyle name="Normal 3 3 11 9 15" xfId="28748" xr:uid="{00000000-0005-0000-0000-0000EE480000}"/>
    <cellStyle name="Normal 3 3 11 9 2" xfId="11223" xr:uid="{00000000-0005-0000-0000-0000EF480000}"/>
    <cellStyle name="Normal 3 3 11 9 2 2" xfId="28754" xr:uid="{00000000-0005-0000-0000-0000F0480000}"/>
    <cellStyle name="Normal 3 3 11 9 3" xfId="11224" xr:uid="{00000000-0005-0000-0000-0000F1480000}"/>
    <cellStyle name="Normal 3 3 11 9 3 2" xfId="28755" xr:uid="{00000000-0005-0000-0000-0000F2480000}"/>
    <cellStyle name="Normal 3 3 11 9 4" xfId="11225" xr:uid="{00000000-0005-0000-0000-0000F3480000}"/>
    <cellStyle name="Normal 3 3 11 9 4 2" xfId="28756" xr:uid="{00000000-0005-0000-0000-0000F4480000}"/>
    <cellStyle name="Normal 3 3 11 9 5" xfId="11226" xr:uid="{00000000-0005-0000-0000-0000F5480000}"/>
    <cellStyle name="Normal 3 3 11 9 5 2" xfId="28757" xr:uid="{00000000-0005-0000-0000-0000F6480000}"/>
    <cellStyle name="Normal 3 3 11 9 6" xfId="11227" xr:uid="{00000000-0005-0000-0000-0000F7480000}"/>
    <cellStyle name="Normal 3 3 11 9 6 2" xfId="28758" xr:uid="{00000000-0005-0000-0000-0000F8480000}"/>
    <cellStyle name="Normal 3 3 11 9 7" xfId="11228" xr:uid="{00000000-0005-0000-0000-0000F9480000}"/>
    <cellStyle name="Normal 3 3 11 9 7 2" xfId="28759" xr:uid="{00000000-0005-0000-0000-0000FA480000}"/>
    <cellStyle name="Normal 3 3 11 9 8" xfId="11229" xr:uid="{00000000-0005-0000-0000-0000FB480000}"/>
    <cellStyle name="Normal 3 3 11 9 8 2" xfId="28760" xr:uid="{00000000-0005-0000-0000-0000FC480000}"/>
    <cellStyle name="Normal 3 3 11 9 9" xfId="11230" xr:uid="{00000000-0005-0000-0000-0000FD480000}"/>
    <cellStyle name="Normal 3 3 11 9 9 2" xfId="28761" xr:uid="{00000000-0005-0000-0000-0000FE480000}"/>
    <cellStyle name="Normal 3 3 12" xfId="11231" xr:uid="{00000000-0005-0000-0000-0000FF480000}"/>
    <cellStyle name="Normal 3 3 12 10" xfId="11232" xr:uid="{00000000-0005-0000-0000-000000490000}"/>
    <cellStyle name="Normal 3 3 12 10 10" xfId="11233" xr:uid="{00000000-0005-0000-0000-000001490000}"/>
    <cellStyle name="Normal 3 3 12 10 10 2" xfId="28764" xr:uid="{00000000-0005-0000-0000-000002490000}"/>
    <cellStyle name="Normal 3 3 12 10 11" xfId="11234" xr:uid="{00000000-0005-0000-0000-000003490000}"/>
    <cellStyle name="Normal 3 3 12 10 11 2" xfId="28765" xr:uid="{00000000-0005-0000-0000-000004490000}"/>
    <cellStyle name="Normal 3 3 12 10 12" xfId="11235" xr:uid="{00000000-0005-0000-0000-000005490000}"/>
    <cellStyle name="Normal 3 3 12 10 12 2" xfId="28766" xr:uid="{00000000-0005-0000-0000-000006490000}"/>
    <cellStyle name="Normal 3 3 12 10 13" xfId="11236" xr:uid="{00000000-0005-0000-0000-000007490000}"/>
    <cellStyle name="Normal 3 3 12 10 13 2" xfId="28767" xr:uid="{00000000-0005-0000-0000-000008490000}"/>
    <cellStyle name="Normal 3 3 12 10 14" xfId="11237" xr:uid="{00000000-0005-0000-0000-000009490000}"/>
    <cellStyle name="Normal 3 3 12 10 14 2" xfId="28768" xr:uid="{00000000-0005-0000-0000-00000A490000}"/>
    <cellStyle name="Normal 3 3 12 10 15" xfId="28763" xr:uid="{00000000-0005-0000-0000-00000B490000}"/>
    <cellStyle name="Normal 3 3 12 10 2" xfId="11238" xr:uid="{00000000-0005-0000-0000-00000C490000}"/>
    <cellStyle name="Normal 3 3 12 10 2 2" xfId="28769" xr:uid="{00000000-0005-0000-0000-00000D490000}"/>
    <cellStyle name="Normal 3 3 12 10 3" xfId="11239" xr:uid="{00000000-0005-0000-0000-00000E490000}"/>
    <cellStyle name="Normal 3 3 12 10 3 2" xfId="28770" xr:uid="{00000000-0005-0000-0000-00000F490000}"/>
    <cellStyle name="Normal 3 3 12 10 4" xfId="11240" xr:uid="{00000000-0005-0000-0000-000010490000}"/>
    <cellStyle name="Normal 3 3 12 10 4 2" xfId="28771" xr:uid="{00000000-0005-0000-0000-000011490000}"/>
    <cellStyle name="Normal 3 3 12 10 5" xfId="11241" xr:uid="{00000000-0005-0000-0000-000012490000}"/>
    <cellStyle name="Normal 3 3 12 10 5 2" xfId="28772" xr:uid="{00000000-0005-0000-0000-000013490000}"/>
    <cellStyle name="Normal 3 3 12 10 6" xfId="11242" xr:uid="{00000000-0005-0000-0000-000014490000}"/>
    <cellStyle name="Normal 3 3 12 10 6 2" xfId="28773" xr:uid="{00000000-0005-0000-0000-000015490000}"/>
    <cellStyle name="Normal 3 3 12 10 7" xfId="11243" xr:uid="{00000000-0005-0000-0000-000016490000}"/>
    <cellStyle name="Normal 3 3 12 10 7 2" xfId="28774" xr:uid="{00000000-0005-0000-0000-000017490000}"/>
    <cellStyle name="Normal 3 3 12 10 8" xfId="11244" xr:uid="{00000000-0005-0000-0000-000018490000}"/>
    <cellStyle name="Normal 3 3 12 10 8 2" xfId="28775" xr:uid="{00000000-0005-0000-0000-000019490000}"/>
    <cellStyle name="Normal 3 3 12 10 9" xfId="11245" xr:uid="{00000000-0005-0000-0000-00001A490000}"/>
    <cellStyle name="Normal 3 3 12 10 9 2" xfId="28776" xr:uid="{00000000-0005-0000-0000-00001B490000}"/>
    <cellStyle name="Normal 3 3 12 11" xfId="11246" xr:uid="{00000000-0005-0000-0000-00001C490000}"/>
    <cellStyle name="Normal 3 3 12 11 2" xfId="28777" xr:uid="{00000000-0005-0000-0000-00001D490000}"/>
    <cellStyle name="Normal 3 3 12 12" xfId="11247" xr:uid="{00000000-0005-0000-0000-00001E490000}"/>
    <cellStyle name="Normal 3 3 12 12 2" xfId="28778" xr:uid="{00000000-0005-0000-0000-00001F490000}"/>
    <cellStyle name="Normal 3 3 12 13" xfId="11248" xr:uid="{00000000-0005-0000-0000-000020490000}"/>
    <cellStyle name="Normal 3 3 12 13 2" xfId="28779" xr:uid="{00000000-0005-0000-0000-000021490000}"/>
    <cellStyle name="Normal 3 3 12 14" xfId="11249" xr:uid="{00000000-0005-0000-0000-000022490000}"/>
    <cellStyle name="Normal 3 3 12 14 2" xfId="28780" xr:uid="{00000000-0005-0000-0000-000023490000}"/>
    <cellStyle name="Normal 3 3 12 15" xfId="11250" xr:uid="{00000000-0005-0000-0000-000024490000}"/>
    <cellStyle name="Normal 3 3 12 15 2" xfId="28781" xr:uid="{00000000-0005-0000-0000-000025490000}"/>
    <cellStyle name="Normal 3 3 12 16" xfId="11251" xr:uid="{00000000-0005-0000-0000-000026490000}"/>
    <cellStyle name="Normal 3 3 12 16 2" xfId="28782" xr:uid="{00000000-0005-0000-0000-000027490000}"/>
    <cellStyle name="Normal 3 3 12 17" xfId="11252" xr:uid="{00000000-0005-0000-0000-000028490000}"/>
    <cellStyle name="Normal 3 3 12 17 2" xfId="28783" xr:uid="{00000000-0005-0000-0000-000029490000}"/>
    <cellStyle name="Normal 3 3 12 18" xfId="11253" xr:uid="{00000000-0005-0000-0000-00002A490000}"/>
    <cellStyle name="Normal 3 3 12 18 2" xfId="28784" xr:uid="{00000000-0005-0000-0000-00002B490000}"/>
    <cellStyle name="Normal 3 3 12 19" xfId="11254" xr:uid="{00000000-0005-0000-0000-00002C490000}"/>
    <cellStyle name="Normal 3 3 12 19 2" xfId="28785" xr:uid="{00000000-0005-0000-0000-00002D490000}"/>
    <cellStyle name="Normal 3 3 12 2" xfId="11255" xr:uid="{00000000-0005-0000-0000-00002E490000}"/>
    <cellStyle name="Normal 3 3 12 2 10" xfId="11256" xr:uid="{00000000-0005-0000-0000-00002F490000}"/>
    <cellStyle name="Normal 3 3 12 2 10 2" xfId="28787" xr:uid="{00000000-0005-0000-0000-000030490000}"/>
    <cellStyle name="Normal 3 3 12 2 11" xfId="11257" xr:uid="{00000000-0005-0000-0000-000031490000}"/>
    <cellStyle name="Normal 3 3 12 2 11 2" xfId="28788" xr:uid="{00000000-0005-0000-0000-000032490000}"/>
    <cellStyle name="Normal 3 3 12 2 12" xfId="11258" xr:uid="{00000000-0005-0000-0000-000033490000}"/>
    <cellStyle name="Normal 3 3 12 2 12 2" xfId="28789" xr:uid="{00000000-0005-0000-0000-000034490000}"/>
    <cellStyle name="Normal 3 3 12 2 13" xfId="11259" xr:uid="{00000000-0005-0000-0000-000035490000}"/>
    <cellStyle name="Normal 3 3 12 2 13 2" xfId="28790" xr:uid="{00000000-0005-0000-0000-000036490000}"/>
    <cellStyle name="Normal 3 3 12 2 14" xfId="11260" xr:uid="{00000000-0005-0000-0000-000037490000}"/>
    <cellStyle name="Normal 3 3 12 2 14 2" xfId="28791" xr:uid="{00000000-0005-0000-0000-000038490000}"/>
    <cellStyle name="Normal 3 3 12 2 15" xfId="11261" xr:uid="{00000000-0005-0000-0000-000039490000}"/>
    <cellStyle name="Normal 3 3 12 2 15 2" xfId="28792" xr:uid="{00000000-0005-0000-0000-00003A490000}"/>
    <cellStyle name="Normal 3 3 12 2 16" xfId="28786" xr:uid="{00000000-0005-0000-0000-00003B490000}"/>
    <cellStyle name="Normal 3 3 12 2 2" xfId="11262" xr:uid="{00000000-0005-0000-0000-00003C490000}"/>
    <cellStyle name="Normal 3 3 12 2 2 10" xfId="11263" xr:uid="{00000000-0005-0000-0000-00003D490000}"/>
    <cellStyle name="Normal 3 3 12 2 2 10 2" xfId="28794" xr:uid="{00000000-0005-0000-0000-00003E490000}"/>
    <cellStyle name="Normal 3 3 12 2 2 11" xfId="11264" xr:uid="{00000000-0005-0000-0000-00003F490000}"/>
    <cellStyle name="Normal 3 3 12 2 2 11 2" xfId="28795" xr:uid="{00000000-0005-0000-0000-000040490000}"/>
    <cellStyle name="Normal 3 3 12 2 2 12" xfId="11265" xr:uid="{00000000-0005-0000-0000-000041490000}"/>
    <cellStyle name="Normal 3 3 12 2 2 12 2" xfId="28796" xr:uid="{00000000-0005-0000-0000-000042490000}"/>
    <cellStyle name="Normal 3 3 12 2 2 13" xfId="11266" xr:uid="{00000000-0005-0000-0000-000043490000}"/>
    <cellStyle name="Normal 3 3 12 2 2 13 2" xfId="28797" xr:uid="{00000000-0005-0000-0000-000044490000}"/>
    <cellStyle name="Normal 3 3 12 2 2 14" xfId="11267" xr:uid="{00000000-0005-0000-0000-000045490000}"/>
    <cellStyle name="Normal 3 3 12 2 2 14 2" xfId="28798" xr:uid="{00000000-0005-0000-0000-000046490000}"/>
    <cellStyle name="Normal 3 3 12 2 2 15" xfId="28793" xr:uid="{00000000-0005-0000-0000-000047490000}"/>
    <cellStyle name="Normal 3 3 12 2 2 2" xfId="11268" xr:uid="{00000000-0005-0000-0000-000048490000}"/>
    <cellStyle name="Normal 3 3 12 2 2 2 2" xfId="28799" xr:uid="{00000000-0005-0000-0000-000049490000}"/>
    <cellStyle name="Normal 3 3 12 2 2 3" xfId="11269" xr:uid="{00000000-0005-0000-0000-00004A490000}"/>
    <cellStyle name="Normal 3 3 12 2 2 3 2" xfId="28800" xr:uid="{00000000-0005-0000-0000-00004B490000}"/>
    <cellStyle name="Normal 3 3 12 2 2 4" xfId="11270" xr:uid="{00000000-0005-0000-0000-00004C490000}"/>
    <cellStyle name="Normal 3 3 12 2 2 4 2" xfId="28801" xr:uid="{00000000-0005-0000-0000-00004D490000}"/>
    <cellStyle name="Normal 3 3 12 2 2 5" xfId="11271" xr:uid="{00000000-0005-0000-0000-00004E490000}"/>
    <cellStyle name="Normal 3 3 12 2 2 5 2" xfId="28802" xr:uid="{00000000-0005-0000-0000-00004F490000}"/>
    <cellStyle name="Normal 3 3 12 2 2 6" xfId="11272" xr:uid="{00000000-0005-0000-0000-000050490000}"/>
    <cellStyle name="Normal 3 3 12 2 2 6 2" xfId="28803" xr:uid="{00000000-0005-0000-0000-000051490000}"/>
    <cellStyle name="Normal 3 3 12 2 2 7" xfId="11273" xr:uid="{00000000-0005-0000-0000-000052490000}"/>
    <cellStyle name="Normal 3 3 12 2 2 7 2" xfId="28804" xr:uid="{00000000-0005-0000-0000-000053490000}"/>
    <cellStyle name="Normal 3 3 12 2 2 8" xfId="11274" xr:uid="{00000000-0005-0000-0000-000054490000}"/>
    <cellStyle name="Normal 3 3 12 2 2 8 2" xfId="28805" xr:uid="{00000000-0005-0000-0000-000055490000}"/>
    <cellStyle name="Normal 3 3 12 2 2 9" xfId="11275" xr:uid="{00000000-0005-0000-0000-000056490000}"/>
    <cellStyle name="Normal 3 3 12 2 2 9 2" xfId="28806" xr:uid="{00000000-0005-0000-0000-000057490000}"/>
    <cellStyle name="Normal 3 3 12 2 3" xfId="11276" xr:uid="{00000000-0005-0000-0000-000058490000}"/>
    <cellStyle name="Normal 3 3 12 2 3 2" xfId="28807" xr:uid="{00000000-0005-0000-0000-000059490000}"/>
    <cellStyle name="Normal 3 3 12 2 4" xfId="11277" xr:uid="{00000000-0005-0000-0000-00005A490000}"/>
    <cellStyle name="Normal 3 3 12 2 4 2" xfId="28808" xr:uid="{00000000-0005-0000-0000-00005B490000}"/>
    <cellStyle name="Normal 3 3 12 2 5" xfId="11278" xr:uid="{00000000-0005-0000-0000-00005C490000}"/>
    <cellStyle name="Normal 3 3 12 2 5 2" xfId="28809" xr:uid="{00000000-0005-0000-0000-00005D490000}"/>
    <cellStyle name="Normal 3 3 12 2 6" xfId="11279" xr:uid="{00000000-0005-0000-0000-00005E490000}"/>
    <cellStyle name="Normal 3 3 12 2 6 2" xfId="28810" xr:uid="{00000000-0005-0000-0000-00005F490000}"/>
    <cellStyle name="Normal 3 3 12 2 7" xfId="11280" xr:uid="{00000000-0005-0000-0000-000060490000}"/>
    <cellStyle name="Normal 3 3 12 2 7 2" xfId="28811" xr:uid="{00000000-0005-0000-0000-000061490000}"/>
    <cellStyle name="Normal 3 3 12 2 8" xfId="11281" xr:uid="{00000000-0005-0000-0000-000062490000}"/>
    <cellStyle name="Normal 3 3 12 2 8 2" xfId="28812" xr:uid="{00000000-0005-0000-0000-000063490000}"/>
    <cellStyle name="Normal 3 3 12 2 9" xfId="11282" xr:uid="{00000000-0005-0000-0000-000064490000}"/>
    <cellStyle name="Normal 3 3 12 2 9 2" xfId="28813" xr:uid="{00000000-0005-0000-0000-000065490000}"/>
    <cellStyle name="Normal 3 3 12 20" xfId="11283" xr:uid="{00000000-0005-0000-0000-000066490000}"/>
    <cellStyle name="Normal 3 3 12 20 2" xfId="28814" xr:uid="{00000000-0005-0000-0000-000067490000}"/>
    <cellStyle name="Normal 3 3 12 21" xfId="11284" xr:uid="{00000000-0005-0000-0000-000068490000}"/>
    <cellStyle name="Normal 3 3 12 21 2" xfId="28815" xr:uid="{00000000-0005-0000-0000-000069490000}"/>
    <cellStyle name="Normal 3 3 12 22" xfId="11285" xr:uid="{00000000-0005-0000-0000-00006A490000}"/>
    <cellStyle name="Normal 3 3 12 22 2" xfId="28816" xr:uid="{00000000-0005-0000-0000-00006B490000}"/>
    <cellStyle name="Normal 3 3 12 23" xfId="11286" xr:uid="{00000000-0005-0000-0000-00006C490000}"/>
    <cellStyle name="Normal 3 3 12 23 2" xfId="28817" xr:uid="{00000000-0005-0000-0000-00006D490000}"/>
    <cellStyle name="Normal 3 3 12 24" xfId="28762" xr:uid="{00000000-0005-0000-0000-00006E490000}"/>
    <cellStyle name="Normal 3 3 12 3" xfId="11287" xr:uid="{00000000-0005-0000-0000-00006F490000}"/>
    <cellStyle name="Normal 3 3 12 3 10" xfId="11288" xr:uid="{00000000-0005-0000-0000-000070490000}"/>
    <cellStyle name="Normal 3 3 12 3 10 2" xfId="28819" xr:uid="{00000000-0005-0000-0000-000071490000}"/>
    <cellStyle name="Normal 3 3 12 3 11" xfId="11289" xr:uid="{00000000-0005-0000-0000-000072490000}"/>
    <cellStyle name="Normal 3 3 12 3 11 2" xfId="28820" xr:uid="{00000000-0005-0000-0000-000073490000}"/>
    <cellStyle name="Normal 3 3 12 3 12" xfId="11290" xr:uid="{00000000-0005-0000-0000-000074490000}"/>
    <cellStyle name="Normal 3 3 12 3 12 2" xfId="28821" xr:uid="{00000000-0005-0000-0000-000075490000}"/>
    <cellStyle name="Normal 3 3 12 3 13" xfId="11291" xr:uid="{00000000-0005-0000-0000-000076490000}"/>
    <cellStyle name="Normal 3 3 12 3 13 2" xfId="28822" xr:uid="{00000000-0005-0000-0000-000077490000}"/>
    <cellStyle name="Normal 3 3 12 3 14" xfId="11292" xr:uid="{00000000-0005-0000-0000-000078490000}"/>
    <cellStyle name="Normal 3 3 12 3 14 2" xfId="28823" xr:uid="{00000000-0005-0000-0000-000079490000}"/>
    <cellStyle name="Normal 3 3 12 3 15" xfId="11293" xr:uid="{00000000-0005-0000-0000-00007A490000}"/>
    <cellStyle name="Normal 3 3 12 3 15 2" xfId="28824" xr:uid="{00000000-0005-0000-0000-00007B490000}"/>
    <cellStyle name="Normal 3 3 12 3 16" xfId="28818" xr:uid="{00000000-0005-0000-0000-00007C490000}"/>
    <cellStyle name="Normal 3 3 12 3 2" xfId="11294" xr:uid="{00000000-0005-0000-0000-00007D490000}"/>
    <cellStyle name="Normal 3 3 12 3 2 10" xfId="11295" xr:uid="{00000000-0005-0000-0000-00007E490000}"/>
    <cellStyle name="Normal 3 3 12 3 2 10 2" xfId="28826" xr:uid="{00000000-0005-0000-0000-00007F490000}"/>
    <cellStyle name="Normal 3 3 12 3 2 11" xfId="11296" xr:uid="{00000000-0005-0000-0000-000080490000}"/>
    <cellStyle name="Normal 3 3 12 3 2 11 2" xfId="28827" xr:uid="{00000000-0005-0000-0000-000081490000}"/>
    <cellStyle name="Normal 3 3 12 3 2 12" xfId="11297" xr:uid="{00000000-0005-0000-0000-000082490000}"/>
    <cellStyle name="Normal 3 3 12 3 2 12 2" xfId="28828" xr:uid="{00000000-0005-0000-0000-000083490000}"/>
    <cellStyle name="Normal 3 3 12 3 2 13" xfId="11298" xr:uid="{00000000-0005-0000-0000-000084490000}"/>
    <cellStyle name="Normal 3 3 12 3 2 13 2" xfId="28829" xr:uid="{00000000-0005-0000-0000-000085490000}"/>
    <cellStyle name="Normal 3 3 12 3 2 14" xfId="11299" xr:uid="{00000000-0005-0000-0000-000086490000}"/>
    <cellStyle name="Normal 3 3 12 3 2 14 2" xfId="28830" xr:uid="{00000000-0005-0000-0000-000087490000}"/>
    <cellStyle name="Normal 3 3 12 3 2 15" xfId="28825" xr:uid="{00000000-0005-0000-0000-000088490000}"/>
    <cellStyle name="Normal 3 3 12 3 2 2" xfId="11300" xr:uid="{00000000-0005-0000-0000-000089490000}"/>
    <cellStyle name="Normal 3 3 12 3 2 2 2" xfId="28831" xr:uid="{00000000-0005-0000-0000-00008A490000}"/>
    <cellStyle name="Normal 3 3 12 3 2 3" xfId="11301" xr:uid="{00000000-0005-0000-0000-00008B490000}"/>
    <cellStyle name="Normal 3 3 12 3 2 3 2" xfId="28832" xr:uid="{00000000-0005-0000-0000-00008C490000}"/>
    <cellStyle name="Normal 3 3 12 3 2 4" xfId="11302" xr:uid="{00000000-0005-0000-0000-00008D490000}"/>
    <cellStyle name="Normal 3 3 12 3 2 4 2" xfId="28833" xr:uid="{00000000-0005-0000-0000-00008E490000}"/>
    <cellStyle name="Normal 3 3 12 3 2 5" xfId="11303" xr:uid="{00000000-0005-0000-0000-00008F490000}"/>
    <cellStyle name="Normal 3 3 12 3 2 5 2" xfId="28834" xr:uid="{00000000-0005-0000-0000-000090490000}"/>
    <cellStyle name="Normal 3 3 12 3 2 6" xfId="11304" xr:uid="{00000000-0005-0000-0000-000091490000}"/>
    <cellStyle name="Normal 3 3 12 3 2 6 2" xfId="28835" xr:uid="{00000000-0005-0000-0000-000092490000}"/>
    <cellStyle name="Normal 3 3 12 3 2 7" xfId="11305" xr:uid="{00000000-0005-0000-0000-000093490000}"/>
    <cellStyle name="Normal 3 3 12 3 2 7 2" xfId="28836" xr:uid="{00000000-0005-0000-0000-000094490000}"/>
    <cellStyle name="Normal 3 3 12 3 2 8" xfId="11306" xr:uid="{00000000-0005-0000-0000-000095490000}"/>
    <cellStyle name="Normal 3 3 12 3 2 8 2" xfId="28837" xr:uid="{00000000-0005-0000-0000-000096490000}"/>
    <cellStyle name="Normal 3 3 12 3 2 9" xfId="11307" xr:uid="{00000000-0005-0000-0000-000097490000}"/>
    <cellStyle name="Normal 3 3 12 3 2 9 2" xfId="28838" xr:uid="{00000000-0005-0000-0000-000098490000}"/>
    <cellStyle name="Normal 3 3 12 3 3" xfId="11308" xr:uid="{00000000-0005-0000-0000-000099490000}"/>
    <cellStyle name="Normal 3 3 12 3 3 2" xfId="28839" xr:uid="{00000000-0005-0000-0000-00009A490000}"/>
    <cellStyle name="Normal 3 3 12 3 4" xfId="11309" xr:uid="{00000000-0005-0000-0000-00009B490000}"/>
    <cellStyle name="Normal 3 3 12 3 4 2" xfId="28840" xr:uid="{00000000-0005-0000-0000-00009C490000}"/>
    <cellStyle name="Normal 3 3 12 3 5" xfId="11310" xr:uid="{00000000-0005-0000-0000-00009D490000}"/>
    <cellStyle name="Normal 3 3 12 3 5 2" xfId="28841" xr:uid="{00000000-0005-0000-0000-00009E490000}"/>
    <cellStyle name="Normal 3 3 12 3 6" xfId="11311" xr:uid="{00000000-0005-0000-0000-00009F490000}"/>
    <cellStyle name="Normal 3 3 12 3 6 2" xfId="28842" xr:uid="{00000000-0005-0000-0000-0000A0490000}"/>
    <cellStyle name="Normal 3 3 12 3 7" xfId="11312" xr:uid="{00000000-0005-0000-0000-0000A1490000}"/>
    <cellStyle name="Normal 3 3 12 3 7 2" xfId="28843" xr:uid="{00000000-0005-0000-0000-0000A2490000}"/>
    <cellStyle name="Normal 3 3 12 3 8" xfId="11313" xr:uid="{00000000-0005-0000-0000-0000A3490000}"/>
    <cellStyle name="Normal 3 3 12 3 8 2" xfId="28844" xr:uid="{00000000-0005-0000-0000-0000A4490000}"/>
    <cellStyle name="Normal 3 3 12 3 9" xfId="11314" xr:uid="{00000000-0005-0000-0000-0000A5490000}"/>
    <cellStyle name="Normal 3 3 12 3 9 2" xfId="28845" xr:uid="{00000000-0005-0000-0000-0000A6490000}"/>
    <cellStyle name="Normal 3 3 12 4" xfId="11315" xr:uid="{00000000-0005-0000-0000-0000A7490000}"/>
    <cellStyle name="Normal 3 3 12 4 10" xfId="11316" xr:uid="{00000000-0005-0000-0000-0000A8490000}"/>
    <cellStyle name="Normal 3 3 12 4 10 2" xfId="28847" xr:uid="{00000000-0005-0000-0000-0000A9490000}"/>
    <cellStyle name="Normal 3 3 12 4 11" xfId="11317" xr:uid="{00000000-0005-0000-0000-0000AA490000}"/>
    <cellStyle name="Normal 3 3 12 4 11 2" xfId="28848" xr:uid="{00000000-0005-0000-0000-0000AB490000}"/>
    <cellStyle name="Normal 3 3 12 4 12" xfId="11318" xr:uid="{00000000-0005-0000-0000-0000AC490000}"/>
    <cellStyle name="Normal 3 3 12 4 12 2" xfId="28849" xr:uid="{00000000-0005-0000-0000-0000AD490000}"/>
    <cellStyle name="Normal 3 3 12 4 13" xfId="11319" xr:uid="{00000000-0005-0000-0000-0000AE490000}"/>
    <cellStyle name="Normal 3 3 12 4 13 2" xfId="28850" xr:uid="{00000000-0005-0000-0000-0000AF490000}"/>
    <cellStyle name="Normal 3 3 12 4 14" xfId="11320" xr:uid="{00000000-0005-0000-0000-0000B0490000}"/>
    <cellStyle name="Normal 3 3 12 4 14 2" xfId="28851" xr:uid="{00000000-0005-0000-0000-0000B1490000}"/>
    <cellStyle name="Normal 3 3 12 4 15" xfId="11321" xr:uid="{00000000-0005-0000-0000-0000B2490000}"/>
    <cellStyle name="Normal 3 3 12 4 15 2" xfId="28852" xr:uid="{00000000-0005-0000-0000-0000B3490000}"/>
    <cellStyle name="Normal 3 3 12 4 16" xfId="28846" xr:uid="{00000000-0005-0000-0000-0000B4490000}"/>
    <cellStyle name="Normal 3 3 12 4 2" xfId="11322" xr:uid="{00000000-0005-0000-0000-0000B5490000}"/>
    <cellStyle name="Normal 3 3 12 4 2 10" xfId="11323" xr:uid="{00000000-0005-0000-0000-0000B6490000}"/>
    <cellStyle name="Normal 3 3 12 4 2 10 2" xfId="28854" xr:uid="{00000000-0005-0000-0000-0000B7490000}"/>
    <cellStyle name="Normal 3 3 12 4 2 11" xfId="11324" xr:uid="{00000000-0005-0000-0000-0000B8490000}"/>
    <cellStyle name="Normal 3 3 12 4 2 11 2" xfId="28855" xr:uid="{00000000-0005-0000-0000-0000B9490000}"/>
    <cellStyle name="Normal 3 3 12 4 2 12" xfId="11325" xr:uid="{00000000-0005-0000-0000-0000BA490000}"/>
    <cellStyle name="Normal 3 3 12 4 2 12 2" xfId="28856" xr:uid="{00000000-0005-0000-0000-0000BB490000}"/>
    <cellStyle name="Normal 3 3 12 4 2 13" xfId="11326" xr:uid="{00000000-0005-0000-0000-0000BC490000}"/>
    <cellStyle name="Normal 3 3 12 4 2 13 2" xfId="28857" xr:uid="{00000000-0005-0000-0000-0000BD490000}"/>
    <cellStyle name="Normal 3 3 12 4 2 14" xfId="11327" xr:uid="{00000000-0005-0000-0000-0000BE490000}"/>
    <cellStyle name="Normal 3 3 12 4 2 14 2" xfId="28858" xr:uid="{00000000-0005-0000-0000-0000BF490000}"/>
    <cellStyle name="Normal 3 3 12 4 2 15" xfId="28853" xr:uid="{00000000-0005-0000-0000-0000C0490000}"/>
    <cellStyle name="Normal 3 3 12 4 2 2" xfId="11328" xr:uid="{00000000-0005-0000-0000-0000C1490000}"/>
    <cellStyle name="Normal 3 3 12 4 2 2 2" xfId="28859" xr:uid="{00000000-0005-0000-0000-0000C2490000}"/>
    <cellStyle name="Normal 3 3 12 4 2 3" xfId="11329" xr:uid="{00000000-0005-0000-0000-0000C3490000}"/>
    <cellStyle name="Normal 3 3 12 4 2 3 2" xfId="28860" xr:uid="{00000000-0005-0000-0000-0000C4490000}"/>
    <cellStyle name="Normal 3 3 12 4 2 4" xfId="11330" xr:uid="{00000000-0005-0000-0000-0000C5490000}"/>
    <cellStyle name="Normal 3 3 12 4 2 4 2" xfId="28861" xr:uid="{00000000-0005-0000-0000-0000C6490000}"/>
    <cellStyle name="Normal 3 3 12 4 2 5" xfId="11331" xr:uid="{00000000-0005-0000-0000-0000C7490000}"/>
    <cellStyle name="Normal 3 3 12 4 2 5 2" xfId="28862" xr:uid="{00000000-0005-0000-0000-0000C8490000}"/>
    <cellStyle name="Normal 3 3 12 4 2 6" xfId="11332" xr:uid="{00000000-0005-0000-0000-0000C9490000}"/>
    <cellStyle name="Normal 3 3 12 4 2 6 2" xfId="28863" xr:uid="{00000000-0005-0000-0000-0000CA490000}"/>
    <cellStyle name="Normal 3 3 12 4 2 7" xfId="11333" xr:uid="{00000000-0005-0000-0000-0000CB490000}"/>
    <cellStyle name="Normal 3 3 12 4 2 7 2" xfId="28864" xr:uid="{00000000-0005-0000-0000-0000CC490000}"/>
    <cellStyle name="Normal 3 3 12 4 2 8" xfId="11334" xr:uid="{00000000-0005-0000-0000-0000CD490000}"/>
    <cellStyle name="Normal 3 3 12 4 2 8 2" xfId="28865" xr:uid="{00000000-0005-0000-0000-0000CE490000}"/>
    <cellStyle name="Normal 3 3 12 4 2 9" xfId="11335" xr:uid="{00000000-0005-0000-0000-0000CF490000}"/>
    <cellStyle name="Normal 3 3 12 4 2 9 2" xfId="28866" xr:uid="{00000000-0005-0000-0000-0000D0490000}"/>
    <cellStyle name="Normal 3 3 12 4 3" xfId="11336" xr:uid="{00000000-0005-0000-0000-0000D1490000}"/>
    <cellStyle name="Normal 3 3 12 4 3 2" xfId="28867" xr:uid="{00000000-0005-0000-0000-0000D2490000}"/>
    <cellStyle name="Normal 3 3 12 4 4" xfId="11337" xr:uid="{00000000-0005-0000-0000-0000D3490000}"/>
    <cellStyle name="Normal 3 3 12 4 4 2" xfId="28868" xr:uid="{00000000-0005-0000-0000-0000D4490000}"/>
    <cellStyle name="Normal 3 3 12 4 5" xfId="11338" xr:uid="{00000000-0005-0000-0000-0000D5490000}"/>
    <cellStyle name="Normal 3 3 12 4 5 2" xfId="28869" xr:uid="{00000000-0005-0000-0000-0000D6490000}"/>
    <cellStyle name="Normal 3 3 12 4 6" xfId="11339" xr:uid="{00000000-0005-0000-0000-0000D7490000}"/>
    <cellStyle name="Normal 3 3 12 4 6 2" xfId="28870" xr:uid="{00000000-0005-0000-0000-0000D8490000}"/>
    <cellStyle name="Normal 3 3 12 4 7" xfId="11340" xr:uid="{00000000-0005-0000-0000-0000D9490000}"/>
    <cellStyle name="Normal 3 3 12 4 7 2" xfId="28871" xr:uid="{00000000-0005-0000-0000-0000DA490000}"/>
    <cellStyle name="Normal 3 3 12 4 8" xfId="11341" xr:uid="{00000000-0005-0000-0000-0000DB490000}"/>
    <cellStyle name="Normal 3 3 12 4 8 2" xfId="28872" xr:uid="{00000000-0005-0000-0000-0000DC490000}"/>
    <cellStyle name="Normal 3 3 12 4 9" xfId="11342" xr:uid="{00000000-0005-0000-0000-0000DD490000}"/>
    <cellStyle name="Normal 3 3 12 4 9 2" xfId="28873" xr:uid="{00000000-0005-0000-0000-0000DE490000}"/>
    <cellStyle name="Normal 3 3 12 5" xfId="11343" xr:uid="{00000000-0005-0000-0000-0000DF490000}"/>
    <cellStyle name="Normal 3 3 12 5 10" xfId="11344" xr:uid="{00000000-0005-0000-0000-0000E0490000}"/>
    <cellStyle name="Normal 3 3 12 5 10 2" xfId="28875" xr:uid="{00000000-0005-0000-0000-0000E1490000}"/>
    <cellStyle name="Normal 3 3 12 5 11" xfId="11345" xr:uid="{00000000-0005-0000-0000-0000E2490000}"/>
    <cellStyle name="Normal 3 3 12 5 11 2" xfId="28876" xr:uid="{00000000-0005-0000-0000-0000E3490000}"/>
    <cellStyle name="Normal 3 3 12 5 12" xfId="11346" xr:uid="{00000000-0005-0000-0000-0000E4490000}"/>
    <cellStyle name="Normal 3 3 12 5 12 2" xfId="28877" xr:uid="{00000000-0005-0000-0000-0000E5490000}"/>
    <cellStyle name="Normal 3 3 12 5 13" xfId="11347" xr:uid="{00000000-0005-0000-0000-0000E6490000}"/>
    <cellStyle name="Normal 3 3 12 5 13 2" xfId="28878" xr:uid="{00000000-0005-0000-0000-0000E7490000}"/>
    <cellStyle name="Normal 3 3 12 5 14" xfId="11348" xr:uid="{00000000-0005-0000-0000-0000E8490000}"/>
    <cellStyle name="Normal 3 3 12 5 14 2" xfId="28879" xr:uid="{00000000-0005-0000-0000-0000E9490000}"/>
    <cellStyle name="Normal 3 3 12 5 15" xfId="28874" xr:uid="{00000000-0005-0000-0000-0000EA490000}"/>
    <cellStyle name="Normal 3 3 12 5 2" xfId="11349" xr:uid="{00000000-0005-0000-0000-0000EB490000}"/>
    <cellStyle name="Normal 3 3 12 5 2 2" xfId="28880" xr:uid="{00000000-0005-0000-0000-0000EC490000}"/>
    <cellStyle name="Normal 3 3 12 5 3" xfId="11350" xr:uid="{00000000-0005-0000-0000-0000ED490000}"/>
    <cellStyle name="Normal 3 3 12 5 3 2" xfId="28881" xr:uid="{00000000-0005-0000-0000-0000EE490000}"/>
    <cellStyle name="Normal 3 3 12 5 4" xfId="11351" xr:uid="{00000000-0005-0000-0000-0000EF490000}"/>
    <cellStyle name="Normal 3 3 12 5 4 2" xfId="28882" xr:uid="{00000000-0005-0000-0000-0000F0490000}"/>
    <cellStyle name="Normal 3 3 12 5 5" xfId="11352" xr:uid="{00000000-0005-0000-0000-0000F1490000}"/>
    <cellStyle name="Normal 3 3 12 5 5 2" xfId="28883" xr:uid="{00000000-0005-0000-0000-0000F2490000}"/>
    <cellStyle name="Normal 3 3 12 5 6" xfId="11353" xr:uid="{00000000-0005-0000-0000-0000F3490000}"/>
    <cellStyle name="Normal 3 3 12 5 6 2" xfId="28884" xr:uid="{00000000-0005-0000-0000-0000F4490000}"/>
    <cellStyle name="Normal 3 3 12 5 7" xfId="11354" xr:uid="{00000000-0005-0000-0000-0000F5490000}"/>
    <cellStyle name="Normal 3 3 12 5 7 2" xfId="28885" xr:uid="{00000000-0005-0000-0000-0000F6490000}"/>
    <cellStyle name="Normal 3 3 12 5 8" xfId="11355" xr:uid="{00000000-0005-0000-0000-0000F7490000}"/>
    <cellStyle name="Normal 3 3 12 5 8 2" xfId="28886" xr:uid="{00000000-0005-0000-0000-0000F8490000}"/>
    <cellStyle name="Normal 3 3 12 5 9" xfId="11356" xr:uid="{00000000-0005-0000-0000-0000F9490000}"/>
    <cellStyle name="Normal 3 3 12 5 9 2" xfId="28887" xr:uid="{00000000-0005-0000-0000-0000FA490000}"/>
    <cellStyle name="Normal 3 3 12 6" xfId="11357" xr:uid="{00000000-0005-0000-0000-0000FB490000}"/>
    <cellStyle name="Normal 3 3 12 6 10" xfId="11358" xr:uid="{00000000-0005-0000-0000-0000FC490000}"/>
    <cellStyle name="Normal 3 3 12 6 10 2" xfId="28889" xr:uid="{00000000-0005-0000-0000-0000FD490000}"/>
    <cellStyle name="Normal 3 3 12 6 11" xfId="11359" xr:uid="{00000000-0005-0000-0000-0000FE490000}"/>
    <cellStyle name="Normal 3 3 12 6 11 2" xfId="28890" xr:uid="{00000000-0005-0000-0000-0000FF490000}"/>
    <cellStyle name="Normal 3 3 12 6 12" xfId="11360" xr:uid="{00000000-0005-0000-0000-0000004A0000}"/>
    <cellStyle name="Normal 3 3 12 6 12 2" xfId="28891" xr:uid="{00000000-0005-0000-0000-0000014A0000}"/>
    <cellStyle name="Normal 3 3 12 6 13" xfId="11361" xr:uid="{00000000-0005-0000-0000-0000024A0000}"/>
    <cellStyle name="Normal 3 3 12 6 13 2" xfId="28892" xr:uid="{00000000-0005-0000-0000-0000034A0000}"/>
    <cellStyle name="Normal 3 3 12 6 14" xfId="11362" xr:uid="{00000000-0005-0000-0000-0000044A0000}"/>
    <cellStyle name="Normal 3 3 12 6 14 2" xfId="28893" xr:uid="{00000000-0005-0000-0000-0000054A0000}"/>
    <cellStyle name="Normal 3 3 12 6 15" xfId="28888" xr:uid="{00000000-0005-0000-0000-0000064A0000}"/>
    <cellStyle name="Normal 3 3 12 6 2" xfId="11363" xr:uid="{00000000-0005-0000-0000-0000074A0000}"/>
    <cellStyle name="Normal 3 3 12 6 2 2" xfId="28894" xr:uid="{00000000-0005-0000-0000-0000084A0000}"/>
    <cellStyle name="Normal 3 3 12 6 3" xfId="11364" xr:uid="{00000000-0005-0000-0000-0000094A0000}"/>
    <cellStyle name="Normal 3 3 12 6 3 2" xfId="28895" xr:uid="{00000000-0005-0000-0000-00000A4A0000}"/>
    <cellStyle name="Normal 3 3 12 6 4" xfId="11365" xr:uid="{00000000-0005-0000-0000-00000B4A0000}"/>
    <cellStyle name="Normal 3 3 12 6 4 2" xfId="28896" xr:uid="{00000000-0005-0000-0000-00000C4A0000}"/>
    <cellStyle name="Normal 3 3 12 6 5" xfId="11366" xr:uid="{00000000-0005-0000-0000-00000D4A0000}"/>
    <cellStyle name="Normal 3 3 12 6 5 2" xfId="28897" xr:uid="{00000000-0005-0000-0000-00000E4A0000}"/>
    <cellStyle name="Normal 3 3 12 6 6" xfId="11367" xr:uid="{00000000-0005-0000-0000-00000F4A0000}"/>
    <cellStyle name="Normal 3 3 12 6 6 2" xfId="28898" xr:uid="{00000000-0005-0000-0000-0000104A0000}"/>
    <cellStyle name="Normal 3 3 12 6 7" xfId="11368" xr:uid="{00000000-0005-0000-0000-0000114A0000}"/>
    <cellStyle name="Normal 3 3 12 6 7 2" xfId="28899" xr:uid="{00000000-0005-0000-0000-0000124A0000}"/>
    <cellStyle name="Normal 3 3 12 6 8" xfId="11369" xr:uid="{00000000-0005-0000-0000-0000134A0000}"/>
    <cellStyle name="Normal 3 3 12 6 8 2" xfId="28900" xr:uid="{00000000-0005-0000-0000-0000144A0000}"/>
    <cellStyle name="Normal 3 3 12 6 9" xfId="11370" xr:uid="{00000000-0005-0000-0000-0000154A0000}"/>
    <cellStyle name="Normal 3 3 12 6 9 2" xfId="28901" xr:uid="{00000000-0005-0000-0000-0000164A0000}"/>
    <cellStyle name="Normal 3 3 12 7" xfId="11371" xr:uid="{00000000-0005-0000-0000-0000174A0000}"/>
    <cellStyle name="Normal 3 3 12 7 10" xfId="11372" xr:uid="{00000000-0005-0000-0000-0000184A0000}"/>
    <cellStyle name="Normal 3 3 12 7 10 2" xfId="28903" xr:uid="{00000000-0005-0000-0000-0000194A0000}"/>
    <cellStyle name="Normal 3 3 12 7 11" xfId="11373" xr:uid="{00000000-0005-0000-0000-00001A4A0000}"/>
    <cellStyle name="Normal 3 3 12 7 11 2" xfId="28904" xr:uid="{00000000-0005-0000-0000-00001B4A0000}"/>
    <cellStyle name="Normal 3 3 12 7 12" xfId="11374" xr:uid="{00000000-0005-0000-0000-00001C4A0000}"/>
    <cellStyle name="Normal 3 3 12 7 12 2" xfId="28905" xr:uid="{00000000-0005-0000-0000-00001D4A0000}"/>
    <cellStyle name="Normal 3 3 12 7 13" xfId="11375" xr:uid="{00000000-0005-0000-0000-00001E4A0000}"/>
    <cellStyle name="Normal 3 3 12 7 13 2" xfId="28906" xr:uid="{00000000-0005-0000-0000-00001F4A0000}"/>
    <cellStyle name="Normal 3 3 12 7 14" xfId="11376" xr:uid="{00000000-0005-0000-0000-0000204A0000}"/>
    <cellStyle name="Normal 3 3 12 7 14 2" xfId="28907" xr:uid="{00000000-0005-0000-0000-0000214A0000}"/>
    <cellStyle name="Normal 3 3 12 7 15" xfId="28902" xr:uid="{00000000-0005-0000-0000-0000224A0000}"/>
    <cellStyle name="Normal 3 3 12 7 2" xfId="11377" xr:uid="{00000000-0005-0000-0000-0000234A0000}"/>
    <cellStyle name="Normal 3 3 12 7 2 2" xfId="28908" xr:uid="{00000000-0005-0000-0000-0000244A0000}"/>
    <cellStyle name="Normal 3 3 12 7 3" xfId="11378" xr:uid="{00000000-0005-0000-0000-0000254A0000}"/>
    <cellStyle name="Normal 3 3 12 7 3 2" xfId="28909" xr:uid="{00000000-0005-0000-0000-0000264A0000}"/>
    <cellStyle name="Normal 3 3 12 7 4" xfId="11379" xr:uid="{00000000-0005-0000-0000-0000274A0000}"/>
    <cellStyle name="Normal 3 3 12 7 4 2" xfId="28910" xr:uid="{00000000-0005-0000-0000-0000284A0000}"/>
    <cellStyle name="Normal 3 3 12 7 5" xfId="11380" xr:uid="{00000000-0005-0000-0000-0000294A0000}"/>
    <cellStyle name="Normal 3 3 12 7 5 2" xfId="28911" xr:uid="{00000000-0005-0000-0000-00002A4A0000}"/>
    <cellStyle name="Normal 3 3 12 7 6" xfId="11381" xr:uid="{00000000-0005-0000-0000-00002B4A0000}"/>
    <cellStyle name="Normal 3 3 12 7 6 2" xfId="28912" xr:uid="{00000000-0005-0000-0000-00002C4A0000}"/>
    <cellStyle name="Normal 3 3 12 7 7" xfId="11382" xr:uid="{00000000-0005-0000-0000-00002D4A0000}"/>
    <cellStyle name="Normal 3 3 12 7 7 2" xfId="28913" xr:uid="{00000000-0005-0000-0000-00002E4A0000}"/>
    <cellStyle name="Normal 3 3 12 7 8" xfId="11383" xr:uid="{00000000-0005-0000-0000-00002F4A0000}"/>
    <cellStyle name="Normal 3 3 12 7 8 2" xfId="28914" xr:uid="{00000000-0005-0000-0000-0000304A0000}"/>
    <cellStyle name="Normal 3 3 12 7 9" xfId="11384" xr:uid="{00000000-0005-0000-0000-0000314A0000}"/>
    <cellStyle name="Normal 3 3 12 7 9 2" xfId="28915" xr:uid="{00000000-0005-0000-0000-0000324A0000}"/>
    <cellStyle name="Normal 3 3 12 8" xfId="11385" xr:uid="{00000000-0005-0000-0000-0000334A0000}"/>
    <cellStyle name="Normal 3 3 12 8 10" xfId="11386" xr:uid="{00000000-0005-0000-0000-0000344A0000}"/>
    <cellStyle name="Normal 3 3 12 8 10 2" xfId="28917" xr:uid="{00000000-0005-0000-0000-0000354A0000}"/>
    <cellStyle name="Normal 3 3 12 8 11" xfId="11387" xr:uid="{00000000-0005-0000-0000-0000364A0000}"/>
    <cellStyle name="Normal 3 3 12 8 11 2" xfId="28918" xr:uid="{00000000-0005-0000-0000-0000374A0000}"/>
    <cellStyle name="Normal 3 3 12 8 12" xfId="11388" xr:uid="{00000000-0005-0000-0000-0000384A0000}"/>
    <cellStyle name="Normal 3 3 12 8 12 2" xfId="28919" xr:uid="{00000000-0005-0000-0000-0000394A0000}"/>
    <cellStyle name="Normal 3 3 12 8 13" xfId="11389" xr:uid="{00000000-0005-0000-0000-00003A4A0000}"/>
    <cellStyle name="Normal 3 3 12 8 13 2" xfId="28920" xr:uid="{00000000-0005-0000-0000-00003B4A0000}"/>
    <cellStyle name="Normal 3 3 12 8 14" xfId="11390" xr:uid="{00000000-0005-0000-0000-00003C4A0000}"/>
    <cellStyle name="Normal 3 3 12 8 14 2" xfId="28921" xr:uid="{00000000-0005-0000-0000-00003D4A0000}"/>
    <cellStyle name="Normal 3 3 12 8 15" xfId="28916" xr:uid="{00000000-0005-0000-0000-00003E4A0000}"/>
    <cellStyle name="Normal 3 3 12 8 2" xfId="11391" xr:uid="{00000000-0005-0000-0000-00003F4A0000}"/>
    <cellStyle name="Normal 3 3 12 8 2 2" xfId="28922" xr:uid="{00000000-0005-0000-0000-0000404A0000}"/>
    <cellStyle name="Normal 3 3 12 8 3" xfId="11392" xr:uid="{00000000-0005-0000-0000-0000414A0000}"/>
    <cellStyle name="Normal 3 3 12 8 3 2" xfId="28923" xr:uid="{00000000-0005-0000-0000-0000424A0000}"/>
    <cellStyle name="Normal 3 3 12 8 4" xfId="11393" xr:uid="{00000000-0005-0000-0000-0000434A0000}"/>
    <cellStyle name="Normal 3 3 12 8 4 2" xfId="28924" xr:uid="{00000000-0005-0000-0000-0000444A0000}"/>
    <cellStyle name="Normal 3 3 12 8 5" xfId="11394" xr:uid="{00000000-0005-0000-0000-0000454A0000}"/>
    <cellStyle name="Normal 3 3 12 8 5 2" xfId="28925" xr:uid="{00000000-0005-0000-0000-0000464A0000}"/>
    <cellStyle name="Normal 3 3 12 8 6" xfId="11395" xr:uid="{00000000-0005-0000-0000-0000474A0000}"/>
    <cellStyle name="Normal 3 3 12 8 6 2" xfId="28926" xr:uid="{00000000-0005-0000-0000-0000484A0000}"/>
    <cellStyle name="Normal 3 3 12 8 7" xfId="11396" xr:uid="{00000000-0005-0000-0000-0000494A0000}"/>
    <cellStyle name="Normal 3 3 12 8 7 2" xfId="28927" xr:uid="{00000000-0005-0000-0000-00004A4A0000}"/>
    <cellStyle name="Normal 3 3 12 8 8" xfId="11397" xr:uid="{00000000-0005-0000-0000-00004B4A0000}"/>
    <cellStyle name="Normal 3 3 12 8 8 2" xfId="28928" xr:uid="{00000000-0005-0000-0000-00004C4A0000}"/>
    <cellStyle name="Normal 3 3 12 8 9" xfId="11398" xr:uid="{00000000-0005-0000-0000-00004D4A0000}"/>
    <cellStyle name="Normal 3 3 12 8 9 2" xfId="28929" xr:uid="{00000000-0005-0000-0000-00004E4A0000}"/>
    <cellStyle name="Normal 3 3 12 9" xfId="11399" xr:uid="{00000000-0005-0000-0000-00004F4A0000}"/>
    <cellStyle name="Normal 3 3 12 9 10" xfId="11400" xr:uid="{00000000-0005-0000-0000-0000504A0000}"/>
    <cellStyle name="Normal 3 3 12 9 10 2" xfId="28931" xr:uid="{00000000-0005-0000-0000-0000514A0000}"/>
    <cellStyle name="Normal 3 3 12 9 11" xfId="11401" xr:uid="{00000000-0005-0000-0000-0000524A0000}"/>
    <cellStyle name="Normal 3 3 12 9 11 2" xfId="28932" xr:uid="{00000000-0005-0000-0000-0000534A0000}"/>
    <cellStyle name="Normal 3 3 12 9 12" xfId="11402" xr:uid="{00000000-0005-0000-0000-0000544A0000}"/>
    <cellStyle name="Normal 3 3 12 9 12 2" xfId="28933" xr:uid="{00000000-0005-0000-0000-0000554A0000}"/>
    <cellStyle name="Normal 3 3 12 9 13" xfId="11403" xr:uid="{00000000-0005-0000-0000-0000564A0000}"/>
    <cellStyle name="Normal 3 3 12 9 13 2" xfId="28934" xr:uid="{00000000-0005-0000-0000-0000574A0000}"/>
    <cellStyle name="Normal 3 3 12 9 14" xfId="11404" xr:uid="{00000000-0005-0000-0000-0000584A0000}"/>
    <cellStyle name="Normal 3 3 12 9 14 2" xfId="28935" xr:uid="{00000000-0005-0000-0000-0000594A0000}"/>
    <cellStyle name="Normal 3 3 12 9 15" xfId="28930" xr:uid="{00000000-0005-0000-0000-00005A4A0000}"/>
    <cellStyle name="Normal 3 3 12 9 2" xfId="11405" xr:uid="{00000000-0005-0000-0000-00005B4A0000}"/>
    <cellStyle name="Normal 3 3 12 9 2 2" xfId="28936" xr:uid="{00000000-0005-0000-0000-00005C4A0000}"/>
    <cellStyle name="Normal 3 3 12 9 3" xfId="11406" xr:uid="{00000000-0005-0000-0000-00005D4A0000}"/>
    <cellStyle name="Normal 3 3 12 9 3 2" xfId="28937" xr:uid="{00000000-0005-0000-0000-00005E4A0000}"/>
    <cellStyle name="Normal 3 3 12 9 4" xfId="11407" xr:uid="{00000000-0005-0000-0000-00005F4A0000}"/>
    <cellStyle name="Normal 3 3 12 9 4 2" xfId="28938" xr:uid="{00000000-0005-0000-0000-0000604A0000}"/>
    <cellStyle name="Normal 3 3 12 9 5" xfId="11408" xr:uid="{00000000-0005-0000-0000-0000614A0000}"/>
    <cellStyle name="Normal 3 3 12 9 5 2" xfId="28939" xr:uid="{00000000-0005-0000-0000-0000624A0000}"/>
    <cellStyle name="Normal 3 3 12 9 6" xfId="11409" xr:uid="{00000000-0005-0000-0000-0000634A0000}"/>
    <cellStyle name="Normal 3 3 12 9 6 2" xfId="28940" xr:uid="{00000000-0005-0000-0000-0000644A0000}"/>
    <cellStyle name="Normal 3 3 12 9 7" xfId="11410" xr:uid="{00000000-0005-0000-0000-0000654A0000}"/>
    <cellStyle name="Normal 3 3 12 9 7 2" xfId="28941" xr:uid="{00000000-0005-0000-0000-0000664A0000}"/>
    <cellStyle name="Normal 3 3 12 9 8" xfId="11411" xr:uid="{00000000-0005-0000-0000-0000674A0000}"/>
    <cellStyle name="Normal 3 3 12 9 8 2" xfId="28942" xr:uid="{00000000-0005-0000-0000-0000684A0000}"/>
    <cellStyle name="Normal 3 3 12 9 9" xfId="11412" xr:uid="{00000000-0005-0000-0000-0000694A0000}"/>
    <cellStyle name="Normal 3 3 12 9 9 2" xfId="28943" xr:uid="{00000000-0005-0000-0000-00006A4A0000}"/>
    <cellStyle name="Normal 3 3 13" xfId="11413" xr:uid="{00000000-0005-0000-0000-00006B4A0000}"/>
    <cellStyle name="Normal 3 3 13 10" xfId="11414" xr:uid="{00000000-0005-0000-0000-00006C4A0000}"/>
    <cellStyle name="Normal 3 3 13 10 10" xfId="11415" xr:uid="{00000000-0005-0000-0000-00006D4A0000}"/>
    <cellStyle name="Normal 3 3 13 10 10 2" xfId="28946" xr:uid="{00000000-0005-0000-0000-00006E4A0000}"/>
    <cellStyle name="Normal 3 3 13 10 11" xfId="11416" xr:uid="{00000000-0005-0000-0000-00006F4A0000}"/>
    <cellStyle name="Normal 3 3 13 10 11 2" xfId="28947" xr:uid="{00000000-0005-0000-0000-0000704A0000}"/>
    <cellStyle name="Normal 3 3 13 10 12" xfId="11417" xr:uid="{00000000-0005-0000-0000-0000714A0000}"/>
    <cellStyle name="Normal 3 3 13 10 12 2" xfId="28948" xr:uid="{00000000-0005-0000-0000-0000724A0000}"/>
    <cellStyle name="Normal 3 3 13 10 13" xfId="11418" xr:uid="{00000000-0005-0000-0000-0000734A0000}"/>
    <cellStyle name="Normal 3 3 13 10 13 2" xfId="28949" xr:uid="{00000000-0005-0000-0000-0000744A0000}"/>
    <cellStyle name="Normal 3 3 13 10 14" xfId="11419" xr:uid="{00000000-0005-0000-0000-0000754A0000}"/>
    <cellStyle name="Normal 3 3 13 10 14 2" xfId="28950" xr:uid="{00000000-0005-0000-0000-0000764A0000}"/>
    <cellStyle name="Normal 3 3 13 10 15" xfId="28945" xr:uid="{00000000-0005-0000-0000-0000774A0000}"/>
    <cellStyle name="Normal 3 3 13 10 2" xfId="11420" xr:uid="{00000000-0005-0000-0000-0000784A0000}"/>
    <cellStyle name="Normal 3 3 13 10 2 2" xfId="28951" xr:uid="{00000000-0005-0000-0000-0000794A0000}"/>
    <cellStyle name="Normal 3 3 13 10 3" xfId="11421" xr:uid="{00000000-0005-0000-0000-00007A4A0000}"/>
    <cellStyle name="Normal 3 3 13 10 3 2" xfId="28952" xr:uid="{00000000-0005-0000-0000-00007B4A0000}"/>
    <cellStyle name="Normal 3 3 13 10 4" xfId="11422" xr:uid="{00000000-0005-0000-0000-00007C4A0000}"/>
    <cellStyle name="Normal 3 3 13 10 4 2" xfId="28953" xr:uid="{00000000-0005-0000-0000-00007D4A0000}"/>
    <cellStyle name="Normal 3 3 13 10 5" xfId="11423" xr:uid="{00000000-0005-0000-0000-00007E4A0000}"/>
    <cellStyle name="Normal 3 3 13 10 5 2" xfId="28954" xr:uid="{00000000-0005-0000-0000-00007F4A0000}"/>
    <cellStyle name="Normal 3 3 13 10 6" xfId="11424" xr:uid="{00000000-0005-0000-0000-0000804A0000}"/>
    <cellStyle name="Normal 3 3 13 10 6 2" xfId="28955" xr:uid="{00000000-0005-0000-0000-0000814A0000}"/>
    <cellStyle name="Normal 3 3 13 10 7" xfId="11425" xr:uid="{00000000-0005-0000-0000-0000824A0000}"/>
    <cellStyle name="Normal 3 3 13 10 7 2" xfId="28956" xr:uid="{00000000-0005-0000-0000-0000834A0000}"/>
    <cellStyle name="Normal 3 3 13 10 8" xfId="11426" xr:uid="{00000000-0005-0000-0000-0000844A0000}"/>
    <cellStyle name="Normal 3 3 13 10 8 2" xfId="28957" xr:uid="{00000000-0005-0000-0000-0000854A0000}"/>
    <cellStyle name="Normal 3 3 13 10 9" xfId="11427" xr:uid="{00000000-0005-0000-0000-0000864A0000}"/>
    <cellStyle name="Normal 3 3 13 10 9 2" xfId="28958" xr:uid="{00000000-0005-0000-0000-0000874A0000}"/>
    <cellStyle name="Normal 3 3 13 11" xfId="11428" xr:uid="{00000000-0005-0000-0000-0000884A0000}"/>
    <cellStyle name="Normal 3 3 13 11 2" xfId="28959" xr:uid="{00000000-0005-0000-0000-0000894A0000}"/>
    <cellStyle name="Normal 3 3 13 12" xfId="11429" xr:uid="{00000000-0005-0000-0000-00008A4A0000}"/>
    <cellStyle name="Normal 3 3 13 12 2" xfId="28960" xr:uid="{00000000-0005-0000-0000-00008B4A0000}"/>
    <cellStyle name="Normal 3 3 13 13" xfId="11430" xr:uid="{00000000-0005-0000-0000-00008C4A0000}"/>
    <cellStyle name="Normal 3 3 13 13 2" xfId="28961" xr:uid="{00000000-0005-0000-0000-00008D4A0000}"/>
    <cellStyle name="Normal 3 3 13 14" xfId="11431" xr:uid="{00000000-0005-0000-0000-00008E4A0000}"/>
    <cellStyle name="Normal 3 3 13 14 2" xfId="28962" xr:uid="{00000000-0005-0000-0000-00008F4A0000}"/>
    <cellStyle name="Normal 3 3 13 15" xfId="11432" xr:uid="{00000000-0005-0000-0000-0000904A0000}"/>
    <cellStyle name="Normal 3 3 13 15 2" xfId="28963" xr:uid="{00000000-0005-0000-0000-0000914A0000}"/>
    <cellStyle name="Normal 3 3 13 16" xfId="11433" xr:uid="{00000000-0005-0000-0000-0000924A0000}"/>
    <cellStyle name="Normal 3 3 13 16 2" xfId="28964" xr:uid="{00000000-0005-0000-0000-0000934A0000}"/>
    <cellStyle name="Normal 3 3 13 17" xfId="11434" xr:uid="{00000000-0005-0000-0000-0000944A0000}"/>
    <cellStyle name="Normal 3 3 13 17 2" xfId="28965" xr:uid="{00000000-0005-0000-0000-0000954A0000}"/>
    <cellStyle name="Normal 3 3 13 18" xfId="11435" xr:uid="{00000000-0005-0000-0000-0000964A0000}"/>
    <cellStyle name="Normal 3 3 13 18 2" xfId="28966" xr:uid="{00000000-0005-0000-0000-0000974A0000}"/>
    <cellStyle name="Normal 3 3 13 19" xfId="11436" xr:uid="{00000000-0005-0000-0000-0000984A0000}"/>
    <cellStyle name="Normal 3 3 13 19 2" xfId="28967" xr:uid="{00000000-0005-0000-0000-0000994A0000}"/>
    <cellStyle name="Normal 3 3 13 2" xfId="11437" xr:uid="{00000000-0005-0000-0000-00009A4A0000}"/>
    <cellStyle name="Normal 3 3 13 2 10" xfId="11438" xr:uid="{00000000-0005-0000-0000-00009B4A0000}"/>
    <cellStyle name="Normal 3 3 13 2 10 2" xfId="28969" xr:uid="{00000000-0005-0000-0000-00009C4A0000}"/>
    <cellStyle name="Normal 3 3 13 2 11" xfId="11439" xr:uid="{00000000-0005-0000-0000-00009D4A0000}"/>
    <cellStyle name="Normal 3 3 13 2 11 2" xfId="28970" xr:uid="{00000000-0005-0000-0000-00009E4A0000}"/>
    <cellStyle name="Normal 3 3 13 2 12" xfId="11440" xr:uid="{00000000-0005-0000-0000-00009F4A0000}"/>
    <cellStyle name="Normal 3 3 13 2 12 2" xfId="28971" xr:uid="{00000000-0005-0000-0000-0000A04A0000}"/>
    <cellStyle name="Normal 3 3 13 2 13" xfId="11441" xr:uid="{00000000-0005-0000-0000-0000A14A0000}"/>
    <cellStyle name="Normal 3 3 13 2 13 2" xfId="28972" xr:uid="{00000000-0005-0000-0000-0000A24A0000}"/>
    <cellStyle name="Normal 3 3 13 2 14" xfId="11442" xr:uid="{00000000-0005-0000-0000-0000A34A0000}"/>
    <cellStyle name="Normal 3 3 13 2 14 2" xfId="28973" xr:uid="{00000000-0005-0000-0000-0000A44A0000}"/>
    <cellStyle name="Normal 3 3 13 2 15" xfId="11443" xr:uid="{00000000-0005-0000-0000-0000A54A0000}"/>
    <cellStyle name="Normal 3 3 13 2 15 2" xfId="28974" xr:uid="{00000000-0005-0000-0000-0000A64A0000}"/>
    <cellStyle name="Normal 3 3 13 2 16" xfId="28968" xr:uid="{00000000-0005-0000-0000-0000A74A0000}"/>
    <cellStyle name="Normal 3 3 13 2 2" xfId="11444" xr:uid="{00000000-0005-0000-0000-0000A84A0000}"/>
    <cellStyle name="Normal 3 3 13 2 2 10" xfId="11445" xr:uid="{00000000-0005-0000-0000-0000A94A0000}"/>
    <cellStyle name="Normal 3 3 13 2 2 10 2" xfId="28976" xr:uid="{00000000-0005-0000-0000-0000AA4A0000}"/>
    <cellStyle name="Normal 3 3 13 2 2 11" xfId="11446" xr:uid="{00000000-0005-0000-0000-0000AB4A0000}"/>
    <cellStyle name="Normal 3 3 13 2 2 11 2" xfId="28977" xr:uid="{00000000-0005-0000-0000-0000AC4A0000}"/>
    <cellStyle name="Normal 3 3 13 2 2 12" xfId="11447" xr:uid="{00000000-0005-0000-0000-0000AD4A0000}"/>
    <cellStyle name="Normal 3 3 13 2 2 12 2" xfId="28978" xr:uid="{00000000-0005-0000-0000-0000AE4A0000}"/>
    <cellStyle name="Normal 3 3 13 2 2 13" xfId="11448" xr:uid="{00000000-0005-0000-0000-0000AF4A0000}"/>
    <cellStyle name="Normal 3 3 13 2 2 13 2" xfId="28979" xr:uid="{00000000-0005-0000-0000-0000B04A0000}"/>
    <cellStyle name="Normal 3 3 13 2 2 14" xfId="11449" xr:uid="{00000000-0005-0000-0000-0000B14A0000}"/>
    <cellStyle name="Normal 3 3 13 2 2 14 2" xfId="28980" xr:uid="{00000000-0005-0000-0000-0000B24A0000}"/>
    <cellStyle name="Normal 3 3 13 2 2 15" xfId="28975" xr:uid="{00000000-0005-0000-0000-0000B34A0000}"/>
    <cellStyle name="Normal 3 3 13 2 2 2" xfId="11450" xr:uid="{00000000-0005-0000-0000-0000B44A0000}"/>
    <cellStyle name="Normal 3 3 13 2 2 2 2" xfId="28981" xr:uid="{00000000-0005-0000-0000-0000B54A0000}"/>
    <cellStyle name="Normal 3 3 13 2 2 3" xfId="11451" xr:uid="{00000000-0005-0000-0000-0000B64A0000}"/>
    <cellStyle name="Normal 3 3 13 2 2 3 2" xfId="28982" xr:uid="{00000000-0005-0000-0000-0000B74A0000}"/>
    <cellStyle name="Normal 3 3 13 2 2 4" xfId="11452" xr:uid="{00000000-0005-0000-0000-0000B84A0000}"/>
    <cellStyle name="Normal 3 3 13 2 2 4 2" xfId="28983" xr:uid="{00000000-0005-0000-0000-0000B94A0000}"/>
    <cellStyle name="Normal 3 3 13 2 2 5" xfId="11453" xr:uid="{00000000-0005-0000-0000-0000BA4A0000}"/>
    <cellStyle name="Normal 3 3 13 2 2 5 2" xfId="28984" xr:uid="{00000000-0005-0000-0000-0000BB4A0000}"/>
    <cellStyle name="Normal 3 3 13 2 2 6" xfId="11454" xr:uid="{00000000-0005-0000-0000-0000BC4A0000}"/>
    <cellStyle name="Normal 3 3 13 2 2 6 2" xfId="28985" xr:uid="{00000000-0005-0000-0000-0000BD4A0000}"/>
    <cellStyle name="Normal 3 3 13 2 2 7" xfId="11455" xr:uid="{00000000-0005-0000-0000-0000BE4A0000}"/>
    <cellStyle name="Normal 3 3 13 2 2 7 2" xfId="28986" xr:uid="{00000000-0005-0000-0000-0000BF4A0000}"/>
    <cellStyle name="Normal 3 3 13 2 2 8" xfId="11456" xr:uid="{00000000-0005-0000-0000-0000C04A0000}"/>
    <cellStyle name="Normal 3 3 13 2 2 8 2" xfId="28987" xr:uid="{00000000-0005-0000-0000-0000C14A0000}"/>
    <cellStyle name="Normal 3 3 13 2 2 9" xfId="11457" xr:uid="{00000000-0005-0000-0000-0000C24A0000}"/>
    <cellStyle name="Normal 3 3 13 2 2 9 2" xfId="28988" xr:uid="{00000000-0005-0000-0000-0000C34A0000}"/>
    <cellStyle name="Normal 3 3 13 2 3" xfId="11458" xr:uid="{00000000-0005-0000-0000-0000C44A0000}"/>
    <cellStyle name="Normal 3 3 13 2 3 2" xfId="28989" xr:uid="{00000000-0005-0000-0000-0000C54A0000}"/>
    <cellStyle name="Normal 3 3 13 2 4" xfId="11459" xr:uid="{00000000-0005-0000-0000-0000C64A0000}"/>
    <cellStyle name="Normal 3 3 13 2 4 2" xfId="28990" xr:uid="{00000000-0005-0000-0000-0000C74A0000}"/>
    <cellStyle name="Normal 3 3 13 2 5" xfId="11460" xr:uid="{00000000-0005-0000-0000-0000C84A0000}"/>
    <cellStyle name="Normal 3 3 13 2 5 2" xfId="28991" xr:uid="{00000000-0005-0000-0000-0000C94A0000}"/>
    <cellStyle name="Normal 3 3 13 2 6" xfId="11461" xr:uid="{00000000-0005-0000-0000-0000CA4A0000}"/>
    <cellStyle name="Normal 3 3 13 2 6 2" xfId="28992" xr:uid="{00000000-0005-0000-0000-0000CB4A0000}"/>
    <cellStyle name="Normal 3 3 13 2 7" xfId="11462" xr:uid="{00000000-0005-0000-0000-0000CC4A0000}"/>
    <cellStyle name="Normal 3 3 13 2 7 2" xfId="28993" xr:uid="{00000000-0005-0000-0000-0000CD4A0000}"/>
    <cellStyle name="Normal 3 3 13 2 8" xfId="11463" xr:uid="{00000000-0005-0000-0000-0000CE4A0000}"/>
    <cellStyle name="Normal 3 3 13 2 8 2" xfId="28994" xr:uid="{00000000-0005-0000-0000-0000CF4A0000}"/>
    <cellStyle name="Normal 3 3 13 2 9" xfId="11464" xr:uid="{00000000-0005-0000-0000-0000D04A0000}"/>
    <cellStyle name="Normal 3 3 13 2 9 2" xfId="28995" xr:uid="{00000000-0005-0000-0000-0000D14A0000}"/>
    <cellStyle name="Normal 3 3 13 20" xfId="11465" xr:uid="{00000000-0005-0000-0000-0000D24A0000}"/>
    <cellStyle name="Normal 3 3 13 20 2" xfId="28996" xr:uid="{00000000-0005-0000-0000-0000D34A0000}"/>
    <cellStyle name="Normal 3 3 13 21" xfId="11466" xr:uid="{00000000-0005-0000-0000-0000D44A0000}"/>
    <cellStyle name="Normal 3 3 13 21 2" xfId="28997" xr:uid="{00000000-0005-0000-0000-0000D54A0000}"/>
    <cellStyle name="Normal 3 3 13 22" xfId="11467" xr:uid="{00000000-0005-0000-0000-0000D64A0000}"/>
    <cellStyle name="Normal 3 3 13 22 2" xfId="28998" xr:uid="{00000000-0005-0000-0000-0000D74A0000}"/>
    <cellStyle name="Normal 3 3 13 23" xfId="11468" xr:uid="{00000000-0005-0000-0000-0000D84A0000}"/>
    <cellStyle name="Normal 3 3 13 23 2" xfId="28999" xr:uid="{00000000-0005-0000-0000-0000D94A0000}"/>
    <cellStyle name="Normal 3 3 13 24" xfId="28944" xr:uid="{00000000-0005-0000-0000-0000DA4A0000}"/>
    <cellStyle name="Normal 3 3 13 3" xfId="11469" xr:uid="{00000000-0005-0000-0000-0000DB4A0000}"/>
    <cellStyle name="Normal 3 3 13 3 10" xfId="11470" xr:uid="{00000000-0005-0000-0000-0000DC4A0000}"/>
    <cellStyle name="Normal 3 3 13 3 10 2" xfId="29001" xr:uid="{00000000-0005-0000-0000-0000DD4A0000}"/>
    <cellStyle name="Normal 3 3 13 3 11" xfId="11471" xr:uid="{00000000-0005-0000-0000-0000DE4A0000}"/>
    <cellStyle name="Normal 3 3 13 3 11 2" xfId="29002" xr:uid="{00000000-0005-0000-0000-0000DF4A0000}"/>
    <cellStyle name="Normal 3 3 13 3 12" xfId="11472" xr:uid="{00000000-0005-0000-0000-0000E04A0000}"/>
    <cellStyle name="Normal 3 3 13 3 12 2" xfId="29003" xr:uid="{00000000-0005-0000-0000-0000E14A0000}"/>
    <cellStyle name="Normal 3 3 13 3 13" xfId="11473" xr:uid="{00000000-0005-0000-0000-0000E24A0000}"/>
    <cellStyle name="Normal 3 3 13 3 13 2" xfId="29004" xr:uid="{00000000-0005-0000-0000-0000E34A0000}"/>
    <cellStyle name="Normal 3 3 13 3 14" xfId="11474" xr:uid="{00000000-0005-0000-0000-0000E44A0000}"/>
    <cellStyle name="Normal 3 3 13 3 14 2" xfId="29005" xr:uid="{00000000-0005-0000-0000-0000E54A0000}"/>
    <cellStyle name="Normal 3 3 13 3 15" xfId="11475" xr:uid="{00000000-0005-0000-0000-0000E64A0000}"/>
    <cellStyle name="Normal 3 3 13 3 15 2" xfId="29006" xr:uid="{00000000-0005-0000-0000-0000E74A0000}"/>
    <cellStyle name="Normal 3 3 13 3 16" xfId="29000" xr:uid="{00000000-0005-0000-0000-0000E84A0000}"/>
    <cellStyle name="Normal 3 3 13 3 2" xfId="11476" xr:uid="{00000000-0005-0000-0000-0000E94A0000}"/>
    <cellStyle name="Normal 3 3 13 3 2 10" xfId="11477" xr:uid="{00000000-0005-0000-0000-0000EA4A0000}"/>
    <cellStyle name="Normal 3 3 13 3 2 10 2" xfId="29008" xr:uid="{00000000-0005-0000-0000-0000EB4A0000}"/>
    <cellStyle name="Normal 3 3 13 3 2 11" xfId="11478" xr:uid="{00000000-0005-0000-0000-0000EC4A0000}"/>
    <cellStyle name="Normal 3 3 13 3 2 11 2" xfId="29009" xr:uid="{00000000-0005-0000-0000-0000ED4A0000}"/>
    <cellStyle name="Normal 3 3 13 3 2 12" xfId="11479" xr:uid="{00000000-0005-0000-0000-0000EE4A0000}"/>
    <cellStyle name="Normal 3 3 13 3 2 12 2" xfId="29010" xr:uid="{00000000-0005-0000-0000-0000EF4A0000}"/>
    <cellStyle name="Normal 3 3 13 3 2 13" xfId="11480" xr:uid="{00000000-0005-0000-0000-0000F04A0000}"/>
    <cellStyle name="Normal 3 3 13 3 2 13 2" xfId="29011" xr:uid="{00000000-0005-0000-0000-0000F14A0000}"/>
    <cellStyle name="Normal 3 3 13 3 2 14" xfId="11481" xr:uid="{00000000-0005-0000-0000-0000F24A0000}"/>
    <cellStyle name="Normal 3 3 13 3 2 14 2" xfId="29012" xr:uid="{00000000-0005-0000-0000-0000F34A0000}"/>
    <cellStyle name="Normal 3 3 13 3 2 15" xfId="29007" xr:uid="{00000000-0005-0000-0000-0000F44A0000}"/>
    <cellStyle name="Normal 3 3 13 3 2 2" xfId="11482" xr:uid="{00000000-0005-0000-0000-0000F54A0000}"/>
    <cellStyle name="Normal 3 3 13 3 2 2 2" xfId="29013" xr:uid="{00000000-0005-0000-0000-0000F64A0000}"/>
    <cellStyle name="Normal 3 3 13 3 2 3" xfId="11483" xr:uid="{00000000-0005-0000-0000-0000F74A0000}"/>
    <cellStyle name="Normal 3 3 13 3 2 3 2" xfId="29014" xr:uid="{00000000-0005-0000-0000-0000F84A0000}"/>
    <cellStyle name="Normal 3 3 13 3 2 4" xfId="11484" xr:uid="{00000000-0005-0000-0000-0000F94A0000}"/>
    <cellStyle name="Normal 3 3 13 3 2 4 2" xfId="29015" xr:uid="{00000000-0005-0000-0000-0000FA4A0000}"/>
    <cellStyle name="Normal 3 3 13 3 2 5" xfId="11485" xr:uid="{00000000-0005-0000-0000-0000FB4A0000}"/>
    <cellStyle name="Normal 3 3 13 3 2 5 2" xfId="29016" xr:uid="{00000000-0005-0000-0000-0000FC4A0000}"/>
    <cellStyle name="Normal 3 3 13 3 2 6" xfId="11486" xr:uid="{00000000-0005-0000-0000-0000FD4A0000}"/>
    <cellStyle name="Normal 3 3 13 3 2 6 2" xfId="29017" xr:uid="{00000000-0005-0000-0000-0000FE4A0000}"/>
    <cellStyle name="Normal 3 3 13 3 2 7" xfId="11487" xr:uid="{00000000-0005-0000-0000-0000FF4A0000}"/>
    <cellStyle name="Normal 3 3 13 3 2 7 2" xfId="29018" xr:uid="{00000000-0005-0000-0000-0000004B0000}"/>
    <cellStyle name="Normal 3 3 13 3 2 8" xfId="11488" xr:uid="{00000000-0005-0000-0000-0000014B0000}"/>
    <cellStyle name="Normal 3 3 13 3 2 8 2" xfId="29019" xr:uid="{00000000-0005-0000-0000-0000024B0000}"/>
    <cellStyle name="Normal 3 3 13 3 2 9" xfId="11489" xr:uid="{00000000-0005-0000-0000-0000034B0000}"/>
    <cellStyle name="Normal 3 3 13 3 2 9 2" xfId="29020" xr:uid="{00000000-0005-0000-0000-0000044B0000}"/>
    <cellStyle name="Normal 3 3 13 3 3" xfId="11490" xr:uid="{00000000-0005-0000-0000-0000054B0000}"/>
    <cellStyle name="Normal 3 3 13 3 3 2" xfId="29021" xr:uid="{00000000-0005-0000-0000-0000064B0000}"/>
    <cellStyle name="Normal 3 3 13 3 4" xfId="11491" xr:uid="{00000000-0005-0000-0000-0000074B0000}"/>
    <cellStyle name="Normal 3 3 13 3 4 2" xfId="29022" xr:uid="{00000000-0005-0000-0000-0000084B0000}"/>
    <cellStyle name="Normal 3 3 13 3 5" xfId="11492" xr:uid="{00000000-0005-0000-0000-0000094B0000}"/>
    <cellStyle name="Normal 3 3 13 3 5 2" xfId="29023" xr:uid="{00000000-0005-0000-0000-00000A4B0000}"/>
    <cellStyle name="Normal 3 3 13 3 6" xfId="11493" xr:uid="{00000000-0005-0000-0000-00000B4B0000}"/>
    <cellStyle name="Normal 3 3 13 3 6 2" xfId="29024" xr:uid="{00000000-0005-0000-0000-00000C4B0000}"/>
    <cellStyle name="Normal 3 3 13 3 7" xfId="11494" xr:uid="{00000000-0005-0000-0000-00000D4B0000}"/>
    <cellStyle name="Normal 3 3 13 3 7 2" xfId="29025" xr:uid="{00000000-0005-0000-0000-00000E4B0000}"/>
    <cellStyle name="Normal 3 3 13 3 8" xfId="11495" xr:uid="{00000000-0005-0000-0000-00000F4B0000}"/>
    <cellStyle name="Normal 3 3 13 3 8 2" xfId="29026" xr:uid="{00000000-0005-0000-0000-0000104B0000}"/>
    <cellStyle name="Normal 3 3 13 3 9" xfId="11496" xr:uid="{00000000-0005-0000-0000-0000114B0000}"/>
    <cellStyle name="Normal 3 3 13 3 9 2" xfId="29027" xr:uid="{00000000-0005-0000-0000-0000124B0000}"/>
    <cellStyle name="Normal 3 3 13 4" xfId="11497" xr:uid="{00000000-0005-0000-0000-0000134B0000}"/>
    <cellStyle name="Normal 3 3 13 4 10" xfId="11498" xr:uid="{00000000-0005-0000-0000-0000144B0000}"/>
    <cellStyle name="Normal 3 3 13 4 10 2" xfId="29029" xr:uid="{00000000-0005-0000-0000-0000154B0000}"/>
    <cellStyle name="Normal 3 3 13 4 11" xfId="11499" xr:uid="{00000000-0005-0000-0000-0000164B0000}"/>
    <cellStyle name="Normal 3 3 13 4 11 2" xfId="29030" xr:uid="{00000000-0005-0000-0000-0000174B0000}"/>
    <cellStyle name="Normal 3 3 13 4 12" xfId="11500" xr:uid="{00000000-0005-0000-0000-0000184B0000}"/>
    <cellStyle name="Normal 3 3 13 4 12 2" xfId="29031" xr:uid="{00000000-0005-0000-0000-0000194B0000}"/>
    <cellStyle name="Normal 3 3 13 4 13" xfId="11501" xr:uid="{00000000-0005-0000-0000-00001A4B0000}"/>
    <cellStyle name="Normal 3 3 13 4 13 2" xfId="29032" xr:uid="{00000000-0005-0000-0000-00001B4B0000}"/>
    <cellStyle name="Normal 3 3 13 4 14" xfId="11502" xr:uid="{00000000-0005-0000-0000-00001C4B0000}"/>
    <cellStyle name="Normal 3 3 13 4 14 2" xfId="29033" xr:uid="{00000000-0005-0000-0000-00001D4B0000}"/>
    <cellStyle name="Normal 3 3 13 4 15" xfId="11503" xr:uid="{00000000-0005-0000-0000-00001E4B0000}"/>
    <cellStyle name="Normal 3 3 13 4 15 2" xfId="29034" xr:uid="{00000000-0005-0000-0000-00001F4B0000}"/>
    <cellStyle name="Normal 3 3 13 4 16" xfId="29028" xr:uid="{00000000-0005-0000-0000-0000204B0000}"/>
    <cellStyle name="Normal 3 3 13 4 2" xfId="11504" xr:uid="{00000000-0005-0000-0000-0000214B0000}"/>
    <cellStyle name="Normal 3 3 13 4 2 10" xfId="11505" xr:uid="{00000000-0005-0000-0000-0000224B0000}"/>
    <cellStyle name="Normal 3 3 13 4 2 10 2" xfId="29036" xr:uid="{00000000-0005-0000-0000-0000234B0000}"/>
    <cellStyle name="Normal 3 3 13 4 2 11" xfId="11506" xr:uid="{00000000-0005-0000-0000-0000244B0000}"/>
    <cellStyle name="Normal 3 3 13 4 2 11 2" xfId="29037" xr:uid="{00000000-0005-0000-0000-0000254B0000}"/>
    <cellStyle name="Normal 3 3 13 4 2 12" xfId="11507" xr:uid="{00000000-0005-0000-0000-0000264B0000}"/>
    <cellStyle name="Normal 3 3 13 4 2 12 2" xfId="29038" xr:uid="{00000000-0005-0000-0000-0000274B0000}"/>
    <cellStyle name="Normal 3 3 13 4 2 13" xfId="11508" xr:uid="{00000000-0005-0000-0000-0000284B0000}"/>
    <cellStyle name="Normal 3 3 13 4 2 13 2" xfId="29039" xr:uid="{00000000-0005-0000-0000-0000294B0000}"/>
    <cellStyle name="Normal 3 3 13 4 2 14" xfId="11509" xr:uid="{00000000-0005-0000-0000-00002A4B0000}"/>
    <cellStyle name="Normal 3 3 13 4 2 14 2" xfId="29040" xr:uid="{00000000-0005-0000-0000-00002B4B0000}"/>
    <cellStyle name="Normal 3 3 13 4 2 15" xfId="29035" xr:uid="{00000000-0005-0000-0000-00002C4B0000}"/>
    <cellStyle name="Normal 3 3 13 4 2 2" xfId="11510" xr:uid="{00000000-0005-0000-0000-00002D4B0000}"/>
    <cellStyle name="Normal 3 3 13 4 2 2 2" xfId="29041" xr:uid="{00000000-0005-0000-0000-00002E4B0000}"/>
    <cellStyle name="Normal 3 3 13 4 2 3" xfId="11511" xr:uid="{00000000-0005-0000-0000-00002F4B0000}"/>
    <cellStyle name="Normal 3 3 13 4 2 3 2" xfId="29042" xr:uid="{00000000-0005-0000-0000-0000304B0000}"/>
    <cellStyle name="Normal 3 3 13 4 2 4" xfId="11512" xr:uid="{00000000-0005-0000-0000-0000314B0000}"/>
    <cellStyle name="Normal 3 3 13 4 2 4 2" xfId="29043" xr:uid="{00000000-0005-0000-0000-0000324B0000}"/>
    <cellStyle name="Normal 3 3 13 4 2 5" xfId="11513" xr:uid="{00000000-0005-0000-0000-0000334B0000}"/>
    <cellStyle name="Normal 3 3 13 4 2 5 2" xfId="29044" xr:uid="{00000000-0005-0000-0000-0000344B0000}"/>
    <cellStyle name="Normal 3 3 13 4 2 6" xfId="11514" xr:uid="{00000000-0005-0000-0000-0000354B0000}"/>
    <cellStyle name="Normal 3 3 13 4 2 6 2" xfId="29045" xr:uid="{00000000-0005-0000-0000-0000364B0000}"/>
    <cellStyle name="Normal 3 3 13 4 2 7" xfId="11515" xr:uid="{00000000-0005-0000-0000-0000374B0000}"/>
    <cellStyle name="Normal 3 3 13 4 2 7 2" xfId="29046" xr:uid="{00000000-0005-0000-0000-0000384B0000}"/>
    <cellStyle name="Normal 3 3 13 4 2 8" xfId="11516" xr:uid="{00000000-0005-0000-0000-0000394B0000}"/>
    <cellStyle name="Normal 3 3 13 4 2 8 2" xfId="29047" xr:uid="{00000000-0005-0000-0000-00003A4B0000}"/>
    <cellStyle name="Normal 3 3 13 4 2 9" xfId="11517" xr:uid="{00000000-0005-0000-0000-00003B4B0000}"/>
    <cellStyle name="Normal 3 3 13 4 2 9 2" xfId="29048" xr:uid="{00000000-0005-0000-0000-00003C4B0000}"/>
    <cellStyle name="Normal 3 3 13 4 3" xfId="11518" xr:uid="{00000000-0005-0000-0000-00003D4B0000}"/>
    <cellStyle name="Normal 3 3 13 4 3 2" xfId="29049" xr:uid="{00000000-0005-0000-0000-00003E4B0000}"/>
    <cellStyle name="Normal 3 3 13 4 4" xfId="11519" xr:uid="{00000000-0005-0000-0000-00003F4B0000}"/>
    <cellStyle name="Normal 3 3 13 4 4 2" xfId="29050" xr:uid="{00000000-0005-0000-0000-0000404B0000}"/>
    <cellStyle name="Normal 3 3 13 4 5" xfId="11520" xr:uid="{00000000-0005-0000-0000-0000414B0000}"/>
    <cellStyle name="Normal 3 3 13 4 5 2" xfId="29051" xr:uid="{00000000-0005-0000-0000-0000424B0000}"/>
    <cellStyle name="Normal 3 3 13 4 6" xfId="11521" xr:uid="{00000000-0005-0000-0000-0000434B0000}"/>
    <cellStyle name="Normal 3 3 13 4 6 2" xfId="29052" xr:uid="{00000000-0005-0000-0000-0000444B0000}"/>
    <cellStyle name="Normal 3 3 13 4 7" xfId="11522" xr:uid="{00000000-0005-0000-0000-0000454B0000}"/>
    <cellStyle name="Normal 3 3 13 4 7 2" xfId="29053" xr:uid="{00000000-0005-0000-0000-0000464B0000}"/>
    <cellStyle name="Normal 3 3 13 4 8" xfId="11523" xr:uid="{00000000-0005-0000-0000-0000474B0000}"/>
    <cellStyle name="Normal 3 3 13 4 8 2" xfId="29054" xr:uid="{00000000-0005-0000-0000-0000484B0000}"/>
    <cellStyle name="Normal 3 3 13 4 9" xfId="11524" xr:uid="{00000000-0005-0000-0000-0000494B0000}"/>
    <cellStyle name="Normal 3 3 13 4 9 2" xfId="29055" xr:uid="{00000000-0005-0000-0000-00004A4B0000}"/>
    <cellStyle name="Normal 3 3 13 5" xfId="11525" xr:uid="{00000000-0005-0000-0000-00004B4B0000}"/>
    <cellStyle name="Normal 3 3 13 5 10" xfId="11526" xr:uid="{00000000-0005-0000-0000-00004C4B0000}"/>
    <cellStyle name="Normal 3 3 13 5 10 2" xfId="29057" xr:uid="{00000000-0005-0000-0000-00004D4B0000}"/>
    <cellStyle name="Normal 3 3 13 5 11" xfId="11527" xr:uid="{00000000-0005-0000-0000-00004E4B0000}"/>
    <cellStyle name="Normal 3 3 13 5 11 2" xfId="29058" xr:uid="{00000000-0005-0000-0000-00004F4B0000}"/>
    <cellStyle name="Normal 3 3 13 5 12" xfId="11528" xr:uid="{00000000-0005-0000-0000-0000504B0000}"/>
    <cellStyle name="Normal 3 3 13 5 12 2" xfId="29059" xr:uid="{00000000-0005-0000-0000-0000514B0000}"/>
    <cellStyle name="Normal 3 3 13 5 13" xfId="11529" xr:uid="{00000000-0005-0000-0000-0000524B0000}"/>
    <cellStyle name="Normal 3 3 13 5 13 2" xfId="29060" xr:uid="{00000000-0005-0000-0000-0000534B0000}"/>
    <cellStyle name="Normal 3 3 13 5 14" xfId="11530" xr:uid="{00000000-0005-0000-0000-0000544B0000}"/>
    <cellStyle name="Normal 3 3 13 5 14 2" xfId="29061" xr:uid="{00000000-0005-0000-0000-0000554B0000}"/>
    <cellStyle name="Normal 3 3 13 5 15" xfId="29056" xr:uid="{00000000-0005-0000-0000-0000564B0000}"/>
    <cellStyle name="Normal 3 3 13 5 2" xfId="11531" xr:uid="{00000000-0005-0000-0000-0000574B0000}"/>
    <cellStyle name="Normal 3 3 13 5 2 2" xfId="29062" xr:uid="{00000000-0005-0000-0000-0000584B0000}"/>
    <cellStyle name="Normal 3 3 13 5 3" xfId="11532" xr:uid="{00000000-0005-0000-0000-0000594B0000}"/>
    <cellStyle name="Normal 3 3 13 5 3 2" xfId="29063" xr:uid="{00000000-0005-0000-0000-00005A4B0000}"/>
    <cellStyle name="Normal 3 3 13 5 4" xfId="11533" xr:uid="{00000000-0005-0000-0000-00005B4B0000}"/>
    <cellStyle name="Normal 3 3 13 5 4 2" xfId="29064" xr:uid="{00000000-0005-0000-0000-00005C4B0000}"/>
    <cellStyle name="Normal 3 3 13 5 5" xfId="11534" xr:uid="{00000000-0005-0000-0000-00005D4B0000}"/>
    <cellStyle name="Normal 3 3 13 5 5 2" xfId="29065" xr:uid="{00000000-0005-0000-0000-00005E4B0000}"/>
    <cellStyle name="Normal 3 3 13 5 6" xfId="11535" xr:uid="{00000000-0005-0000-0000-00005F4B0000}"/>
    <cellStyle name="Normal 3 3 13 5 6 2" xfId="29066" xr:uid="{00000000-0005-0000-0000-0000604B0000}"/>
    <cellStyle name="Normal 3 3 13 5 7" xfId="11536" xr:uid="{00000000-0005-0000-0000-0000614B0000}"/>
    <cellStyle name="Normal 3 3 13 5 7 2" xfId="29067" xr:uid="{00000000-0005-0000-0000-0000624B0000}"/>
    <cellStyle name="Normal 3 3 13 5 8" xfId="11537" xr:uid="{00000000-0005-0000-0000-0000634B0000}"/>
    <cellStyle name="Normal 3 3 13 5 8 2" xfId="29068" xr:uid="{00000000-0005-0000-0000-0000644B0000}"/>
    <cellStyle name="Normal 3 3 13 5 9" xfId="11538" xr:uid="{00000000-0005-0000-0000-0000654B0000}"/>
    <cellStyle name="Normal 3 3 13 5 9 2" xfId="29069" xr:uid="{00000000-0005-0000-0000-0000664B0000}"/>
    <cellStyle name="Normal 3 3 13 6" xfId="11539" xr:uid="{00000000-0005-0000-0000-0000674B0000}"/>
    <cellStyle name="Normal 3 3 13 6 10" xfId="11540" xr:uid="{00000000-0005-0000-0000-0000684B0000}"/>
    <cellStyle name="Normal 3 3 13 6 10 2" xfId="29071" xr:uid="{00000000-0005-0000-0000-0000694B0000}"/>
    <cellStyle name="Normal 3 3 13 6 11" xfId="11541" xr:uid="{00000000-0005-0000-0000-00006A4B0000}"/>
    <cellStyle name="Normal 3 3 13 6 11 2" xfId="29072" xr:uid="{00000000-0005-0000-0000-00006B4B0000}"/>
    <cellStyle name="Normal 3 3 13 6 12" xfId="11542" xr:uid="{00000000-0005-0000-0000-00006C4B0000}"/>
    <cellStyle name="Normal 3 3 13 6 12 2" xfId="29073" xr:uid="{00000000-0005-0000-0000-00006D4B0000}"/>
    <cellStyle name="Normal 3 3 13 6 13" xfId="11543" xr:uid="{00000000-0005-0000-0000-00006E4B0000}"/>
    <cellStyle name="Normal 3 3 13 6 13 2" xfId="29074" xr:uid="{00000000-0005-0000-0000-00006F4B0000}"/>
    <cellStyle name="Normal 3 3 13 6 14" xfId="11544" xr:uid="{00000000-0005-0000-0000-0000704B0000}"/>
    <cellStyle name="Normal 3 3 13 6 14 2" xfId="29075" xr:uid="{00000000-0005-0000-0000-0000714B0000}"/>
    <cellStyle name="Normal 3 3 13 6 15" xfId="29070" xr:uid="{00000000-0005-0000-0000-0000724B0000}"/>
    <cellStyle name="Normal 3 3 13 6 2" xfId="11545" xr:uid="{00000000-0005-0000-0000-0000734B0000}"/>
    <cellStyle name="Normal 3 3 13 6 2 2" xfId="29076" xr:uid="{00000000-0005-0000-0000-0000744B0000}"/>
    <cellStyle name="Normal 3 3 13 6 3" xfId="11546" xr:uid="{00000000-0005-0000-0000-0000754B0000}"/>
    <cellStyle name="Normal 3 3 13 6 3 2" xfId="29077" xr:uid="{00000000-0005-0000-0000-0000764B0000}"/>
    <cellStyle name="Normal 3 3 13 6 4" xfId="11547" xr:uid="{00000000-0005-0000-0000-0000774B0000}"/>
    <cellStyle name="Normal 3 3 13 6 4 2" xfId="29078" xr:uid="{00000000-0005-0000-0000-0000784B0000}"/>
    <cellStyle name="Normal 3 3 13 6 5" xfId="11548" xr:uid="{00000000-0005-0000-0000-0000794B0000}"/>
    <cellStyle name="Normal 3 3 13 6 5 2" xfId="29079" xr:uid="{00000000-0005-0000-0000-00007A4B0000}"/>
    <cellStyle name="Normal 3 3 13 6 6" xfId="11549" xr:uid="{00000000-0005-0000-0000-00007B4B0000}"/>
    <cellStyle name="Normal 3 3 13 6 6 2" xfId="29080" xr:uid="{00000000-0005-0000-0000-00007C4B0000}"/>
    <cellStyle name="Normal 3 3 13 6 7" xfId="11550" xr:uid="{00000000-0005-0000-0000-00007D4B0000}"/>
    <cellStyle name="Normal 3 3 13 6 7 2" xfId="29081" xr:uid="{00000000-0005-0000-0000-00007E4B0000}"/>
    <cellStyle name="Normal 3 3 13 6 8" xfId="11551" xr:uid="{00000000-0005-0000-0000-00007F4B0000}"/>
    <cellStyle name="Normal 3 3 13 6 8 2" xfId="29082" xr:uid="{00000000-0005-0000-0000-0000804B0000}"/>
    <cellStyle name="Normal 3 3 13 6 9" xfId="11552" xr:uid="{00000000-0005-0000-0000-0000814B0000}"/>
    <cellStyle name="Normal 3 3 13 6 9 2" xfId="29083" xr:uid="{00000000-0005-0000-0000-0000824B0000}"/>
    <cellStyle name="Normal 3 3 13 7" xfId="11553" xr:uid="{00000000-0005-0000-0000-0000834B0000}"/>
    <cellStyle name="Normal 3 3 13 7 10" xfId="11554" xr:uid="{00000000-0005-0000-0000-0000844B0000}"/>
    <cellStyle name="Normal 3 3 13 7 10 2" xfId="29085" xr:uid="{00000000-0005-0000-0000-0000854B0000}"/>
    <cellStyle name="Normal 3 3 13 7 11" xfId="11555" xr:uid="{00000000-0005-0000-0000-0000864B0000}"/>
    <cellStyle name="Normal 3 3 13 7 11 2" xfId="29086" xr:uid="{00000000-0005-0000-0000-0000874B0000}"/>
    <cellStyle name="Normal 3 3 13 7 12" xfId="11556" xr:uid="{00000000-0005-0000-0000-0000884B0000}"/>
    <cellStyle name="Normal 3 3 13 7 12 2" xfId="29087" xr:uid="{00000000-0005-0000-0000-0000894B0000}"/>
    <cellStyle name="Normal 3 3 13 7 13" xfId="11557" xr:uid="{00000000-0005-0000-0000-00008A4B0000}"/>
    <cellStyle name="Normal 3 3 13 7 13 2" xfId="29088" xr:uid="{00000000-0005-0000-0000-00008B4B0000}"/>
    <cellStyle name="Normal 3 3 13 7 14" xfId="11558" xr:uid="{00000000-0005-0000-0000-00008C4B0000}"/>
    <cellStyle name="Normal 3 3 13 7 14 2" xfId="29089" xr:uid="{00000000-0005-0000-0000-00008D4B0000}"/>
    <cellStyle name="Normal 3 3 13 7 15" xfId="29084" xr:uid="{00000000-0005-0000-0000-00008E4B0000}"/>
    <cellStyle name="Normal 3 3 13 7 2" xfId="11559" xr:uid="{00000000-0005-0000-0000-00008F4B0000}"/>
    <cellStyle name="Normal 3 3 13 7 2 2" xfId="29090" xr:uid="{00000000-0005-0000-0000-0000904B0000}"/>
    <cellStyle name="Normal 3 3 13 7 3" xfId="11560" xr:uid="{00000000-0005-0000-0000-0000914B0000}"/>
    <cellStyle name="Normal 3 3 13 7 3 2" xfId="29091" xr:uid="{00000000-0005-0000-0000-0000924B0000}"/>
    <cellStyle name="Normal 3 3 13 7 4" xfId="11561" xr:uid="{00000000-0005-0000-0000-0000934B0000}"/>
    <cellStyle name="Normal 3 3 13 7 4 2" xfId="29092" xr:uid="{00000000-0005-0000-0000-0000944B0000}"/>
    <cellStyle name="Normal 3 3 13 7 5" xfId="11562" xr:uid="{00000000-0005-0000-0000-0000954B0000}"/>
    <cellStyle name="Normal 3 3 13 7 5 2" xfId="29093" xr:uid="{00000000-0005-0000-0000-0000964B0000}"/>
    <cellStyle name="Normal 3 3 13 7 6" xfId="11563" xr:uid="{00000000-0005-0000-0000-0000974B0000}"/>
    <cellStyle name="Normal 3 3 13 7 6 2" xfId="29094" xr:uid="{00000000-0005-0000-0000-0000984B0000}"/>
    <cellStyle name="Normal 3 3 13 7 7" xfId="11564" xr:uid="{00000000-0005-0000-0000-0000994B0000}"/>
    <cellStyle name="Normal 3 3 13 7 7 2" xfId="29095" xr:uid="{00000000-0005-0000-0000-00009A4B0000}"/>
    <cellStyle name="Normal 3 3 13 7 8" xfId="11565" xr:uid="{00000000-0005-0000-0000-00009B4B0000}"/>
    <cellStyle name="Normal 3 3 13 7 8 2" xfId="29096" xr:uid="{00000000-0005-0000-0000-00009C4B0000}"/>
    <cellStyle name="Normal 3 3 13 7 9" xfId="11566" xr:uid="{00000000-0005-0000-0000-00009D4B0000}"/>
    <cellStyle name="Normal 3 3 13 7 9 2" xfId="29097" xr:uid="{00000000-0005-0000-0000-00009E4B0000}"/>
    <cellStyle name="Normal 3 3 13 8" xfId="11567" xr:uid="{00000000-0005-0000-0000-00009F4B0000}"/>
    <cellStyle name="Normal 3 3 13 8 10" xfId="11568" xr:uid="{00000000-0005-0000-0000-0000A04B0000}"/>
    <cellStyle name="Normal 3 3 13 8 10 2" xfId="29099" xr:uid="{00000000-0005-0000-0000-0000A14B0000}"/>
    <cellStyle name="Normal 3 3 13 8 11" xfId="11569" xr:uid="{00000000-0005-0000-0000-0000A24B0000}"/>
    <cellStyle name="Normal 3 3 13 8 11 2" xfId="29100" xr:uid="{00000000-0005-0000-0000-0000A34B0000}"/>
    <cellStyle name="Normal 3 3 13 8 12" xfId="11570" xr:uid="{00000000-0005-0000-0000-0000A44B0000}"/>
    <cellStyle name="Normal 3 3 13 8 12 2" xfId="29101" xr:uid="{00000000-0005-0000-0000-0000A54B0000}"/>
    <cellStyle name="Normal 3 3 13 8 13" xfId="11571" xr:uid="{00000000-0005-0000-0000-0000A64B0000}"/>
    <cellStyle name="Normal 3 3 13 8 13 2" xfId="29102" xr:uid="{00000000-0005-0000-0000-0000A74B0000}"/>
    <cellStyle name="Normal 3 3 13 8 14" xfId="11572" xr:uid="{00000000-0005-0000-0000-0000A84B0000}"/>
    <cellStyle name="Normal 3 3 13 8 14 2" xfId="29103" xr:uid="{00000000-0005-0000-0000-0000A94B0000}"/>
    <cellStyle name="Normal 3 3 13 8 15" xfId="29098" xr:uid="{00000000-0005-0000-0000-0000AA4B0000}"/>
    <cellStyle name="Normal 3 3 13 8 2" xfId="11573" xr:uid="{00000000-0005-0000-0000-0000AB4B0000}"/>
    <cellStyle name="Normal 3 3 13 8 2 2" xfId="29104" xr:uid="{00000000-0005-0000-0000-0000AC4B0000}"/>
    <cellStyle name="Normal 3 3 13 8 3" xfId="11574" xr:uid="{00000000-0005-0000-0000-0000AD4B0000}"/>
    <cellStyle name="Normal 3 3 13 8 3 2" xfId="29105" xr:uid="{00000000-0005-0000-0000-0000AE4B0000}"/>
    <cellStyle name="Normal 3 3 13 8 4" xfId="11575" xr:uid="{00000000-0005-0000-0000-0000AF4B0000}"/>
    <cellStyle name="Normal 3 3 13 8 4 2" xfId="29106" xr:uid="{00000000-0005-0000-0000-0000B04B0000}"/>
    <cellStyle name="Normal 3 3 13 8 5" xfId="11576" xr:uid="{00000000-0005-0000-0000-0000B14B0000}"/>
    <cellStyle name="Normal 3 3 13 8 5 2" xfId="29107" xr:uid="{00000000-0005-0000-0000-0000B24B0000}"/>
    <cellStyle name="Normal 3 3 13 8 6" xfId="11577" xr:uid="{00000000-0005-0000-0000-0000B34B0000}"/>
    <cellStyle name="Normal 3 3 13 8 6 2" xfId="29108" xr:uid="{00000000-0005-0000-0000-0000B44B0000}"/>
    <cellStyle name="Normal 3 3 13 8 7" xfId="11578" xr:uid="{00000000-0005-0000-0000-0000B54B0000}"/>
    <cellStyle name="Normal 3 3 13 8 7 2" xfId="29109" xr:uid="{00000000-0005-0000-0000-0000B64B0000}"/>
    <cellStyle name="Normal 3 3 13 8 8" xfId="11579" xr:uid="{00000000-0005-0000-0000-0000B74B0000}"/>
    <cellStyle name="Normal 3 3 13 8 8 2" xfId="29110" xr:uid="{00000000-0005-0000-0000-0000B84B0000}"/>
    <cellStyle name="Normal 3 3 13 8 9" xfId="11580" xr:uid="{00000000-0005-0000-0000-0000B94B0000}"/>
    <cellStyle name="Normal 3 3 13 8 9 2" xfId="29111" xr:uid="{00000000-0005-0000-0000-0000BA4B0000}"/>
    <cellStyle name="Normal 3 3 13 9" xfId="11581" xr:uid="{00000000-0005-0000-0000-0000BB4B0000}"/>
    <cellStyle name="Normal 3 3 13 9 10" xfId="11582" xr:uid="{00000000-0005-0000-0000-0000BC4B0000}"/>
    <cellStyle name="Normal 3 3 13 9 10 2" xfId="29113" xr:uid="{00000000-0005-0000-0000-0000BD4B0000}"/>
    <cellStyle name="Normal 3 3 13 9 11" xfId="11583" xr:uid="{00000000-0005-0000-0000-0000BE4B0000}"/>
    <cellStyle name="Normal 3 3 13 9 11 2" xfId="29114" xr:uid="{00000000-0005-0000-0000-0000BF4B0000}"/>
    <cellStyle name="Normal 3 3 13 9 12" xfId="11584" xr:uid="{00000000-0005-0000-0000-0000C04B0000}"/>
    <cellStyle name="Normal 3 3 13 9 12 2" xfId="29115" xr:uid="{00000000-0005-0000-0000-0000C14B0000}"/>
    <cellStyle name="Normal 3 3 13 9 13" xfId="11585" xr:uid="{00000000-0005-0000-0000-0000C24B0000}"/>
    <cellStyle name="Normal 3 3 13 9 13 2" xfId="29116" xr:uid="{00000000-0005-0000-0000-0000C34B0000}"/>
    <cellStyle name="Normal 3 3 13 9 14" xfId="11586" xr:uid="{00000000-0005-0000-0000-0000C44B0000}"/>
    <cellStyle name="Normal 3 3 13 9 14 2" xfId="29117" xr:uid="{00000000-0005-0000-0000-0000C54B0000}"/>
    <cellStyle name="Normal 3 3 13 9 15" xfId="29112" xr:uid="{00000000-0005-0000-0000-0000C64B0000}"/>
    <cellStyle name="Normal 3 3 13 9 2" xfId="11587" xr:uid="{00000000-0005-0000-0000-0000C74B0000}"/>
    <cellStyle name="Normal 3 3 13 9 2 2" xfId="29118" xr:uid="{00000000-0005-0000-0000-0000C84B0000}"/>
    <cellStyle name="Normal 3 3 13 9 3" xfId="11588" xr:uid="{00000000-0005-0000-0000-0000C94B0000}"/>
    <cellStyle name="Normal 3 3 13 9 3 2" xfId="29119" xr:uid="{00000000-0005-0000-0000-0000CA4B0000}"/>
    <cellStyle name="Normal 3 3 13 9 4" xfId="11589" xr:uid="{00000000-0005-0000-0000-0000CB4B0000}"/>
    <cellStyle name="Normal 3 3 13 9 4 2" xfId="29120" xr:uid="{00000000-0005-0000-0000-0000CC4B0000}"/>
    <cellStyle name="Normal 3 3 13 9 5" xfId="11590" xr:uid="{00000000-0005-0000-0000-0000CD4B0000}"/>
    <cellStyle name="Normal 3 3 13 9 5 2" xfId="29121" xr:uid="{00000000-0005-0000-0000-0000CE4B0000}"/>
    <cellStyle name="Normal 3 3 13 9 6" xfId="11591" xr:uid="{00000000-0005-0000-0000-0000CF4B0000}"/>
    <cellStyle name="Normal 3 3 13 9 6 2" xfId="29122" xr:uid="{00000000-0005-0000-0000-0000D04B0000}"/>
    <cellStyle name="Normal 3 3 13 9 7" xfId="11592" xr:uid="{00000000-0005-0000-0000-0000D14B0000}"/>
    <cellStyle name="Normal 3 3 13 9 7 2" xfId="29123" xr:uid="{00000000-0005-0000-0000-0000D24B0000}"/>
    <cellStyle name="Normal 3 3 13 9 8" xfId="11593" xr:uid="{00000000-0005-0000-0000-0000D34B0000}"/>
    <cellStyle name="Normal 3 3 13 9 8 2" xfId="29124" xr:uid="{00000000-0005-0000-0000-0000D44B0000}"/>
    <cellStyle name="Normal 3 3 13 9 9" xfId="11594" xr:uid="{00000000-0005-0000-0000-0000D54B0000}"/>
    <cellStyle name="Normal 3 3 13 9 9 2" xfId="29125" xr:uid="{00000000-0005-0000-0000-0000D64B0000}"/>
    <cellStyle name="Normal 3 3 14" xfId="11595" xr:uid="{00000000-0005-0000-0000-0000D74B0000}"/>
    <cellStyle name="Normal 3 3 14 10" xfId="11596" xr:uid="{00000000-0005-0000-0000-0000D84B0000}"/>
    <cellStyle name="Normal 3 3 14 10 10" xfId="11597" xr:uid="{00000000-0005-0000-0000-0000D94B0000}"/>
    <cellStyle name="Normal 3 3 14 10 10 2" xfId="29128" xr:uid="{00000000-0005-0000-0000-0000DA4B0000}"/>
    <cellStyle name="Normal 3 3 14 10 11" xfId="11598" xr:uid="{00000000-0005-0000-0000-0000DB4B0000}"/>
    <cellStyle name="Normal 3 3 14 10 11 2" xfId="29129" xr:uid="{00000000-0005-0000-0000-0000DC4B0000}"/>
    <cellStyle name="Normal 3 3 14 10 12" xfId="11599" xr:uid="{00000000-0005-0000-0000-0000DD4B0000}"/>
    <cellStyle name="Normal 3 3 14 10 12 2" xfId="29130" xr:uid="{00000000-0005-0000-0000-0000DE4B0000}"/>
    <cellStyle name="Normal 3 3 14 10 13" xfId="11600" xr:uid="{00000000-0005-0000-0000-0000DF4B0000}"/>
    <cellStyle name="Normal 3 3 14 10 13 2" xfId="29131" xr:uid="{00000000-0005-0000-0000-0000E04B0000}"/>
    <cellStyle name="Normal 3 3 14 10 14" xfId="11601" xr:uid="{00000000-0005-0000-0000-0000E14B0000}"/>
    <cellStyle name="Normal 3 3 14 10 14 2" xfId="29132" xr:uid="{00000000-0005-0000-0000-0000E24B0000}"/>
    <cellStyle name="Normal 3 3 14 10 15" xfId="29127" xr:uid="{00000000-0005-0000-0000-0000E34B0000}"/>
    <cellStyle name="Normal 3 3 14 10 2" xfId="11602" xr:uid="{00000000-0005-0000-0000-0000E44B0000}"/>
    <cellStyle name="Normal 3 3 14 10 2 2" xfId="29133" xr:uid="{00000000-0005-0000-0000-0000E54B0000}"/>
    <cellStyle name="Normal 3 3 14 10 3" xfId="11603" xr:uid="{00000000-0005-0000-0000-0000E64B0000}"/>
    <cellStyle name="Normal 3 3 14 10 3 2" xfId="29134" xr:uid="{00000000-0005-0000-0000-0000E74B0000}"/>
    <cellStyle name="Normal 3 3 14 10 4" xfId="11604" xr:uid="{00000000-0005-0000-0000-0000E84B0000}"/>
    <cellStyle name="Normal 3 3 14 10 4 2" xfId="29135" xr:uid="{00000000-0005-0000-0000-0000E94B0000}"/>
    <cellStyle name="Normal 3 3 14 10 5" xfId="11605" xr:uid="{00000000-0005-0000-0000-0000EA4B0000}"/>
    <cellStyle name="Normal 3 3 14 10 5 2" xfId="29136" xr:uid="{00000000-0005-0000-0000-0000EB4B0000}"/>
    <cellStyle name="Normal 3 3 14 10 6" xfId="11606" xr:uid="{00000000-0005-0000-0000-0000EC4B0000}"/>
    <cellStyle name="Normal 3 3 14 10 6 2" xfId="29137" xr:uid="{00000000-0005-0000-0000-0000ED4B0000}"/>
    <cellStyle name="Normal 3 3 14 10 7" xfId="11607" xr:uid="{00000000-0005-0000-0000-0000EE4B0000}"/>
    <cellStyle name="Normal 3 3 14 10 7 2" xfId="29138" xr:uid="{00000000-0005-0000-0000-0000EF4B0000}"/>
    <cellStyle name="Normal 3 3 14 10 8" xfId="11608" xr:uid="{00000000-0005-0000-0000-0000F04B0000}"/>
    <cellStyle name="Normal 3 3 14 10 8 2" xfId="29139" xr:uid="{00000000-0005-0000-0000-0000F14B0000}"/>
    <cellStyle name="Normal 3 3 14 10 9" xfId="11609" xr:uid="{00000000-0005-0000-0000-0000F24B0000}"/>
    <cellStyle name="Normal 3 3 14 10 9 2" xfId="29140" xr:uid="{00000000-0005-0000-0000-0000F34B0000}"/>
    <cellStyle name="Normal 3 3 14 11" xfId="11610" xr:uid="{00000000-0005-0000-0000-0000F44B0000}"/>
    <cellStyle name="Normal 3 3 14 11 2" xfId="29141" xr:uid="{00000000-0005-0000-0000-0000F54B0000}"/>
    <cellStyle name="Normal 3 3 14 12" xfId="11611" xr:uid="{00000000-0005-0000-0000-0000F64B0000}"/>
    <cellStyle name="Normal 3 3 14 12 2" xfId="29142" xr:uid="{00000000-0005-0000-0000-0000F74B0000}"/>
    <cellStyle name="Normal 3 3 14 13" xfId="11612" xr:uid="{00000000-0005-0000-0000-0000F84B0000}"/>
    <cellStyle name="Normal 3 3 14 13 2" xfId="29143" xr:uid="{00000000-0005-0000-0000-0000F94B0000}"/>
    <cellStyle name="Normal 3 3 14 14" xfId="11613" xr:uid="{00000000-0005-0000-0000-0000FA4B0000}"/>
    <cellStyle name="Normal 3 3 14 14 2" xfId="29144" xr:uid="{00000000-0005-0000-0000-0000FB4B0000}"/>
    <cellStyle name="Normal 3 3 14 15" xfId="11614" xr:uid="{00000000-0005-0000-0000-0000FC4B0000}"/>
    <cellStyle name="Normal 3 3 14 15 2" xfId="29145" xr:uid="{00000000-0005-0000-0000-0000FD4B0000}"/>
    <cellStyle name="Normal 3 3 14 16" xfId="11615" xr:uid="{00000000-0005-0000-0000-0000FE4B0000}"/>
    <cellStyle name="Normal 3 3 14 16 2" xfId="29146" xr:uid="{00000000-0005-0000-0000-0000FF4B0000}"/>
    <cellStyle name="Normal 3 3 14 17" xfId="11616" xr:uid="{00000000-0005-0000-0000-0000004C0000}"/>
    <cellStyle name="Normal 3 3 14 17 2" xfId="29147" xr:uid="{00000000-0005-0000-0000-0000014C0000}"/>
    <cellStyle name="Normal 3 3 14 18" xfId="11617" xr:uid="{00000000-0005-0000-0000-0000024C0000}"/>
    <cellStyle name="Normal 3 3 14 18 2" xfId="29148" xr:uid="{00000000-0005-0000-0000-0000034C0000}"/>
    <cellStyle name="Normal 3 3 14 19" xfId="11618" xr:uid="{00000000-0005-0000-0000-0000044C0000}"/>
    <cellStyle name="Normal 3 3 14 19 2" xfId="29149" xr:uid="{00000000-0005-0000-0000-0000054C0000}"/>
    <cellStyle name="Normal 3 3 14 2" xfId="11619" xr:uid="{00000000-0005-0000-0000-0000064C0000}"/>
    <cellStyle name="Normal 3 3 14 2 10" xfId="11620" xr:uid="{00000000-0005-0000-0000-0000074C0000}"/>
    <cellStyle name="Normal 3 3 14 2 10 2" xfId="29151" xr:uid="{00000000-0005-0000-0000-0000084C0000}"/>
    <cellStyle name="Normal 3 3 14 2 11" xfId="11621" xr:uid="{00000000-0005-0000-0000-0000094C0000}"/>
    <cellStyle name="Normal 3 3 14 2 11 2" xfId="29152" xr:uid="{00000000-0005-0000-0000-00000A4C0000}"/>
    <cellStyle name="Normal 3 3 14 2 12" xfId="11622" xr:uid="{00000000-0005-0000-0000-00000B4C0000}"/>
    <cellStyle name="Normal 3 3 14 2 12 2" xfId="29153" xr:uid="{00000000-0005-0000-0000-00000C4C0000}"/>
    <cellStyle name="Normal 3 3 14 2 13" xfId="11623" xr:uid="{00000000-0005-0000-0000-00000D4C0000}"/>
    <cellStyle name="Normal 3 3 14 2 13 2" xfId="29154" xr:uid="{00000000-0005-0000-0000-00000E4C0000}"/>
    <cellStyle name="Normal 3 3 14 2 14" xfId="11624" xr:uid="{00000000-0005-0000-0000-00000F4C0000}"/>
    <cellStyle name="Normal 3 3 14 2 14 2" xfId="29155" xr:uid="{00000000-0005-0000-0000-0000104C0000}"/>
    <cellStyle name="Normal 3 3 14 2 15" xfId="11625" xr:uid="{00000000-0005-0000-0000-0000114C0000}"/>
    <cellStyle name="Normal 3 3 14 2 15 2" xfId="29156" xr:uid="{00000000-0005-0000-0000-0000124C0000}"/>
    <cellStyle name="Normal 3 3 14 2 16" xfId="29150" xr:uid="{00000000-0005-0000-0000-0000134C0000}"/>
    <cellStyle name="Normal 3 3 14 2 2" xfId="11626" xr:uid="{00000000-0005-0000-0000-0000144C0000}"/>
    <cellStyle name="Normal 3 3 14 2 2 10" xfId="11627" xr:uid="{00000000-0005-0000-0000-0000154C0000}"/>
    <cellStyle name="Normal 3 3 14 2 2 10 2" xfId="29158" xr:uid="{00000000-0005-0000-0000-0000164C0000}"/>
    <cellStyle name="Normal 3 3 14 2 2 11" xfId="11628" xr:uid="{00000000-0005-0000-0000-0000174C0000}"/>
    <cellStyle name="Normal 3 3 14 2 2 11 2" xfId="29159" xr:uid="{00000000-0005-0000-0000-0000184C0000}"/>
    <cellStyle name="Normal 3 3 14 2 2 12" xfId="11629" xr:uid="{00000000-0005-0000-0000-0000194C0000}"/>
    <cellStyle name="Normal 3 3 14 2 2 12 2" xfId="29160" xr:uid="{00000000-0005-0000-0000-00001A4C0000}"/>
    <cellStyle name="Normal 3 3 14 2 2 13" xfId="11630" xr:uid="{00000000-0005-0000-0000-00001B4C0000}"/>
    <cellStyle name="Normal 3 3 14 2 2 13 2" xfId="29161" xr:uid="{00000000-0005-0000-0000-00001C4C0000}"/>
    <cellStyle name="Normal 3 3 14 2 2 14" xfId="11631" xr:uid="{00000000-0005-0000-0000-00001D4C0000}"/>
    <cellStyle name="Normal 3 3 14 2 2 14 2" xfId="29162" xr:uid="{00000000-0005-0000-0000-00001E4C0000}"/>
    <cellStyle name="Normal 3 3 14 2 2 15" xfId="29157" xr:uid="{00000000-0005-0000-0000-00001F4C0000}"/>
    <cellStyle name="Normal 3 3 14 2 2 2" xfId="11632" xr:uid="{00000000-0005-0000-0000-0000204C0000}"/>
    <cellStyle name="Normal 3 3 14 2 2 2 2" xfId="29163" xr:uid="{00000000-0005-0000-0000-0000214C0000}"/>
    <cellStyle name="Normal 3 3 14 2 2 3" xfId="11633" xr:uid="{00000000-0005-0000-0000-0000224C0000}"/>
    <cellStyle name="Normal 3 3 14 2 2 3 2" xfId="29164" xr:uid="{00000000-0005-0000-0000-0000234C0000}"/>
    <cellStyle name="Normal 3 3 14 2 2 4" xfId="11634" xr:uid="{00000000-0005-0000-0000-0000244C0000}"/>
    <cellStyle name="Normal 3 3 14 2 2 4 2" xfId="29165" xr:uid="{00000000-0005-0000-0000-0000254C0000}"/>
    <cellStyle name="Normal 3 3 14 2 2 5" xfId="11635" xr:uid="{00000000-0005-0000-0000-0000264C0000}"/>
    <cellStyle name="Normal 3 3 14 2 2 5 2" xfId="29166" xr:uid="{00000000-0005-0000-0000-0000274C0000}"/>
    <cellStyle name="Normal 3 3 14 2 2 6" xfId="11636" xr:uid="{00000000-0005-0000-0000-0000284C0000}"/>
    <cellStyle name="Normal 3 3 14 2 2 6 2" xfId="29167" xr:uid="{00000000-0005-0000-0000-0000294C0000}"/>
    <cellStyle name="Normal 3 3 14 2 2 7" xfId="11637" xr:uid="{00000000-0005-0000-0000-00002A4C0000}"/>
    <cellStyle name="Normal 3 3 14 2 2 7 2" xfId="29168" xr:uid="{00000000-0005-0000-0000-00002B4C0000}"/>
    <cellStyle name="Normal 3 3 14 2 2 8" xfId="11638" xr:uid="{00000000-0005-0000-0000-00002C4C0000}"/>
    <cellStyle name="Normal 3 3 14 2 2 8 2" xfId="29169" xr:uid="{00000000-0005-0000-0000-00002D4C0000}"/>
    <cellStyle name="Normal 3 3 14 2 2 9" xfId="11639" xr:uid="{00000000-0005-0000-0000-00002E4C0000}"/>
    <cellStyle name="Normal 3 3 14 2 2 9 2" xfId="29170" xr:uid="{00000000-0005-0000-0000-00002F4C0000}"/>
    <cellStyle name="Normal 3 3 14 2 3" xfId="11640" xr:uid="{00000000-0005-0000-0000-0000304C0000}"/>
    <cellStyle name="Normal 3 3 14 2 3 2" xfId="29171" xr:uid="{00000000-0005-0000-0000-0000314C0000}"/>
    <cellStyle name="Normal 3 3 14 2 4" xfId="11641" xr:uid="{00000000-0005-0000-0000-0000324C0000}"/>
    <cellStyle name="Normal 3 3 14 2 4 2" xfId="29172" xr:uid="{00000000-0005-0000-0000-0000334C0000}"/>
    <cellStyle name="Normal 3 3 14 2 5" xfId="11642" xr:uid="{00000000-0005-0000-0000-0000344C0000}"/>
    <cellStyle name="Normal 3 3 14 2 5 2" xfId="29173" xr:uid="{00000000-0005-0000-0000-0000354C0000}"/>
    <cellStyle name="Normal 3 3 14 2 6" xfId="11643" xr:uid="{00000000-0005-0000-0000-0000364C0000}"/>
    <cellStyle name="Normal 3 3 14 2 6 2" xfId="29174" xr:uid="{00000000-0005-0000-0000-0000374C0000}"/>
    <cellStyle name="Normal 3 3 14 2 7" xfId="11644" xr:uid="{00000000-0005-0000-0000-0000384C0000}"/>
    <cellStyle name="Normal 3 3 14 2 7 2" xfId="29175" xr:uid="{00000000-0005-0000-0000-0000394C0000}"/>
    <cellStyle name="Normal 3 3 14 2 8" xfId="11645" xr:uid="{00000000-0005-0000-0000-00003A4C0000}"/>
    <cellStyle name="Normal 3 3 14 2 8 2" xfId="29176" xr:uid="{00000000-0005-0000-0000-00003B4C0000}"/>
    <cellStyle name="Normal 3 3 14 2 9" xfId="11646" xr:uid="{00000000-0005-0000-0000-00003C4C0000}"/>
    <cellStyle name="Normal 3 3 14 2 9 2" xfId="29177" xr:uid="{00000000-0005-0000-0000-00003D4C0000}"/>
    <cellStyle name="Normal 3 3 14 20" xfId="11647" xr:uid="{00000000-0005-0000-0000-00003E4C0000}"/>
    <cellStyle name="Normal 3 3 14 20 2" xfId="29178" xr:uid="{00000000-0005-0000-0000-00003F4C0000}"/>
    <cellStyle name="Normal 3 3 14 21" xfId="11648" xr:uid="{00000000-0005-0000-0000-0000404C0000}"/>
    <cellStyle name="Normal 3 3 14 21 2" xfId="29179" xr:uid="{00000000-0005-0000-0000-0000414C0000}"/>
    <cellStyle name="Normal 3 3 14 22" xfId="11649" xr:uid="{00000000-0005-0000-0000-0000424C0000}"/>
    <cellStyle name="Normal 3 3 14 22 2" xfId="29180" xr:uid="{00000000-0005-0000-0000-0000434C0000}"/>
    <cellStyle name="Normal 3 3 14 23" xfId="11650" xr:uid="{00000000-0005-0000-0000-0000444C0000}"/>
    <cellStyle name="Normal 3 3 14 23 2" xfId="29181" xr:uid="{00000000-0005-0000-0000-0000454C0000}"/>
    <cellStyle name="Normal 3 3 14 24" xfId="29126" xr:uid="{00000000-0005-0000-0000-0000464C0000}"/>
    <cellStyle name="Normal 3 3 14 3" xfId="11651" xr:uid="{00000000-0005-0000-0000-0000474C0000}"/>
    <cellStyle name="Normal 3 3 14 3 10" xfId="11652" xr:uid="{00000000-0005-0000-0000-0000484C0000}"/>
    <cellStyle name="Normal 3 3 14 3 10 2" xfId="29183" xr:uid="{00000000-0005-0000-0000-0000494C0000}"/>
    <cellStyle name="Normal 3 3 14 3 11" xfId="11653" xr:uid="{00000000-0005-0000-0000-00004A4C0000}"/>
    <cellStyle name="Normal 3 3 14 3 11 2" xfId="29184" xr:uid="{00000000-0005-0000-0000-00004B4C0000}"/>
    <cellStyle name="Normal 3 3 14 3 12" xfId="11654" xr:uid="{00000000-0005-0000-0000-00004C4C0000}"/>
    <cellStyle name="Normal 3 3 14 3 12 2" xfId="29185" xr:uid="{00000000-0005-0000-0000-00004D4C0000}"/>
    <cellStyle name="Normal 3 3 14 3 13" xfId="11655" xr:uid="{00000000-0005-0000-0000-00004E4C0000}"/>
    <cellStyle name="Normal 3 3 14 3 13 2" xfId="29186" xr:uid="{00000000-0005-0000-0000-00004F4C0000}"/>
    <cellStyle name="Normal 3 3 14 3 14" xfId="11656" xr:uid="{00000000-0005-0000-0000-0000504C0000}"/>
    <cellStyle name="Normal 3 3 14 3 14 2" xfId="29187" xr:uid="{00000000-0005-0000-0000-0000514C0000}"/>
    <cellStyle name="Normal 3 3 14 3 15" xfId="11657" xr:uid="{00000000-0005-0000-0000-0000524C0000}"/>
    <cellStyle name="Normal 3 3 14 3 15 2" xfId="29188" xr:uid="{00000000-0005-0000-0000-0000534C0000}"/>
    <cellStyle name="Normal 3 3 14 3 16" xfId="29182" xr:uid="{00000000-0005-0000-0000-0000544C0000}"/>
    <cellStyle name="Normal 3 3 14 3 2" xfId="11658" xr:uid="{00000000-0005-0000-0000-0000554C0000}"/>
    <cellStyle name="Normal 3 3 14 3 2 10" xfId="11659" xr:uid="{00000000-0005-0000-0000-0000564C0000}"/>
    <cellStyle name="Normal 3 3 14 3 2 10 2" xfId="29190" xr:uid="{00000000-0005-0000-0000-0000574C0000}"/>
    <cellStyle name="Normal 3 3 14 3 2 11" xfId="11660" xr:uid="{00000000-0005-0000-0000-0000584C0000}"/>
    <cellStyle name="Normal 3 3 14 3 2 11 2" xfId="29191" xr:uid="{00000000-0005-0000-0000-0000594C0000}"/>
    <cellStyle name="Normal 3 3 14 3 2 12" xfId="11661" xr:uid="{00000000-0005-0000-0000-00005A4C0000}"/>
    <cellStyle name="Normal 3 3 14 3 2 12 2" xfId="29192" xr:uid="{00000000-0005-0000-0000-00005B4C0000}"/>
    <cellStyle name="Normal 3 3 14 3 2 13" xfId="11662" xr:uid="{00000000-0005-0000-0000-00005C4C0000}"/>
    <cellStyle name="Normal 3 3 14 3 2 13 2" xfId="29193" xr:uid="{00000000-0005-0000-0000-00005D4C0000}"/>
    <cellStyle name="Normal 3 3 14 3 2 14" xfId="11663" xr:uid="{00000000-0005-0000-0000-00005E4C0000}"/>
    <cellStyle name="Normal 3 3 14 3 2 14 2" xfId="29194" xr:uid="{00000000-0005-0000-0000-00005F4C0000}"/>
    <cellStyle name="Normal 3 3 14 3 2 15" xfId="29189" xr:uid="{00000000-0005-0000-0000-0000604C0000}"/>
    <cellStyle name="Normal 3 3 14 3 2 2" xfId="11664" xr:uid="{00000000-0005-0000-0000-0000614C0000}"/>
    <cellStyle name="Normal 3 3 14 3 2 2 2" xfId="29195" xr:uid="{00000000-0005-0000-0000-0000624C0000}"/>
    <cellStyle name="Normal 3 3 14 3 2 3" xfId="11665" xr:uid="{00000000-0005-0000-0000-0000634C0000}"/>
    <cellStyle name="Normal 3 3 14 3 2 3 2" xfId="29196" xr:uid="{00000000-0005-0000-0000-0000644C0000}"/>
    <cellStyle name="Normal 3 3 14 3 2 4" xfId="11666" xr:uid="{00000000-0005-0000-0000-0000654C0000}"/>
    <cellStyle name="Normal 3 3 14 3 2 4 2" xfId="29197" xr:uid="{00000000-0005-0000-0000-0000664C0000}"/>
    <cellStyle name="Normal 3 3 14 3 2 5" xfId="11667" xr:uid="{00000000-0005-0000-0000-0000674C0000}"/>
    <cellStyle name="Normal 3 3 14 3 2 5 2" xfId="29198" xr:uid="{00000000-0005-0000-0000-0000684C0000}"/>
    <cellStyle name="Normal 3 3 14 3 2 6" xfId="11668" xr:uid="{00000000-0005-0000-0000-0000694C0000}"/>
    <cellStyle name="Normal 3 3 14 3 2 6 2" xfId="29199" xr:uid="{00000000-0005-0000-0000-00006A4C0000}"/>
    <cellStyle name="Normal 3 3 14 3 2 7" xfId="11669" xr:uid="{00000000-0005-0000-0000-00006B4C0000}"/>
    <cellStyle name="Normal 3 3 14 3 2 7 2" xfId="29200" xr:uid="{00000000-0005-0000-0000-00006C4C0000}"/>
    <cellStyle name="Normal 3 3 14 3 2 8" xfId="11670" xr:uid="{00000000-0005-0000-0000-00006D4C0000}"/>
    <cellStyle name="Normal 3 3 14 3 2 8 2" xfId="29201" xr:uid="{00000000-0005-0000-0000-00006E4C0000}"/>
    <cellStyle name="Normal 3 3 14 3 2 9" xfId="11671" xr:uid="{00000000-0005-0000-0000-00006F4C0000}"/>
    <cellStyle name="Normal 3 3 14 3 2 9 2" xfId="29202" xr:uid="{00000000-0005-0000-0000-0000704C0000}"/>
    <cellStyle name="Normal 3 3 14 3 3" xfId="11672" xr:uid="{00000000-0005-0000-0000-0000714C0000}"/>
    <cellStyle name="Normal 3 3 14 3 3 2" xfId="29203" xr:uid="{00000000-0005-0000-0000-0000724C0000}"/>
    <cellStyle name="Normal 3 3 14 3 4" xfId="11673" xr:uid="{00000000-0005-0000-0000-0000734C0000}"/>
    <cellStyle name="Normal 3 3 14 3 4 2" xfId="29204" xr:uid="{00000000-0005-0000-0000-0000744C0000}"/>
    <cellStyle name="Normal 3 3 14 3 5" xfId="11674" xr:uid="{00000000-0005-0000-0000-0000754C0000}"/>
    <cellStyle name="Normal 3 3 14 3 5 2" xfId="29205" xr:uid="{00000000-0005-0000-0000-0000764C0000}"/>
    <cellStyle name="Normal 3 3 14 3 6" xfId="11675" xr:uid="{00000000-0005-0000-0000-0000774C0000}"/>
    <cellStyle name="Normal 3 3 14 3 6 2" xfId="29206" xr:uid="{00000000-0005-0000-0000-0000784C0000}"/>
    <cellStyle name="Normal 3 3 14 3 7" xfId="11676" xr:uid="{00000000-0005-0000-0000-0000794C0000}"/>
    <cellStyle name="Normal 3 3 14 3 7 2" xfId="29207" xr:uid="{00000000-0005-0000-0000-00007A4C0000}"/>
    <cellStyle name="Normal 3 3 14 3 8" xfId="11677" xr:uid="{00000000-0005-0000-0000-00007B4C0000}"/>
    <cellStyle name="Normal 3 3 14 3 8 2" xfId="29208" xr:uid="{00000000-0005-0000-0000-00007C4C0000}"/>
    <cellStyle name="Normal 3 3 14 3 9" xfId="11678" xr:uid="{00000000-0005-0000-0000-00007D4C0000}"/>
    <cellStyle name="Normal 3 3 14 3 9 2" xfId="29209" xr:uid="{00000000-0005-0000-0000-00007E4C0000}"/>
    <cellStyle name="Normal 3 3 14 4" xfId="11679" xr:uid="{00000000-0005-0000-0000-00007F4C0000}"/>
    <cellStyle name="Normal 3 3 14 4 10" xfId="11680" xr:uid="{00000000-0005-0000-0000-0000804C0000}"/>
    <cellStyle name="Normal 3 3 14 4 10 2" xfId="29211" xr:uid="{00000000-0005-0000-0000-0000814C0000}"/>
    <cellStyle name="Normal 3 3 14 4 11" xfId="11681" xr:uid="{00000000-0005-0000-0000-0000824C0000}"/>
    <cellStyle name="Normal 3 3 14 4 11 2" xfId="29212" xr:uid="{00000000-0005-0000-0000-0000834C0000}"/>
    <cellStyle name="Normal 3 3 14 4 12" xfId="11682" xr:uid="{00000000-0005-0000-0000-0000844C0000}"/>
    <cellStyle name="Normal 3 3 14 4 12 2" xfId="29213" xr:uid="{00000000-0005-0000-0000-0000854C0000}"/>
    <cellStyle name="Normal 3 3 14 4 13" xfId="11683" xr:uid="{00000000-0005-0000-0000-0000864C0000}"/>
    <cellStyle name="Normal 3 3 14 4 13 2" xfId="29214" xr:uid="{00000000-0005-0000-0000-0000874C0000}"/>
    <cellStyle name="Normal 3 3 14 4 14" xfId="11684" xr:uid="{00000000-0005-0000-0000-0000884C0000}"/>
    <cellStyle name="Normal 3 3 14 4 14 2" xfId="29215" xr:uid="{00000000-0005-0000-0000-0000894C0000}"/>
    <cellStyle name="Normal 3 3 14 4 15" xfId="11685" xr:uid="{00000000-0005-0000-0000-00008A4C0000}"/>
    <cellStyle name="Normal 3 3 14 4 15 2" xfId="29216" xr:uid="{00000000-0005-0000-0000-00008B4C0000}"/>
    <cellStyle name="Normal 3 3 14 4 16" xfId="29210" xr:uid="{00000000-0005-0000-0000-00008C4C0000}"/>
    <cellStyle name="Normal 3 3 14 4 2" xfId="11686" xr:uid="{00000000-0005-0000-0000-00008D4C0000}"/>
    <cellStyle name="Normal 3 3 14 4 2 10" xfId="11687" xr:uid="{00000000-0005-0000-0000-00008E4C0000}"/>
    <cellStyle name="Normal 3 3 14 4 2 10 2" xfId="29218" xr:uid="{00000000-0005-0000-0000-00008F4C0000}"/>
    <cellStyle name="Normal 3 3 14 4 2 11" xfId="11688" xr:uid="{00000000-0005-0000-0000-0000904C0000}"/>
    <cellStyle name="Normal 3 3 14 4 2 11 2" xfId="29219" xr:uid="{00000000-0005-0000-0000-0000914C0000}"/>
    <cellStyle name="Normal 3 3 14 4 2 12" xfId="11689" xr:uid="{00000000-0005-0000-0000-0000924C0000}"/>
    <cellStyle name="Normal 3 3 14 4 2 12 2" xfId="29220" xr:uid="{00000000-0005-0000-0000-0000934C0000}"/>
    <cellStyle name="Normal 3 3 14 4 2 13" xfId="11690" xr:uid="{00000000-0005-0000-0000-0000944C0000}"/>
    <cellStyle name="Normal 3 3 14 4 2 13 2" xfId="29221" xr:uid="{00000000-0005-0000-0000-0000954C0000}"/>
    <cellStyle name="Normal 3 3 14 4 2 14" xfId="11691" xr:uid="{00000000-0005-0000-0000-0000964C0000}"/>
    <cellStyle name="Normal 3 3 14 4 2 14 2" xfId="29222" xr:uid="{00000000-0005-0000-0000-0000974C0000}"/>
    <cellStyle name="Normal 3 3 14 4 2 15" xfId="29217" xr:uid="{00000000-0005-0000-0000-0000984C0000}"/>
    <cellStyle name="Normal 3 3 14 4 2 2" xfId="11692" xr:uid="{00000000-0005-0000-0000-0000994C0000}"/>
    <cellStyle name="Normal 3 3 14 4 2 2 2" xfId="29223" xr:uid="{00000000-0005-0000-0000-00009A4C0000}"/>
    <cellStyle name="Normal 3 3 14 4 2 3" xfId="11693" xr:uid="{00000000-0005-0000-0000-00009B4C0000}"/>
    <cellStyle name="Normal 3 3 14 4 2 3 2" xfId="29224" xr:uid="{00000000-0005-0000-0000-00009C4C0000}"/>
    <cellStyle name="Normal 3 3 14 4 2 4" xfId="11694" xr:uid="{00000000-0005-0000-0000-00009D4C0000}"/>
    <cellStyle name="Normal 3 3 14 4 2 4 2" xfId="29225" xr:uid="{00000000-0005-0000-0000-00009E4C0000}"/>
    <cellStyle name="Normal 3 3 14 4 2 5" xfId="11695" xr:uid="{00000000-0005-0000-0000-00009F4C0000}"/>
    <cellStyle name="Normal 3 3 14 4 2 5 2" xfId="29226" xr:uid="{00000000-0005-0000-0000-0000A04C0000}"/>
    <cellStyle name="Normal 3 3 14 4 2 6" xfId="11696" xr:uid="{00000000-0005-0000-0000-0000A14C0000}"/>
    <cellStyle name="Normal 3 3 14 4 2 6 2" xfId="29227" xr:uid="{00000000-0005-0000-0000-0000A24C0000}"/>
    <cellStyle name="Normal 3 3 14 4 2 7" xfId="11697" xr:uid="{00000000-0005-0000-0000-0000A34C0000}"/>
    <cellStyle name="Normal 3 3 14 4 2 7 2" xfId="29228" xr:uid="{00000000-0005-0000-0000-0000A44C0000}"/>
    <cellStyle name="Normal 3 3 14 4 2 8" xfId="11698" xr:uid="{00000000-0005-0000-0000-0000A54C0000}"/>
    <cellStyle name="Normal 3 3 14 4 2 8 2" xfId="29229" xr:uid="{00000000-0005-0000-0000-0000A64C0000}"/>
    <cellStyle name="Normal 3 3 14 4 2 9" xfId="11699" xr:uid="{00000000-0005-0000-0000-0000A74C0000}"/>
    <cellStyle name="Normal 3 3 14 4 2 9 2" xfId="29230" xr:uid="{00000000-0005-0000-0000-0000A84C0000}"/>
    <cellStyle name="Normal 3 3 14 4 3" xfId="11700" xr:uid="{00000000-0005-0000-0000-0000A94C0000}"/>
    <cellStyle name="Normal 3 3 14 4 3 2" xfId="29231" xr:uid="{00000000-0005-0000-0000-0000AA4C0000}"/>
    <cellStyle name="Normal 3 3 14 4 4" xfId="11701" xr:uid="{00000000-0005-0000-0000-0000AB4C0000}"/>
    <cellStyle name="Normal 3 3 14 4 4 2" xfId="29232" xr:uid="{00000000-0005-0000-0000-0000AC4C0000}"/>
    <cellStyle name="Normal 3 3 14 4 5" xfId="11702" xr:uid="{00000000-0005-0000-0000-0000AD4C0000}"/>
    <cellStyle name="Normal 3 3 14 4 5 2" xfId="29233" xr:uid="{00000000-0005-0000-0000-0000AE4C0000}"/>
    <cellStyle name="Normal 3 3 14 4 6" xfId="11703" xr:uid="{00000000-0005-0000-0000-0000AF4C0000}"/>
    <cellStyle name="Normal 3 3 14 4 6 2" xfId="29234" xr:uid="{00000000-0005-0000-0000-0000B04C0000}"/>
    <cellStyle name="Normal 3 3 14 4 7" xfId="11704" xr:uid="{00000000-0005-0000-0000-0000B14C0000}"/>
    <cellStyle name="Normal 3 3 14 4 7 2" xfId="29235" xr:uid="{00000000-0005-0000-0000-0000B24C0000}"/>
    <cellStyle name="Normal 3 3 14 4 8" xfId="11705" xr:uid="{00000000-0005-0000-0000-0000B34C0000}"/>
    <cellStyle name="Normal 3 3 14 4 8 2" xfId="29236" xr:uid="{00000000-0005-0000-0000-0000B44C0000}"/>
    <cellStyle name="Normal 3 3 14 4 9" xfId="11706" xr:uid="{00000000-0005-0000-0000-0000B54C0000}"/>
    <cellStyle name="Normal 3 3 14 4 9 2" xfId="29237" xr:uid="{00000000-0005-0000-0000-0000B64C0000}"/>
    <cellStyle name="Normal 3 3 14 5" xfId="11707" xr:uid="{00000000-0005-0000-0000-0000B74C0000}"/>
    <cellStyle name="Normal 3 3 14 5 10" xfId="11708" xr:uid="{00000000-0005-0000-0000-0000B84C0000}"/>
    <cellStyle name="Normal 3 3 14 5 10 2" xfId="29239" xr:uid="{00000000-0005-0000-0000-0000B94C0000}"/>
    <cellStyle name="Normal 3 3 14 5 11" xfId="11709" xr:uid="{00000000-0005-0000-0000-0000BA4C0000}"/>
    <cellStyle name="Normal 3 3 14 5 11 2" xfId="29240" xr:uid="{00000000-0005-0000-0000-0000BB4C0000}"/>
    <cellStyle name="Normal 3 3 14 5 12" xfId="11710" xr:uid="{00000000-0005-0000-0000-0000BC4C0000}"/>
    <cellStyle name="Normal 3 3 14 5 12 2" xfId="29241" xr:uid="{00000000-0005-0000-0000-0000BD4C0000}"/>
    <cellStyle name="Normal 3 3 14 5 13" xfId="11711" xr:uid="{00000000-0005-0000-0000-0000BE4C0000}"/>
    <cellStyle name="Normal 3 3 14 5 13 2" xfId="29242" xr:uid="{00000000-0005-0000-0000-0000BF4C0000}"/>
    <cellStyle name="Normal 3 3 14 5 14" xfId="11712" xr:uid="{00000000-0005-0000-0000-0000C04C0000}"/>
    <cellStyle name="Normal 3 3 14 5 14 2" xfId="29243" xr:uid="{00000000-0005-0000-0000-0000C14C0000}"/>
    <cellStyle name="Normal 3 3 14 5 15" xfId="29238" xr:uid="{00000000-0005-0000-0000-0000C24C0000}"/>
    <cellStyle name="Normal 3 3 14 5 2" xfId="11713" xr:uid="{00000000-0005-0000-0000-0000C34C0000}"/>
    <cellStyle name="Normal 3 3 14 5 2 2" xfId="29244" xr:uid="{00000000-0005-0000-0000-0000C44C0000}"/>
    <cellStyle name="Normal 3 3 14 5 3" xfId="11714" xr:uid="{00000000-0005-0000-0000-0000C54C0000}"/>
    <cellStyle name="Normal 3 3 14 5 3 2" xfId="29245" xr:uid="{00000000-0005-0000-0000-0000C64C0000}"/>
    <cellStyle name="Normal 3 3 14 5 4" xfId="11715" xr:uid="{00000000-0005-0000-0000-0000C74C0000}"/>
    <cellStyle name="Normal 3 3 14 5 4 2" xfId="29246" xr:uid="{00000000-0005-0000-0000-0000C84C0000}"/>
    <cellStyle name="Normal 3 3 14 5 5" xfId="11716" xr:uid="{00000000-0005-0000-0000-0000C94C0000}"/>
    <cellStyle name="Normal 3 3 14 5 5 2" xfId="29247" xr:uid="{00000000-0005-0000-0000-0000CA4C0000}"/>
    <cellStyle name="Normal 3 3 14 5 6" xfId="11717" xr:uid="{00000000-0005-0000-0000-0000CB4C0000}"/>
    <cellStyle name="Normal 3 3 14 5 6 2" xfId="29248" xr:uid="{00000000-0005-0000-0000-0000CC4C0000}"/>
    <cellStyle name="Normal 3 3 14 5 7" xfId="11718" xr:uid="{00000000-0005-0000-0000-0000CD4C0000}"/>
    <cellStyle name="Normal 3 3 14 5 7 2" xfId="29249" xr:uid="{00000000-0005-0000-0000-0000CE4C0000}"/>
    <cellStyle name="Normal 3 3 14 5 8" xfId="11719" xr:uid="{00000000-0005-0000-0000-0000CF4C0000}"/>
    <cellStyle name="Normal 3 3 14 5 8 2" xfId="29250" xr:uid="{00000000-0005-0000-0000-0000D04C0000}"/>
    <cellStyle name="Normal 3 3 14 5 9" xfId="11720" xr:uid="{00000000-0005-0000-0000-0000D14C0000}"/>
    <cellStyle name="Normal 3 3 14 5 9 2" xfId="29251" xr:uid="{00000000-0005-0000-0000-0000D24C0000}"/>
    <cellStyle name="Normal 3 3 14 6" xfId="11721" xr:uid="{00000000-0005-0000-0000-0000D34C0000}"/>
    <cellStyle name="Normal 3 3 14 6 10" xfId="11722" xr:uid="{00000000-0005-0000-0000-0000D44C0000}"/>
    <cellStyle name="Normal 3 3 14 6 10 2" xfId="29253" xr:uid="{00000000-0005-0000-0000-0000D54C0000}"/>
    <cellStyle name="Normal 3 3 14 6 11" xfId="11723" xr:uid="{00000000-0005-0000-0000-0000D64C0000}"/>
    <cellStyle name="Normal 3 3 14 6 11 2" xfId="29254" xr:uid="{00000000-0005-0000-0000-0000D74C0000}"/>
    <cellStyle name="Normal 3 3 14 6 12" xfId="11724" xr:uid="{00000000-0005-0000-0000-0000D84C0000}"/>
    <cellStyle name="Normal 3 3 14 6 12 2" xfId="29255" xr:uid="{00000000-0005-0000-0000-0000D94C0000}"/>
    <cellStyle name="Normal 3 3 14 6 13" xfId="11725" xr:uid="{00000000-0005-0000-0000-0000DA4C0000}"/>
    <cellStyle name="Normal 3 3 14 6 13 2" xfId="29256" xr:uid="{00000000-0005-0000-0000-0000DB4C0000}"/>
    <cellStyle name="Normal 3 3 14 6 14" xfId="11726" xr:uid="{00000000-0005-0000-0000-0000DC4C0000}"/>
    <cellStyle name="Normal 3 3 14 6 14 2" xfId="29257" xr:uid="{00000000-0005-0000-0000-0000DD4C0000}"/>
    <cellStyle name="Normal 3 3 14 6 15" xfId="29252" xr:uid="{00000000-0005-0000-0000-0000DE4C0000}"/>
    <cellStyle name="Normal 3 3 14 6 2" xfId="11727" xr:uid="{00000000-0005-0000-0000-0000DF4C0000}"/>
    <cellStyle name="Normal 3 3 14 6 2 2" xfId="29258" xr:uid="{00000000-0005-0000-0000-0000E04C0000}"/>
    <cellStyle name="Normal 3 3 14 6 3" xfId="11728" xr:uid="{00000000-0005-0000-0000-0000E14C0000}"/>
    <cellStyle name="Normal 3 3 14 6 3 2" xfId="29259" xr:uid="{00000000-0005-0000-0000-0000E24C0000}"/>
    <cellStyle name="Normal 3 3 14 6 4" xfId="11729" xr:uid="{00000000-0005-0000-0000-0000E34C0000}"/>
    <cellStyle name="Normal 3 3 14 6 4 2" xfId="29260" xr:uid="{00000000-0005-0000-0000-0000E44C0000}"/>
    <cellStyle name="Normal 3 3 14 6 5" xfId="11730" xr:uid="{00000000-0005-0000-0000-0000E54C0000}"/>
    <cellStyle name="Normal 3 3 14 6 5 2" xfId="29261" xr:uid="{00000000-0005-0000-0000-0000E64C0000}"/>
    <cellStyle name="Normal 3 3 14 6 6" xfId="11731" xr:uid="{00000000-0005-0000-0000-0000E74C0000}"/>
    <cellStyle name="Normal 3 3 14 6 6 2" xfId="29262" xr:uid="{00000000-0005-0000-0000-0000E84C0000}"/>
    <cellStyle name="Normal 3 3 14 6 7" xfId="11732" xr:uid="{00000000-0005-0000-0000-0000E94C0000}"/>
    <cellStyle name="Normal 3 3 14 6 7 2" xfId="29263" xr:uid="{00000000-0005-0000-0000-0000EA4C0000}"/>
    <cellStyle name="Normal 3 3 14 6 8" xfId="11733" xr:uid="{00000000-0005-0000-0000-0000EB4C0000}"/>
    <cellStyle name="Normal 3 3 14 6 8 2" xfId="29264" xr:uid="{00000000-0005-0000-0000-0000EC4C0000}"/>
    <cellStyle name="Normal 3 3 14 6 9" xfId="11734" xr:uid="{00000000-0005-0000-0000-0000ED4C0000}"/>
    <cellStyle name="Normal 3 3 14 6 9 2" xfId="29265" xr:uid="{00000000-0005-0000-0000-0000EE4C0000}"/>
    <cellStyle name="Normal 3 3 14 7" xfId="11735" xr:uid="{00000000-0005-0000-0000-0000EF4C0000}"/>
    <cellStyle name="Normal 3 3 14 7 10" xfId="11736" xr:uid="{00000000-0005-0000-0000-0000F04C0000}"/>
    <cellStyle name="Normal 3 3 14 7 10 2" xfId="29267" xr:uid="{00000000-0005-0000-0000-0000F14C0000}"/>
    <cellStyle name="Normal 3 3 14 7 11" xfId="11737" xr:uid="{00000000-0005-0000-0000-0000F24C0000}"/>
    <cellStyle name="Normal 3 3 14 7 11 2" xfId="29268" xr:uid="{00000000-0005-0000-0000-0000F34C0000}"/>
    <cellStyle name="Normal 3 3 14 7 12" xfId="11738" xr:uid="{00000000-0005-0000-0000-0000F44C0000}"/>
    <cellStyle name="Normal 3 3 14 7 12 2" xfId="29269" xr:uid="{00000000-0005-0000-0000-0000F54C0000}"/>
    <cellStyle name="Normal 3 3 14 7 13" xfId="11739" xr:uid="{00000000-0005-0000-0000-0000F64C0000}"/>
    <cellStyle name="Normal 3 3 14 7 13 2" xfId="29270" xr:uid="{00000000-0005-0000-0000-0000F74C0000}"/>
    <cellStyle name="Normal 3 3 14 7 14" xfId="11740" xr:uid="{00000000-0005-0000-0000-0000F84C0000}"/>
    <cellStyle name="Normal 3 3 14 7 14 2" xfId="29271" xr:uid="{00000000-0005-0000-0000-0000F94C0000}"/>
    <cellStyle name="Normal 3 3 14 7 15" xfId="29266" xr:uid="{00000000-0005-0000-0000-0000FA4C0000}"/>
    <cellStyle name="Normal 3 3 14 7 2" xfId="11741" xr:uid="{00000000-0005-0000-0000-0000FB4C0000}"/>
    <cellStyle name="Normal 3 3 14 7 2 2" xfId="29272" xr:uid="{00000000-0005-0000-0000-0000FC4C0000}"/>
    <cellStyle name="Normal 3 3 14 7 3" xfId="11742" xr:uid="{00000000-0005-0000-0000-0000FD4C0000}"/>
    <cellStyle name="Normal 3 3 14 7 3 2" xfId="29273" xr:uid="{00000000-0005-0000-0000-0000FE4C0000}"/>
    <cellStyle name="Normal 3 3 14 7 4" xfId="11743" xr:uid="{00000000-0005-0000-0000-0000FF4C0000}"/>
    <cellStyle name="Normal 3 3 14 7 4 2" xfId="29274" xr:uid="{00000000-0005-0000-0000-0000004D0000}"/>
    <cellStyle name="Normal 3 3 14 7 5" xfId="11744" xr:uid="{00000000-0005-0000-0000-0000014D0000}"/>
    <cellStyle name="Normal 3 3 14 7 5 2" xfId="29275" xr:uid="{00000000-0005-0000-0000-0000024D0000}"/>
    <cellStyle name="Normal 3 3 14 7 6" xfId="11745" xr:uid="{00000000-0005-0000-0000-0000034D0000}"/>
    <cellStyle name="Normal 3 3 14 7 6 2" xfId="29276" xr:uid="{00000000-0005-0000-0000-0000044D0000}"/>
    <cellStyle name="Normal 3 3 14 7 7" xfId="11746" xr:uid="{00000000-0005-0000-0000-0000054D0000}"/>
    <cellStyle name="Normal 3 3 14 7 7 2" xfId="29277" xr:uid="{00000000-0005-0000-0000-0000064D0000}"/>
    <cellStyle name="Normal 3 3 14 7 8" xfId="11747" xr:uid="{00000000-0005-0000-0000-0000074D0000}"/>
    <cellStyle name="Normal 3 3 14 7 8 2" xfId="29278" xr:uid="{00000000-0005-0000-0000-0000084D0000}"/>
    <cellStyle name="Normal 3 3 14 7 9" xfId="11748" xr:uid="{00000000-0005-0000-0000-0000094D0000}"/>
    <cellStyle name="Normal 3 3 14 7 9 2" xfId="29279" xr:uid="{00000000-0005-0000-0000-00000A4D0000}"/>
    <cellStyle name="Normal 3 3 14 8" xfId="11749" xr:uid="{00000000-0005-0000-0000-00000B4D0000}"/>
    <cellStyle name="Normal 3 3 14 8 10" xfId="11750" xr:uid="{00000000-0005-0000-0000-00000C4D0000}"/>
    <cellStyle name="Normal 3 3 14 8 10 2" xfId="29281" xr:uid="{00000000-0005-0000-0000-00000D4D0000}"/>
    <cellStyle name="Normal 3 3 14 8 11" xfId="11751" xr:uid="{00000000-0005-0000-0000-00000E4D0000}"/>
    <cellStyle name="Normal 3 3 14 8 11 2" xfId="29282" xr:uid="{00000000-0005-0000-0000-00000F4D0000}"/>
    <cellStyle name="Normal 3 3 14 8 12" xfId="11752" xr:uid="{00000000-0005-0000-0000-0000104D0000}"/>
    <cellStyle name="Normal 3 3 14 8 12 2" xfId="29283" xr:uid="{00000000-0005-0000-0000-0000114D0000}"/>
    <cellStyle name="Normal 3 3 14 8 13" xfId="11753" xr:uid="{00000000-0005-0000-0000-0000124D0000}"/>
    <cellStyle name="Normal 3 3 14 8 13 2" xfId="29284" xr:uid="{00000000-0005-0000-0000-0000134D0000}"/>
    <cellStyle name="Normal 3 3 14 8 14" xfId="11754" xr:uid="{00000000-0005-0000-0000-0000144D0000}"/>
    <cellStyle name="Normal 3 3 14 8 14 2" xfId="29285" xr:uid="{00000000-0005-0000-0000-0000154D0000}"/>
    <cellStyle name="Normal 3 3 14 8 15" xfId="29280" xr:uid="{00000000-0005-0000-0000-0000164D0000}"/>
    <cellStyle name="Normal 3 3 14 8 2" xfId="11755" xr:uid="{00000000-0005-0000-0000-0000174D0000}"/>
    <cellStyle name="Normal 3 3 14 8 2 2" xfId="29286" xr:uid="{00000000-0005-0000-0000-0000184D0000}"/>
    <cellStyle name="Normal 3 3 14 8 3" xfId="11756" xr:uid="{00000000-0005-0000-0000-0000194D0000}"/>
    <cellStyle name="Normal 3 3 14 8 3 2" xfId="29287" xr:uid="{00000000-0005-0000-0000-00001A4D0000}"/>
    <cellStyle name="Normal 3 3 14 8 4" xfId="11757" xr:uid="{00000000-0005-0000-0000-00001B4D0000}"/>
    <cellStyle name="Normal 3 3 14 8 4 2" xfId="29288" xr:uid="{00000000-0005-0000-0000-00001C4D0000}"/>
    <cellStyle name="Normal 3 3 14 8 5" xfId="11758" xr:uid="{00000000-0005-0000-0000-00001D4D0000}"/>
    <cellStyle name="Normal 3 3 14 8 5 2" xfId="29289" xr:uid="{00000000-0005-0000-0000-00001E4D0000}"/>
    <cellStyle name="Normal 3 3 14 8 6" xfId="11759" xr:uid="{00000000-0005-0000-0000-00001F4D0000}"/>
    <cellStyle name="Normal 3 3 14 8 6 2" xfId="29290" xr:uid="{00000000-0005-0000-0000-0000204D0000}"/>
    <cellStyle name="Normal 3 3 14 8 7" xfId="11760" xr:uid="{00000000-0005-0000-0000-0000214D0000}"/>
    <cellStyle name="Normal 3 3 14 8 7 2" xfId="29291" xr:uid="{00000000-0005-0000-0000-0000224D0000}"/>
    <cellStyle name="Normal 3 3 14 8 8" xfId="11761" xr:uid="{00000000-0005-0000-0000-0000234D0000}"/>
    <cellStyle name="Normal 3 3 14 8 8 2" xfId="29292" xr:uid="{00000000-0005-0000-0000-0000244D0000}"/>
    <cellStyle name="Normal 3 3 14 8 9" xfId="11762" xr:uid="{00000000-0005-0000-0000-0000254D0000}"/>
    <cellStyle name="Normal 3 3 14 8 9 2" xfId="29293" xr:uid="{00000000-0005-0000-0000-0000264D0000}"/>
    <cellStyle name="Normal 3 3 14 9" xfId="11763" xr:uid="{00000000-0005-0000-0000-0000274D0000}"/>
    <cellStyle name="Normal 3 3 14 9 10" xfId="11764" xr:uid="{00000000-0005-0000-0000-0000284D0000}"/>
    <cellStyle name="Normal 3 3 14 9 10 2" xfId="29295" xr:uid="{00000000-0005-0000-0000-0000294D0000}"/>
    <cellStyle name="Normal 3 3 14 9 11" xfId="11765" xr:uid="{00000000-0005-0000-0000-00002A4D0000}"/>
    <cellStyle name="Normal 3 3 14 9 11 2" xfId="29296" xr:uid="{00000000-0005-0000-0000-00002B4D0000}"/>
    <cellStyle name="Normal 3 3 14 9 12" xfId="11766" xr:uid="{00000000-0005-0000-0000-00002C4D0000}"/>
    <cellStyle name="Normal 3 3 14 9 12 2" xfId="29297" xr:uid="{00000000-0005-0000-0000-00002D4D0000}"/>
    <cellStyle name="Normal 3 3 14 9 13" xfId="11767" xr:uid="{00000000-0005-0000-0000-00002E4D0000}"/>
    <cellStyle name="Normal 3 3 14 9 13 2" xfId="29298" xr:uid="{00000000-0005-0000-0000-00002F4D0000}"/>
    <cellStyle name="Normal 3 3 14 9 14" xfId="11768" xr:uid="{00000000-0005-0000-0000-0000304D0000}"/>
    <cellStyle name="Normal 3 3 14 9 14 2" xfId="29299" xr:uid="{00000000-0005-0000-0000-0000314D0000}"/>
    <cellStyle name="Normal 3 3 14 9 15" xfId="29294" xr:uid="{00000000-0005-0000-0000-0000324D0000}"/>
    <cellStyle name="Normal 3 3 14 9 2" xfId="11769" xr:uid="{00000000-0005-0000-0000-0000334D0000}"/>
    <cellStyle name="Normal 3 3 14 9 2 2" xfId="29300" xr:uid="{00000000-0005-0000-0000-0000344D0000}"/>
    <cellStyle name="Normal 3 3 14 9 3" xfId="11770" xr:uid="{00000000-0005-0000-0000-0000354D0000}"/>
    <cellStyle name="Normal 3 3 14 9 3 2" xfId="29301" xr:uid="{00000000-0005-0000-0000-0000364D0000}"/>
    <cellStyle name="Normal 3 3 14 9 4" xfId="11771" xr:uid="{00000000-0005-0000-0000-0000374D0000}"/>
    <cellStyle name="Normal 3 3 14 9 4 2" xfId="29302" xr:uid="{00000000-0005-0000-0000-0000384D0000}"/>
    <cellStyle name="Normal 3 3 14 9 5" xfId="11772" xr:uid="{00000000-0005-0000-0000-0000394D0000}"/>
    <cellStyle name="Normal 3 3 14 9 5 2" xfId="29303" xr:uid="{00000000-0005-0000-0000-00003A4D0000}"/>
    <cellStyle name="Normal 3 3 14 9 6" xfId="11773" xr:uid="{00000000-0005-0000-0000-00003B4D0000}"/>
    <cellStyle name="Normal 3 3 14 9 6 2" xfId="29304" xr:uid="{00000000-0005-0000-0000-00003C4D0000}"/>
    <cellStyle name="Normal 3 3 14 9 7" xfId="11774" xr:uid="{00000000-0005-0000-0000-00003D4D0000}"/>
    <cellStyle name="Normal 3 3 14 9 7 2" xfId="29305" xr:uid="{00000000-0005-0000-0000-00003E4D0000}"/>
    <cellStyle name="Normal 3 3 14 9 8" xfId="11775" xr:uid="{00000000-0005-0000-0000-00003F4D0000}"/>
    <cellStyle name="Normal 3 3 14 9 8 2" xfId="29306" xr:uid="{00000000-0005-0000-0000-0000404D0000}"/>
    <cellStyle name="Normal 3 3 14 9 9" xfId="11776" xr:uid="{00000000-0005-0000-0000-0000414D0000}"/>
    <cellStyle name="Normal 3 3 14 9 9 2" xfId="29307" xr:uid="{00000000-0005-0000-0000-0000424D0000}"/>
    <cellStyle name="Normal 3 3 15" xfId="11777" xr:uid="{00000000-0005-0000-0000-0000434D0000}"/>
    <cellStyle name="Normal 3 3 15 10" xfId="11778" xr:uid="{00000000-0005-0000-0000-0000444D0000}"/>
    <cellStyle name="Normal 3 3 15 10 10" xfId="11779" xr:uid="{00000000-0005-0000-0000-0000454D0000}"/>
    <cellStyle name="Normal 3 3 15 10 10 2" xfId="29310" xr:uid="{00000000-0005-0000-0000-0000464D0000}"/>
    <cellStyle name="Normal 3 3 15 10 11" xfId="11780" xr:uid="{00000000-0005-0000-0000-0000474D0000}"/>
    <cellStyle name="Normal 3 3 15 10 11 2" xfId="29311" xr:uid="{00000000-0005-0000-0000-0000484D0000}"/>
    <cellStyle name="Normal 3 3 15 10 12" xfId="11781" xr:uid="{00000000-0005-0000-0000-0000494D0000}"/>
    <cellStyle name="Normal 3 3 15 10 12 2" xfId="29312" xr:uid="{00000000-0005-0000-0000-00004A4D0000}"/>
    <cellStyle name="Normal 3 3 15 10 13" xfId="11782" xr:uid="{00000000-0005-0000-0000-00004B4D0000}"/>
    <cellStyle name="Normal 3 3 15 10 13 2" xfId="29313" xr:uid="{00000000-0005-0000-0000-00004C4D0000}"/>
    <cellStyle name="Normal 3 3 15 10 14" xfId="11783" xr:uid="{00000000-0005-0000-0000-00004D4D0000}"/>
    <cellStyle name="Normal 3 3 15 10 14 2" xfId="29314" xr:uid="{00000000-0005-0000-0000-00004E4D0000}"/>
    <cellStyle name="Normal 3 3 15 10 15" xfId="29309" xr:uid="{00000000-0005-0000-0000-00004F4D0000}"/>
    <cellStyle name="Normal 3 3 15 10 2" xfId="11784" xr:uid="{00000000-0005-0000-0000-0000504D0000}"/>
    <cellStyle name="Normal 3 3 15 10 2 2" xfId="29315" xr:uid="{00000000-0005-0000-0000-0000514D0000}"/>
    <cellStyle name="Normal 3 3 15 10 3" xfId="11785" xr:uid="{00000000-0005-0000-0000-0000524D0000}"/>
    <cellStyle name="Normal 3 3 15 10 3 2" xfId="29316" xr:uid="{00000000-0005-0000-0000-0000534D0000}"/>
    <cellStyle name="Normal 3 3 15 10 4" xfId="11786" xr:uid="{00000000-0005-0000-0000-0000544D0000}"/>
    <cellStyle name="Normal 3 3 15 10 4 2" xfId="29317" xr:uid="{00000000-0005-0000-0000-0000554D0000}"/>
    <cellStyle name="Normal 3 3 15 10 5" xfId="11787" xr:uid="{00000000-0005-0000-0000-0000564D0000}"/>
    <cellStyle name="Normal 3 3 15 10 5 2" xfId="29318" xr:uid="{00000000-0005-0000-0000-0000574D0000}"/>
    <cellStyle name="Normal 3 3 15 10 6" xfId="11788" xr:uid="{00000000-0005-0000-0000-0000584D0000}"/>
    <cellStyle name="Normal 3 3 15 10 6 2" xfId="29319" xr:uid="{00000000-0005-0000-0000-0000594D0000}"/>
    <cellStyle name="Normal 3 3 15 10 7" xfId="11789" xr:uid="{00000000-0005-0000-0000-00005A4D0000}"/>
    <cellStyle name="Normal 3 3 15 10 7 2" xfId="29320" xr:uid="{00000000-0005-0000-0000-00005B4D0000}"/>
    <cellStyle name="Normal 3 3 15 10 8" xfId="11790" xr:uid="{00000000-0005-0000-0000-00005C4D0000}"/>
    <cellStyle name="Normal 3 3 15 10 8 2" xfId="29321" xr:uid="{00000000-0005-0000-0000-00005D4D0000}"/>
    <cellStyle name="Normal 3 3 15 10 9" xfId="11791" xr:uid="{00000000-0005-0000-0000-00005E4D0000}"/>
    <cellStyle name="Normal 3 3 15 10 9 2" xfId="29322" xr:uid="{00000000-0005-0000-0000-00005F4D0000}"/>
    <cellStyle name="Normal 3 3 15 11" xfId="11792" xr:uid="{00000000-0005-0000-0000-0000604D0000}"/>
    <cellStyle name="Normal 3 3 15 11 2" xfId="29323" xr:uid="{00000000-0005-0000-0000-0000614D0000}"/>
    <cellStyle name="Normal 3 3 15 12" xfId="11793" xr:uid="{00000000-0005-0000-0000-0000624D0000}"/>
    <cellStyle name="Normal 3 3 15 12 2" xfId="29324" xr:uid="{00000000-0005-0000-0000-0000634D0000}"/>
    <cellStyle name="Normal 3 3 15 13" xfId="11794" xr:uid="{00000000-0005-0000-0000-0000644D0000}"/>
    <cellStyle name="Normal 3 3 15 13 2" xfId="29325" xr:uid="{00000000-0005-0000-0000-0000654D0000}"/>
    <cellStyle name="Normal 3 3 15 14" xfId="11795" xr:uid="{00000000-0005-0000-0000-0000664D0000}"/>
    <cellStyle name="Normal 3 3 15 14 2" xfId="29326" xr:uid="{00000000-0005-0000-0000-0000674D0000}"/>
    <cellStyle name="Normal 3 3 15 15" xfId="11796" xr:uid="{00000000-0005-0000-0000-0000684D0000}"/>
    <cellStyle name="Normal 3 3 15 15 2" xfId="29327" xr:uid="{00000000-0005-0000-0000-0000694D0000}"/>
    <cellStyle name="Normal 3 3 15 16" xfId="11797" xr:uid="{00000000-0005-0000-0000-00006A4D0000}"/>
    <cellStyle name="Normal 3 3 15 16 2" xfId="29328" xr:uid="{00000000-0005-0000-0000-00006B4D0000}"/>
    <cellStyle name="Normal 3 3 15 17" xfId="11798" xr:uid="{00000000-0005-0000-0000-00006C4D0000}"/>
    <cellStyle name="Normal 3 3 15 17 2" xfId="29329" xr:uid="{00000000-0005-0000-0000-00006D4D0000}"/>
    <cellStyle name="Normal 3 3 15 18" xfId="11799" xr:uid="{00000000-0005-0000-0000-00006E4D0000}"/>
    <cellStyle name="Normal 3 3 15 18 2" xfId="29330" xr:uid="{00000000-0005-0000-0000-00006F4D0000}"/>
    <cellStyle name="Normal 3 3 15 19" xfId="11800" xr:uid="{00000000-0005-0000-0000-0000704D0000}"/>
    <cellStyle name="Normal 3 3 15 19 2" xfId="29331" xr:uid="{00000000-0005-0000-0000-0000714D0000}"/>
    <cellStyle name="Normal 3 3 15 2" xfId="11801" xr:uid="{00000000-0005-0000-0000-0000724D0000}"/>
    <cellStyle name="Normal 3 3 15 2 10" xfId="11802" xr:uid="{00000000-0005-0000-0000-0000734D0000}"/>
    <cellStyle name="Normal 3 3 15 2 10 2" xfId="29333" xr:uid="{00000000-0005-0000-0000-0000744D0000}"/>
    <cellStyle name="Normal 3 3 15 2 11" xfId="11803" xr:uid="{00000000-0005-0000-0000-0000754D0000}"/>
    <cellStyle name="Normal 3 3 15 2 11 2" xfId="29334" xr:uid="{00000000-0005-0000-0000-0000764D0000}"/>
    <cellStyle name="Normal 3 3 15 2 12" xfId="11804" xr:uid="{00000000-0005-0000-0000-0000774D0000}"/>
    <cellStyle name="Normal 3 3 15 2 12 2" xfId="29335" xr:uid="{00000000-0005-0000-0000-0000784D0000}"/>
    <cellStyle name="Normal 3 3 15 2 13" xfId="11805" xr:uid="{00000000-0005-0000-0000-0000794D0000}"/>
    <cellStyle name="Normal 3 3 15 2 13 2" xfId="29336" xr:uid="{00000000-0005-0000-0000-00007A4D0000}"/>
    <cellStyle name="Normal 3 3 15 2 14" xfId="11806" xr:uid="{00000000-0005-0000-0000-00007B4D0000}"/>
    <cellStyle name="Normal 3 3 15 2 14 2" xfId="29337" xr:uid="{00000000-0005-0000-0000-00007C4D0000}"/>
    <cellStyle name="Normal 3 3 15 2 15" xfId="11807" xr:uid="{00000000-0005-0000-0000-00007D4D0000}"/>
    <cellStyle name="Normal 3 3 15 2 15 2" xfId="29338" xr:uid="{00000000-0005-0000-0000-00007E4D0000}"/>
    <cellStyle name="Normal 3 3 15 2 16" xfId="29332" xr:uid="{00000000-0005-0000-0000-00007F4D0000}"/>
    <cellStyle name="Normal 3 3 15 2 2" xfId="11808" xr:uid="{00000000-0005-0000-0000-0000804D0000}"/>
    <cellStyle name="Normal 3 3 15 2 2 10" xfId="11809" xr:uid="{00000000-0005-0000-0000-0000814D0000}"/>
    <cellStyle name="Normal 3 3 15 2 2 10 2" xfId="29340" xr:uid="{00000000-0005-0000-0000-0000824D0000}"/>
    <cellStyle name="Normal 3 3 15 2 2 11" xfId="11810" xr:uid="{00000000-0005-0000-0000-0000834D0000}"/>
    <cellStyle name="Normal 3 3 15 2 2 11 2" xfId="29341" xr:uid="{00000000-0005-0000-0000-0000844D0000}"/>
    <cellStyle name="Normal 3 3 15 2 2 12" xfId="11811" xr:uid="{00000000-0005-0000-0000-0000854D0000}"/>
    <cellStyle name="Normal 3 3 15 2 2 12 2" xfId="29342" xr:uid="{00000000-0005-0000-0000-0000864D0000}"/>
    <cellStyle name="Normal 3 3 15 2 2 13" xfId="11812" xr:uid="{00000000-0005-0000-0000-0000874D0000}"/>
    <cellStyle name="Normal 3 3 15 2 2 13 2" xfId="29343" xr:uid="{00000000-0005-0000-0000-0000884D0000}"/>
    <cellStyle name="Normal 3 3 15 2 2 14" xfId="11813" xr:uid="{00000000-0005-0000-0000-0000894D0000}"/>
    <cellStyle name="Normal 3 3 15 2 2 14 2" xfId="29344" xr:uid="{00000000-0005-0000-0000-00008A4D0000}"/>
    <cellStyle name="Normal 3 3 15 2 2 15" xfId="29339" xr:uid="{00000000-0005-0000-0000-00008B4D0000}"/>
    <cellStyle name="Normal 3 3 15 2 2 2" xfId="11814" xr:uid="{00000000-0005-0000-0000-00008C4D0000}"/>
    <cellStyle name="Normal 3 3 15 2 2 2 2" xfId="29345" xr:uid="{00000000-0005-0000-0000-00008D4D0000}"/>
    <cellStyle name="Normal 3 3 15 2 2 3" xfId="11815" xr:uid="{00000000-0005-0000-0000-00008E4D0000}"/>
    <cellStyle name="Normal 3 3 15 2 2 3 2" xfId="29346" xr:uid="{00000000-0005-0000-0000-00008F4D0000}"/>
    <cellStyle name="Normal 3 3 15 2 2 4" xfId="11816" xr:uid="{00000000-0005-0000-0000-0000904D0000}"/>
    <cellStyle name="Normal 3 3 15 2 2 4 2" xfId="29347" xr:uid="{00000000-0005-0000-0000-0000914D0000}"/>
    <cellStyle name="Normal 3 3 15 2 2 5" xfId="11817" xr:uid="{00000000-0005-0000-0000-0000924D0000}"/>
    <cellStyle name="Normal 3 3 15 2 2 5 2" xfId="29348" xr:uid="{00000000-0005-0000-0000-0000934D0000}"/>
    <cellStyle name="Normal 3 3 15 2 2 6" xfId="11818" xr:uid="{00000000-0005-0000-0000-0000944D0000}"/>
    <cellStyle name="Normal 3 3 15 2 2 6 2" xfId="29349" xr:uid="{00000000-0005-0000-0000-0000954D0000}"/>
    <cellStyle name="Normal 3 3 15 2 2 7" xfId="11819" xr:uid="{00000000-0005-0000-0000-0000964D0000}"/>
    <cellStyle name="Normal 3 3 15 2 2 7 2" xfId="29350" xr:uid="{00000000-0005-0000-0000-0000974D0000}"/>
    <cellStyle name="Normal 3 3 15 2 2 8" xfId="11820" xr:uid="{00000000-0005-0000-0000-0000984D0000}"/>
    <cellStyle name="Normal 3 3 15 2 2 8 2" xfId="29351" xr:uid="{00000000-0005-0000-0000-0000994D0000}"/>
    <cellStyle name="Normal 3 3 15 2 2 9" xfId="11821" xr:uid="{00000000-0005-0000-0000-00009A4D0000}"/>
    <cellStyle name="Normal 3 3 15 2 2 9 2" xfId="29352" xr:uid="{00000000-0005-0000-0000-00009B4D0000}"/>
    <cellStyle name="Normal 3 3 15 2 3" xfId="11822" xr:uid="{00000000-0005-0000-0000-00009C4D0000}"/>
    <cellStyle name="Normal 3 3 15 2 3 2" xfId="29353" xr:uid="{00000000-0005-0000-0000-00009D4D0000}"/>
    <cellStyle name="Normal 3 3 15 2 4" xfId="11823" xr:uid="{00000000-0005-0000-0000-00009E4D0000}"/>
    <cellStyle name="Normal 3 3 15 2 4 2" xfId="29354" xr:uid="{00000000-0005-0000-0000-00009F4D0000}"/>
    <cellStyle name="Normal 3 3 15 2 5" xfId="11824" xr:uid="{00000000-0005-0000-0000-0000A04D0000}"/>
    <cellStyle name="Normal 3 3 15 2 5 2" xfId="29355" xr:uid="{00000000-0005-0000-0000-0000A14D0000}"/>
    <cellStyle name="Normal 3 3 15 2 6" xfId="11825" xr:uid="{00000000-0005-0000-0000-0000A24D0000}"/>
    <cellStyle name="Normal 3 3 15 2 6 2" xfId="29356" xr:uid="{00000000-0005-0000-0000-0000A34D0000}"/>
    <cellStyle name="Normal 3 3 15 2 7" xfId="11826" xr:uid="{00000000-0005-0000-0000-0000A44D0000}"/>
    <cellStyle name="Normal 3 3 15 2 7 2" xfId="29357" xr:uid="{00000000-0005-0000-0000-0000A54D0000}"/>
    <cellStyle name="Normal 3 3 15 2 8" xfId="11827" xr:uid="{00000000-0005-0000-0000-0000A64D0000}"/>
    <cellStyle name="Normal 3 3 15 2 8 2" xfId="29358" xr:uid="{00000000-0005-0000-0000-0000A74D0000}"/>
    <cellStyle name="Normal 3 3 15 2 9" xfId="11828" xr:uid="{00000000-0005-0000-0000-0000A84D0000}"/>
    <cellStyle name="Normal 3 3 15 2 9 2" xfId="29359" xr:uid="{00000000-0005-0000-0000-0000A94D0000}"/>
    <cellStyle name="Normal 3 3 15 20" xfId="11829" xr:uid="{00000000-0005-0000-0000-0000AA4D0000}"/>
    <cellStyle name="Normal 3 3 15 20 2" xfId="29360" xr:uid="{00000000-0005-0000-0000-0000AB4D0000}"/>
    <cellStyle name="Normal 3 3 15 21" xfId="11830" xr:uid="{00000000-0005-0000-0000-0000AC4D0000}"/>
    <cellStyle name="Normal 3 3 15 21 2" xfId="29361" xr:uid="{00000000-0005-0000-0000-0000AD4D0000}"/>
    <cellStyle name="Normal 3 3 15 22" xfId="11831" xr:uid="{00000000-0005-0000-0000-0000AE4D0000}"/>
    <cellStyle name="Normal 3 3 15 22 2" xfId="29362" xr:uid="{00000000-0005-0000-0000-0000AF4D0000}"/>
    <cellStyle name="Normal 3 3 15 23" xfId="11832" xr:uid="{00000000-0005-0000-0000-0000B04D0000}"/>
    <cellStyle name="Normal 3 3 15 23 2" xfId="29363" xr:uid="{00000000-0005-0000-0000-0000B14D0000}"/>
    <cellStyle name="Normal 3 3 15 24" xfId="29308" xr:uid="{00000000-0005-0000-0000-0000B24D0000}"/>
    <cellStyle name="Normal 3 3 15 3" xfId="11833" xr:uid="{00000000-0005-0000-0000-0000B34D0000}"/>
    <cellStyle name="Normal 3 3 15 3 10" xfId="11834" xr:uid="{00000000-0005-0000-0000-0000B44D0000}"/>
    <cellStyle name="Normal 3 3 15 3 10 2" xfId="29365" xr:uid="{00000000-0005-0000-0000-0000B54D0000}"/>
    <cellStyle name="Normal 3 3 15 3 11" xfId="11835" xr:uid="{00000000-0005-0000-0000-0000B64D0000}"/>
    <cellStyle name="Normal 3 3 15 3 11 2" xfId="29366" xr:uid="{00000000-0005-0000-0000-0000B74D0000}"/>
    <cellStyle name="Normal 3 3 15 3 12" xfId="11836" xr:uid="{00000000-0005-0000-0000-0000B84D0000}"/>
    <cellStyle name="Normal 3 3 15 3 12 2" xfId="29367" xr:uid="{00000000-0005-0000-0000-0000B94D0000}"/>
    <cellStyle name="Normal 3 3 15 3 13" xfId="11837" xr:uid="{00000000-0005-0000-0000-0000BA4D0000}"/>
    <cellStyle name="Normal 3 3 15 3 13 2" xfId="29368" xr:uid="{00000000-0005-0000-0000-0000BB4D0000}"/>
    <cellStyle name="Normal 3 3 15 3 14" xfId="11838" xr:uid="{00000000-0005-0000-0000-0000BC4D0000}"/>
    <cellStyle name="Normal 3 3 15 3 14 2" xfId="29369" xr:uid="{00000000-0005-0000-0000-0000BD4D0000}"/>
    <cellStyle name="Normal 3 3 15 3 15" xfId="11839" xr:uid="{00000000-0005-0000-0000-0000BE4D0000}"/>
    <cellStyle name="Normal 3 3 15 3 15 2" xfId="29370" xr:uid="{00000000-0005-0000-0000-0000BF4D0000}"/>
    <cellStyle name="Normal 3 3 15 3 16" xfId="29364" xr:uid="{00000000-0005-0000-0000-0000C04D0000}"/>
    <cellStyle name="Normal 3 3 15 3 2" xfId="11840" xr:uid="{00000000-0005-0000-0000-0000C14D0000}"/>
    <cellStyle name="Normal 3 3 15 3 2 10" xfId="11841" xr:uid="{00000000-0005-0000-0000-0000C24D0000}"/>
    <cellStyle name="Normal 3 3 15 3 2 10 2" xfId="29372" xr:uid="{00000000-0005-0000-0000-0000C34D0000}"/>
    <cellStyle name="Normal 3 3 15 3 2 11" xfId="11842" xr:uid="{00000000-0005-0000-0000-0000C44D0000}"/>
    <cellStyle name="Normal 3 3 15 3 2 11 2" xfId="29373" xr:uid="{00000000-0005-0000-0000-0000C54D0000}"/>
    <cellStyle name="Normal 3 3 15 3 2 12" xfId="11843" xr:uid="{00000000-0005-0000-0000-0000C64D0000}"/>
    <cellStyle name="Normal 3 3 15 3 2 12 2" xfId="29374" xr:uid="{00000000-0005-0000-0000-0000C74D0000}"/>
    <cellStyle name="Normal 3 3 15 3 2 13" xfId="11844" xr:uid="{00000000-0005-0000-0000-0000C84D0000}"/>
    <cellStyle name="Normal 3 3 15 3 2 13 2" xfId="29375" xr:uid="{00000000-0005-0000-0000-0000C94D0000}"/>
    <cellStyle name="Normal 3 3 15 3 2 14" xfId="11845" xr:uid="{00000000-0005-0000-0000-0000CA4D0000}"/>
    <cellStyle name="Normal 3 3 15 3 2 14 2" xfId="29376" xr:uid="{00000000-0005-0000-0000-0000CB4D0000}"/>
    <cellStyle name="Normal 3 3 15 3 2 15" xfId="29371" xr:uid="{00000000-0005-0000-0000-0000CC4D0000}"/>
    <cellStyle name="Normal 3 3 15 3 2 2" xfId="11846" xr:uid="{00000000-0005-0000-0000-0000CD4D0000}"/>
    <cellStyle name="Normal 3 3 15 3 2 2 2" xfId="29377" xr:uid="{00000000-0005-0000-0000-0000CE4D0000}"/>
    <cellStyle name="Normal 3 3 15 3 2 3" xfId="11847" xr:uid="{00000000-0005-0000-0000-0000CF4D0000}"/>
    <cellStyle name="Normal 3 3 15 3 2 3 2" xfId="29378" xr:uid="{00000000-0005-0000-0000-0000D04D0000}"/>
    <cellStyle name="Normal 3 3 15 3 2 4" xfId="11848" xr:uid="{00000000-0005-0000-0000-0000D14D0000}"/>
    <cellStyle name="Normal 3 3 15 3 2 4 2" xfId="29379" xr:uid="{00000000-0005-0000-0000-0000D24D0000}"/>
    <cellStyle name="Normal 3 3 15 3 2 5" xfId="11849" xr:uid="{00000000-0005-0000-0000-0000D34D0000}"/>
    <cellStyle name="Normal 3 3 15 3 2 5 2" xfId="29380" xr:uid="{00000000-0005-0000-0000-0000D44D0000}"/>
    <cellStyle name="Normal 3 3 15 3 2 6" xfId="11850" xr:uid="{00000000-0005-0000-0000-0000D54D0000}"/>
    <cellStyle name="Normal 3 3 15 3 2 6 2" xfId="29381" xr:uid="{00000000-0005-0000-0000-0000D64D0000}"/>
    <cellStyle name="Normal 3 3 15 3 2 7" xfId="11851" xr:uid="{00000000-0005-0000-0000-0000D74D0000}"/>
    <cellStyle name="Normal 3 3 15 3 2 7 2" xfId="29382" xr:uid="{00000000-0005-0000-0000-0000D84D0000}"/>
    <cellStyle name="Normal 3 3 15 3 2 8" xfId="11852" xr:uid="{00000000-0005-0000-0000-0000D94D0000}"/>
    <cellStyle name="Normal 3 3 15 3 2 8 2" xfId="29383" xr:uid="{00000000-0005-0000-0000-0000DA4D0000}"/>
    <cellStyle name="Normal 3 3 15 3 2 9" xfId="11853" xr:uid="{00000000-0005-0000-0000-0000DB4D0000}"/>
    <cellStyle name="Normal 3 3 15 3 2 9 2" xfId="29384" xr:uid="{00000000-0005-0000-0000-0000DC4D0000}"/>
    <cellStyle name="Normal 3 3 15 3 3" xfId="11854" xr:uid="{00000000-0005-0000-0000-0000DD4D0000}"/>
    <cellStyle name="Normal 3 3 15 3 3 2" xfId="29385" xr:uid="{00000000-0005-0000-0000-0000DE4D0000}"/>
    <cellStyle name="Normal 3 3 15 3 4" xfId="11855" xr:uid="{00000000-0005-0000-0000-0000DF4D0000}"/>
    <cellStyle name="Normal 3 3 15 3 4 2" xfId="29386" xr:uid="{00000000-0005-0000-0000-0000E04D0000}"/>
    <cellStyle name="Normal 3 3 15 3 5" xfId="11856" xr:uid="{00000000-0005-0000-0000-0000E14D0000}"/>
    <cellStyle name="Normal 3 3 15 3 5 2" xfId="29387" xr:uid="{00000000-0005-0000-0000-0000E24D0000}"/>
    <cellStyle name="Normal 3 3 15 3 6" xfId="11857" xr:uid="{00000000-0005-0000-0000-0000E34D0000}"/>
    <cellStyle name="Normal 3 3 15 3 6 2" xfId="29388" xr:uid="{00000000-0005-0000-0000-0000E44D0000}"/>
    <cellStyle name="Normal 3 3 15 3 7" xfId="11858" xr:uid="{00000000-0005-0000-0000-0000E54D0000}"/>
    <cellStyle name="Normal 3 3 15 3 7 2" xfId="29389" xr:uid="{00000000-0005-0000-0000-0000E64D0000}"/>
    <cellStyle name="Normal 3 3 15 3 8" xfId="11859" xr:uid="{00000000-0005-0000-0000-0000E74D0000}"/>
    <cellStyle name="Normal 3 3 15 3 8 2" xfId="29390" xr:uid="{00000000-0005-0000-0000-0000E84D0000}"/>
    <cellStyle name="Normal 3 3 15 3 9" xfId="11860" xr:uid="{00000000-0005-0000-0000-0000E94D0000}"/>
    <cellStyle name="Normal 3 3 15 3 9 2" xfId="29391" xr:uid="{00000000-0005-0000-0000-0000EA4D0000}"/>
    <cellStyle name="Normal 3 3 15 4" xfId="11861" xr:uid="{00000000-0005-0000-0000-0000EB4D0000}"/>
    <cellStyle name="Normal 3 3 15 4 10" xfId="11862" xr:uid="{00000000-0005-0000-0000-0000EC4D0000}"/>
    <cellStyle name="Normal 3 3 15 4 10 2" xfId="29393" xr:uid="{00000000-0005-0000-0000-0000ED4D0000}"/>
    <cellStyle name="Normal 3 3 15 4 11" xfId="11863" xr:uid="{00000000-0005-0000-0000-0000EE4D0000}"/>
    <cellStyle name="Normal 3 3 15 4 11 2" xfId="29394" xr:uid="{00000000-0005-0000-0000-0000EF4D0000}"/>
    <cellStyle name="Normal 3 3 15 4 12" xfId="11864" xr:uid="{00000000-0005-0000-0000-0000F04D0000}"/>
    <cellStyle name="Normal 3 3 15 4 12 2" xfId="29395" xr:uid="{00000000-0005-0000-0000-0000F14D0000}"/>
    <cellStyle name="Normal 3 3 15 4 13" xfId="11865" xr:uid="{00000000-0005-0000-0000-0000F24D0000}"/>
    <cellStyle name="Normal 3 3 15 4 13 2" xfId="29396" xr:uid="{00000000-0005-0000-0000-0000F34D0000}"/>
    <cellStyle name="Normal 3 3 15 4 14" xfId="11866" xr:uid="{00000000-0005-0000-0000-0000F44D0000}"/>
    <cellStyle name="Normal 3 3 15 4 14 2" xfId="29397" xr:uid="{00000000-0005-0000-0000-0000F54D0000}"/>
    <cellStyle name="Normal 3 3 15 4 15" xfId="11867" xr:uid="{00000000-0005-0000-0000-0000F64D0000}"/>
    <cellStyle name="Normal 3 3 15 4 15 2" xfId="29398" xr:uid="{00000000-0005-0000-0000-0000F74D0000}"/>
    <cellStyle name="Normal 3 3 15 4 16" xfId="29392" xr:uid="{00000000-0005-0000-0000-0000F84D0000}"/>
    <cellStyle name="Normal 3 3 15 4 2" xfId="11868" xr:uid="{00000000-0005-0000-0000-0000F94D0000}"/>
    <cellStyle name="Normal 3 3 15 4 2 10" xfId="11869" xr:uid="{00000000-0005-0000-0000-0000FA4D0000}"/>
    <cellStyle name="Normal 3 3 15 4 2 10 2" xfId="29400" xr:uid="{00000000-0005-0000-0000-0000FB4D0000}"/>
    <cellStyle name="Normal 3 3 15 4 2 11" xfId="11870" xr:uid="{00000000-0005-0000-0000-0000FC4D0000}"/>
    <cellStyle name="Normal 3 3 15 4 2 11 2" xfId="29401" xr:uid="{00000000-0005-0000-0000-0000FD4D0000}"/>
    <cellStyle name="Normal 3 3 15 4 2 12" xfId="11871" xr:uid="{00000000-0005-0000-0000-0000FE4D0000}"/>
    <cellStyle name="Normal 3 3 15 4 2 12 2" xfId="29402" xr:uid="{00000000-0005-0000-0000-0000FF4D0000}"/>
    <cellStyle name="Normal 3 3 15 4 2 13" xfId="11872" xr:uid="{00000000-0005-0000-0000-0000004E0000}"/>
    <cellStyle name="Normal 3 3 15 4 2 13 2" xfId="29403" xr:uid="{00000000-0005-0000-0000-0000014E0000}"/>
    <cellStyle name="Normal 3 3 15 4 2 14" xfId="11873" xr:uid="{00000000-0005-0000-0000-0000024E0000}"/>
    <cellStyle name="Normal 3 3 15 4 2 14 2" xfId="29404" xr:uid="{00000000-0005-0000-0000-0000034E0000}"/>
    <cellStyle name="Normal 3 3 15 4 2 15" xfId="29399" xr:uid="{00000000-0005-0000-0000-0000044E0000}"/>
    <cellStyle name="Normal 3 3 15 4 2 2" xfId="11874" xr:uid="{00000000-0005-0000-0000-0000054E0000}"/>
    <cellStyle name="Normal 3 3 15 4 2 2 2" xfId="29405" xr:uid="{00000000-0005-0000-0000-0000064E0000}"/>
    <cellStyle name="Normal 3 3 15 4 2 3" xfId="11875" xr:uid="{00000000-0005-0000-0000-0000074E0000}"/>
    <cellStyle name="Normal 3 3 15 4 2 3 2" xfId="29406" xr:uid="{00000000-0005-0000-0000-0000084E0000}"/>
    <cellStyle name="Normal 3 3 15 4 2 4" xfId="11876" xr:uid="{00000000-0005-0000-0000-0000094E0000}"/>
    <cellStyle name="Normal 3 3 15 4 2 4 2" xfId="29407" xr:uid="{00000000-0005-0000-0000-00000A4E0000}"/>
    <cellStyle name="Normal 3 3 15 4 2 5" xfId="11877" xr:uid="{00000000-0005-0000-0000-00000B4E0000}"/>
    <cellStyle name="Normal 3 3 15 4 2 5 2" xfId="29408" xr:uid="{00000000-0005-0000-0000-00000C4E0000}"/>
    <cellStyle name="Normal 3 3 15 4 2 6" xfId="11878" xr:uid="{00000000-0005-0000-0000-00000D4E0000}"/>
    <cellStyle name="Normal 3 3 15 4 2 6 2" xfId="29409" xr:uid="{00000000-0005-0000-0000-00000E4E0000}"/>
    <cellStyle name="Normal 3 3 15 4 2 7" xfId="11879" xr:uid="{00000000-0005-0000-0000-00000F4E0000}"/>
    <cellStyle name="Normal 3 3 15 4 2 7 2" xfId="29410" xr:uid="{00000000-0005-0000-0000-0000104E0000}"/>
    <cellStyle name="Normal 3 3 15 4 2 8" xfId="11880" xr:uid="{00000000-0005-0000-0000-0000114E0000}"/>
    <cellStyle name="Normal 3 3 15 4 2 8 2" xfId="29411" xr:uid="{00000000-0005-0000-0000-0000124E0000}"/>
    <cellStyle name="Normal 3 3 15 4 2 9" xfId="11881" xr:uid="{00000000-0005-0000-0000-0000134E0000}"/>
    <cellStyle name="Normal 3 3 15 4 2 9 2" xfId="29412" xr:uid="{00000000-0005-0000-0000-0000144E0000}"/>
    <cellStyle name="Normal 3 3 15 4 3" xfId="11882" xr:uid="{00000000-0005-0000-0000-0000154E0000}"/>
    <cellStyle name="Normal 3 3 15 4 3 2" xfId="29413" xr:uid="{00000000-0005-0000-0000-0000164E0000}"/>
    <cellStyle name="Normal 3 3 15 4 4" xfId="11883" xr:uid="{00000000-0005-0000-0000-0000174E0000}"/>
    <cellStyle name="Normal 3 3 15 4 4 2" xfId="29414" xr:uid="{00000000-0005-0000-0000-0000184E0000}"/>
    <cellStyle name="Normal 3 3 15 4 5" xfId="11884" xr:uid="{00000000-0005-0000-0000-0000194E0000}"/>
    <cellStyle name="Normal 3 3 15 4 5 2" xfId="29415" xr:uid="{00000000-0005-0000-0000-00001A4E0000}"/>
    <cellStyle name="Normal 3 3 15 4 6" xfId="11885" xr:uid="{00000000-0005-0000-0000-00001B4E0000}"/>
    <cellStyle name="Normal 3 3 15 4 6 2" xfId="29416" xr:uid="{00000000-0005-0000-0000-00001C4E0000}"/>
    <cellStyle name="Normal 3 3 15 4 7" xfId="11886" xr:uid="{00000000-0005-0000-0000-00001D4E0000}"/>
    <cellStyle name="Normal 3 3 15 4 7 2" xfId="29417" xr:uid="{00000000-0005-0000-0000-00001E4E0000}"/>
    <cellStyle name="Normal 3 3 15 4 8" xfId="11887" xr:uid="{00000000-0005-0000-0000-00001F4E0000}"/>
    <cellStyle name="Normal 3 3 15 4 8 2" xfId="29418" xr:uid="{00000000-0005-0000-0000-0000204E0000}"/>
    <cellStyle name="Normal 3 3 15 4 9" xfId="11888" xr:uid="{00000000-0005-0000-0000-0000214E0000}"/>
    <cellStyle name="Normal 3 3 15 4 9 2" xfId="29419" xr:uid="{00000000-0005-0000-0000-0000224E0000}"/>
    <cellStyle name="Normal 3 3 15 5" xfId="11889" xr:uid="{00000000-0005-0000-0000-0000234E0000}"/>
    <cellStyle name="Normal 3 3 15 5 10" xfId="11890" xr:uid="{00000000-0005-0000-0000-0000244E0000}"/>
    <cellStyle name="Normal 3 3 15 5 10 2" xfId="29421" xr:uid="{00000000-0005-0000-0000-0000254E0000}"/>
    <cellStyle name="Normal 3 3 15 5 11" xfId="11891" xr:uid="{00000000-0005-0000-0000-0000264E0000}"/>
    <cellStyle name="Normal 3 3 15 5 11 2" xfId="29422" xr:uid="{00000000-0005-0000-0000-0000274E0000}"/>
    <cellStyle name="Normal 3 3 15 5 12" xfId="11892" xr:uid="{00000000-0005-0000-0000-0000284E0000}"/>
    <cellStyle name="Normal 3 3 15 5 12 2" xfId="29423" xr:uid="{00000000-0005-0000-0000-0000294E0000}"/>
    <cellStyle name="Normal 3 3 15 5 13" xfId="11893" xr:uid="{00000000-0005-0000-0000-00002A4E0000}"/>
    <cellStyle name="Normal 3 3 15 5 13 2" xfId="29424" xr:uid="{00000000-0005-0000-0000-00002B4E0000}"/>
    <cellStyle name="Normal 3 3 15 5 14" xfId="11894" xr:uid="{00000000-0005-0000-0000-00002C4E0000}"/>
    <cellStyle name="Normal 3 3 15 5 14 2" xfId="29425" xr:uid="{00000000-0005-0000-0000-00002D4E0000}"/>
    <cellStyle name="Normal 3 3 15 5 15" xfId="29420" xr:uid="{00000000-0005-0000-0000-00002E4E0000}"/>
    <cellStyle name="Normal 3 3 15 5 2" xfId="11895" xr:uid="{00000000-0005-0000-0000-00002F4E0000}"/>
    <cellStyle name="Normal 3 3 15 5 2 2" xfId="29426" xr:uid="{00000000-0005-0000-0000-0000304E0000}"/>
    <cellStyle name="Normal 3 3 15 5 3" xfId="11896" xr:uid="{00000000-0005-0000-0000-0000314E0000}"/>
    <cellStyle name="Normal 3 3 15 5 3 2" xfId="29427" xr:uid="{00000000-0005-0000-0000-0000324E0000}"/>
    <cellStyle name="Normal 3 3 15 5 4" xfId="11897" xr:uid="{00000000-0005-0000-0000-0000334E0000}"/>
    <cellStyle name="Normal 3 3 15 5 4 2" xfId="29428" xr:uid="{00000000-0005-0000-0000-0000344E0000}"/>
    <cellStyle name="Normal 3 3 15 5 5" xfId="11898" xr:uid="{00000000-0005-0000-0000-0000354E0000}"/>
    <cellStyle name="Normal 3 3 15 5 5 2" xfId="29429" xr:uid="{00000000-0005-0000-0000-0000364E0000}"/>
    <cellStyle name="Normal 3 3 15 5 6" xfId="11899" xr:uid="{00000000-0005-0000-0000-0000374E0000}"/>
    <cellStyle name="Normal 3 3 15 5 6 2" xfId="29430" xr:uid="{00000000-0005-0000-0000-0000384E0000}"/>
    <cellStyle name="Normal 3 3 15 5 7" xfId="11900" xr:uid="{00000000-0005-0000-0000-0000394E0000}"/>
    <cellStyle name="Normal 3 3 15 5 7 2" xfId="29431" xr:uid="{00000000-0005-0000-0000-00003A4E0000}"/>
    <cellStyle name="Normal 3 3 15 5 8" xfId="11901" xr:uid="{00000000-0005-0000-0000-00003B4E0000}"/>
    <cellStyle name="Normal 3 3 15 5 8 2" xfId="29432" xr:uid="{00000000-0005-0000-0000-00003C4E0000}"/>
    <cellStyle name="Normal 3 3 15 5 9" xfId="11902" xr:uid="{00000000-0005-0000-0000-00003D4E0000}"/>
    <cellStyle name="Normal 3 3 15 5 9 2" xfId="29433" xr:uid="{00000000-0005-0000-0000-00003E4E0000}"/>
    <cellStyle name="Normal 3 3 15 6" xfId="11903" xr:uid="{00000000-0005-0000-0000-00003F4E0000}"/>
    <cellStyle name="Normal 3 3 15 6 10" xfId="11904" xr:uid="{00000000-0005-0000-0000-0000404E0000}"/>
    <cellStyle name="Normal 3 3 15 6 10 2" xfId="29435" xr:uid="{00000000-0005-0000-0000-0000414E0000}"/>
    <cellStyle name="Normal 3 3 15 6 11" xfId="11905" xr:uid="{00000000-0005-0000-0000-0000424E0000}"/>
    <cellStyle name="Normal 3 3 15 6 11 2" xfId="29436" xr:uid="{00000000-0005-0000-0000-0000434E0000}"/>
    <cellStyle name="Normal 3 3 15 6 12" xfId="11906" xr:uid="{00000000-0005-0000-0000-0000444E0000}"/>
    <cellStyle name="Normal 3 3 15 6 12 2" xfId="29437" xr:uid="{00000000-0005-0000-0000-0000454E0000}"/>
    <cellStyle name="Normal 3 3 15 6 13" xfId="11907" xr:uid="{00000000-0005-0000-0000-0000464E0000}"/>
    <cellStyle name="Normal 3 3 15 6 13 2" xfId="29438" xr:uid="{00000000-0005-0000-0000-0000474E0000}"/>
    <cellStyle name="Normal 3 3 15 6 14" xfId="11908" xr:uid="{00000000-0005-0000-0000-0000484E0000}"/>
    <cellStyle name="Normal 3 3 15 6 14 2" xfId="29439" xr:uid="{00000000-0005-0000-0000-0000494E0000}"/>
    <cellStyle name="Normal 3 3 15 6 15" xfId="29434" xr:uid="{00000000-0005-0000-0000-00004A4E0000}"/>
    <cellStyle name="Normal 3 3 15 6 2" xfId="11909" xr:uid="{00000000-0005-0000-0000-00004B4E0000}"/>
    <cellStyle name="Normal 3 3 15 6 2 2" xfId="29440" xr:uid="{00000000-0005-0000-0000-00004C4E0000}"/>
    <cellStyle name="Normal 3 3 15 6 3" xfId="11910" xr:uid="{00000000-0005-0000-0000-00004D4E0000}"/>
    <cellStyle name="Normal 3 3 15 6 3 2" xfId="29441" xr:uid="{00000000-0005-0000-0000-00004E4E0000}"/>
    <cellStyle name="Normal 3 3 15 6 4" xfId="11911" xr:uid="{00000000-0005-0000-0000-00004F4E0000}"/>
    <cellStyle name="Normal 3 3 15 6 4 2" xfId="29442" xr:uid="{00000000-0005-0000-0000-0000504E0000}"/>
    <cellStyle name="Normal 3 3 15 6 5" xfId="11912" xr:uid="{00000000-0005-0000-0000-0000514E0000}"/>
    <cellStyle name="Normal 3 3 15 6 5 2" xfId="29443" xr:uid="{00000000-0005-0000-0000-0000524E0000}"/>
    <cellStyle name="Normal 3 3 15 6 6" xfId="11913" xr:uid="{00000000-0005-0000-0000-0000534E0000}"/>
    <cellStyle name="Normal 3 3 15 6 6 2" xfId="29444" xr:uid="{00000000-0005-0000-0000-0000544E0000}"/>
    <cellStyle name="Normal 3 3 15 6 7" xfId="11914" xr:uid="{00000000-0005-0000-0000-0000554E0000}"/>
    <cellStyle name="Normal 3 3 15 6 7 2" xfId="29445" xr:uid="{00000000-0005-0000-0000-0000564E0000}"/>
    <cellStyle name="Normal 3 3 15 6 8" xfId="11915" xr:uid="{00000000-0005-0000-0000-0000574E0000}"/>
    <cellStyle name="Normal 3 3 15 6 8 2" xfId="29446" xr:uid="{00000000-0005-0000-0000-0000584E0000}"/>
    <cellStyle name="Normal 3 3 15 6 9" xfId="11916" xr:uid="{00000000-0005-0000-0000-0000594E0000}"/>
    <cellStyle name="Normal 3 3 15 6 9 2" xfId="29447" xr:uid="{00000000-0005-0000-0000-00005A4E0000}"/>
    <cellStyle name="Normal 3 3 15 7" xfId="11917" xr:uid="{00000000-0005-0000-0000-00005B4E0000}"/>
    <cellStyle name="Normal 3 3 15 7 10" xfId="11918" xr:uid="{00000000-0005-0000-0000-00005C4E0000}"/>
    <cellStyle name="Normal 3 3 15 7 10 2" xfId="29449" xr:uid="{00000000-0005-0000-0000-00005D4E0000}"/>
    <cellStyle name="Normal 3 3 15 7 11" xfId="11919" xr:uid="{00000000-0005-0000-0000-00005E4E0000}"/>
    <cellStyle name="Normal 3 3 15 7 11 2" xfId="29450" xr:uid="{00000000-0005-0000-0000-00005F4E0000}"/>
    <cellStyle name="Normal 3 3 15 7 12" xfId="11920" xr:uid="{00000000-0005-0000-0000-0000604E0000}"/>
    <cellStyle name="Normal 3 3 15 7 12 2" xfId="29451" xr:uid="{00000000-0005-0000-0000-0000614E0000}"/>
    <cellStyle name="Normal 3 3 15 7 13" xfId="11921" xr:uid="{00000000-0005-0000-0000-0000624E0000}"/>
    <cellStyle name="Normal 3 3 15 7 13 2" xfId="29452" xr:uid="{00000000-0005-0000-0000-0000634E0000}"/>
    <cellStyle name="Normal 3 3 15 7 14" xfId="11922" xr:uid="{00000000-0005-0000-0000-0000644E0000}"/>
    <cellStyle name="Normal 3 3 15 7 14 2" xfId="29453" xr:uid="{00000000-0005-0000-0000-0000654E0000}"/>
    <cellStyle name="Normal 3 3 15 7 15" xfId="29448" xr:uid="{00000000-0005-0000-0000-0000664E0000}"/>
    <cellStyle name="Normal 3 3 15 7 2" xfId="11923" xr:uid="{00000000-0005-0000-0000-0000674E0000}"/>
    <cellStyle name="Normal 3 3 15 7 2 2" xfId="29454" xr:uid="{00000000-0005-0000-0000-0000684E0000}"/>
    <cellStyle name="Normal 3 3 15 7 3" xfId="11924" xr:uid="{00000000-0005-0000-0000-0000694E0000}"/>
    <cellStyle name="Normal 3 3 15 7 3 2" xfId="29455" xr:uid="{00000000-0005-0000-0000-00006A4E0000}"/>
    <cellStyle name="Normal 3 3 15 7 4" xfId="11925" xr:uid="{00000000-0005-0000-0000-00006B4E0000}"/>
    <cellStyle name="Normal 3 3 15 7 4 2" xfId="29456" xr:uid="{00000000-0005-0000-0000-00006C4E0000}"/>
    <cellStyle name="Normal 3 3 15 7 5" xfId="11926" xr:uid="{00000000-0005-0000-0000-00006D4E0000}"/>
    <cellStyle name="Normal 3 3 15 7 5 2" xfId="29457" xr:uid="{00000000-0005-0000-0000-00006E4E0000}"/>
    <cellStyle name="Normal 3 3 15 7 6" xfId="11927" xr:uid="{00000000-0005-0000-0000-00006F4E0000}"/>
    <cellStyle name="Normal 3 3 15 7 6 2" xfId="29458" xr:uid="{00000000-0005-0000-0000-0000704E0000}"/>
    <cellStyle name="Normal 3 3 15 7 7" xfId="11928" xr:uid="{00000000-0005-0000-0000-0000714E0000}"/>
    <cellStyle name="Normal 3 3 15 7 7 2" xfId="29459" xr:uid="{00000000-0005-0000-0000-0000724E0000}"/>
    <cellStyle name="Normal 3 3 15 7 8" xfId="11929" xr:uid="{00000000-0005-0000-0000-0000734E0000}"/>
    <cellStyle name="Normal 3 3 15 7 8 2" xfId="29460" xr:uid="{00000000-0005-0000-0000-0000744E0000}"/>
    <cellStyle name="Normal 3 3 15 7 9" xfId="11930" xr:uid="{00000000-0005-0000-0000-0000754E0000}"/>
    <cellStyle name="Normal 3 3 15 7 9 2" xfId="29461" xr:uid="{00000000-0005-0000-0000-0000764E0000}"/>
    <cellStyle name="Normal 3 3 15 8" xfId="11931" xr:uid="{00000000-0005-0000-0000-0000774E0000}"/>
    <cellStyle name="Normal 3 3 15 8 10" xfId="11932" xr:uid="{00000000-0005-0000-0000-0000784E0000}"/>
    <cellStyle name="Normal 3 3 15 8 10 2" xfId="29463" xr:uid="{00000000-0005-0000-0000-0000794E0000}"/>
    <cellStyle name="Normal 3 3 15 8 11" xfId="11933" xr:uid="{00000000-0005-0000-0000-00007A4E0000}"/>
    <cellStyle name="Normal 3 3 15 8 11 2" xfId="29464" xr:uid="{00000000-0005-0000-0000-00007B4E0000}"/>
    <cellStyle name="Normal 3 3 15 8 12" xfId="11934" xr:uid="{00000000-0005-0000-0000-00007C4E0000}"/>
    <cellStyle name="Normal 3 3 15 8 12 2" xfId="29465" xr:uid="{00000000-0005-0000-0000-00007D4E0000}"/>
    <cellStyle name="Normal 3 3 15 8 13" xfId="11935" xr:uid="{00000000-0005-0000-0000-00007E4E0000}"/>
    <cellStyle name="Normal 3 3 15 8 13 2" xfId="29466" xr:uid="{00000000-0005-0000-0000-00007F4E0000}"/>
    <cellStyle name="Normal 3 3 15 8 14" xfId="11936" xr:uid="{00000000-0005-0000-0000-0000804E0000}"/>
    <cellStyle name="Normal 3 3 15 8 14 2" xfId="29467" xr:uid="{00000000-0005-0000-0000-0000814E0000}"/>
    <cellStyle name="Normal 3 3 15 8 15" xfId="29462" xr:uid="{00000000-0005-0000-0000-0000824E0000}"/>
    <cellStyle name="Normal 3 3 15 8 2" xfId="11937" xr:uid="{00000000-0005-0000-0000-0000834E0000}"/>
    <cellStyle name="Normal 3 3 15 8 2 2" xfId="29468" xr:uid="{00000000-0005-0000-0000-0000844E0000}"/>
    <cellStyle name="Normal 3 3 15 8 3" xfId="11938" xr:uid="{00000000-0005-0000-0000-0000854E0000}"/>
    <cellStyle name="Normal 3 3 15 8 3 2" xfId="29469" xr:uid="{00000000-0005-0000-0000-0000864E0000}"/>
    <cellStyle name="Normal 3 3 15 8 4" xfId="11939" xr:uid="{00000000-0005-0000-0000-0000874E0000}"/>
    <cellStyle name="Normal 3 3 15 8 4 2" xfId="29470" xr:uid="{00000000-0005-0000-0000-0000884E0000}"/>
    <cellStyle name="Normal 3 3 15 8 5" xfId="11940" xr:uid="{00000000-0005-0000-0000-0000894E0000}"/>
    <cellStyle name="Normal 3 3 15 8 5 2" xfId="29471" xr:uid="{00000000-0005-0000-0000-00008A4E0000}"/>
    <cellStyle name="Normal 3 3 15 8 6" xfId="11941" xr:uid="{00000000-0005-0000-0000-00008B4E0000}"/>
    <cellStyle name="Normal 3 3 15 8 6 2" xfId="29472" xr:uid="{00000000-0005-0000-0000-00008C4E0000}"/>
    <cellStyle name="Normal 3 3 15 8 7" xfId="11942" xr:uid="{00000000-0005-0000-0000-00008D4E0000}"/>
    <cellStyle name="Normal 3 3 15 8 7 2" xfId="29473" xr:uid="{00000000-0005-0000-0000-00008E4E0000}"/>
    <cellStyle name="Normal 3 3 15 8 8" xfId="11943" xr:uid="{00000000-0005-0000-0000-00008F4E0000}"/>
    <cellStyle name="Normal 3 3 15 8 8 2" xfId="29474" xr:uid="{00000000-0005-0000-0000-0000904E0000}"/>
    <cellStyle name="Normal 3 3 15 8 9" xfId="11944" xr:uid="{00000000-0005-0000-0000-0000914E0000}"/>
    <cellStyle name="Normal 3 3 15 8 9 2" xfId="29475" xr:uid="{00000000-0005-0000-0000-0000924E0000}"/>
    <cellStyle name="Normal 3 3 15 9" xfId="11945" xr:uid="{00000000-0005-0000-0000-0000934E0000}"/>
    <cellStyle name="Normal 3 3 15 9 10" xfId="11946" xr:uid="{00000000-0005-0000-0000-0000944E0000}"/>
    <cellStyle name="Normal 3 3 15 9 10 2" xfId="29477" xr:uid="{00000000-0005-0000-0000-0000954E0000}"/>
    <cellStyle name="Normal 3 3 15 9 11" xfId="11947" xr:uid="{00000000-0005-0000-0000-0000964E0000}"/>
    <cellStyle name="Normal 3 3 15 9 11 2" xfId="29478" xr:uid="{00000000-0005-0000-0000-0000974E0000}"/>
    <cellStyle name="Normal 3 3 15 9 12" xfId="11948" xr:uid="{00000000-0005-0000-0000-0000984E0000}"/>
    <cellStyle name="Normal 3 3 15 9 12 2" xfId="29479" xr:uid="{00000000-0005-0000-0000-0000994E0000}"/>
    <cellStyle name="Normal 3 3 15 9 13" xfId="11949" xr:uid="{00000000-0005-0000-0000-00009A4E0000}"/>
    <cellStyle name="Normal 3 3 15 9 13 2" xfId="29480" xr:uid="{00000000-0005-0000-0000-00009B4E0000}"/>
    <cellStyle name="Normal 3 3 15 9 14" xfId="11950" xr:uid="{00000000-0005-0000-0000-00009C4E0000}"/>
    <cellStyle name="Normal 3 3 15 9 14 2" xfId="29481" xr:uid="{00000000-0005-0000-0000-00009D4E0000}"/>
    <cellStyle name="Normal 3 3 15 9 15" xfId="29476" xr:uid="{00000000-0005-0000-0000-00009E4E0000}"/>
    <cellStyle name="Normal 3 3 15 9 2" xfId="11951" xr:uid="{00000000-0005-0000-0000-00009F4E0000}"/>
    <cellStyle name="Normal 3 3 15 9 2 2" xfId="29482" xr:uid="{00000000-0005-0000-0000-0000A04E0000}"/>
    <cellStyle name="Normal 3 3 15 9 3" xfId="11952" xr:uid="{00000000-0005-0000-0000-0000A14E0000}"/>
    <cellStyle name="Normal 3 3 15 9 3 2" xfId="29483" xr:uid="{00000000-0005-0000-0000-0000A24E0000}"/>
    <cellStyle name="Normal 3 3 15 9 4" xfId="11953" xr:uid="{00000000-0005-0000-0000-0000A34E0000}"/>
    <cellStyle name="Normal 3 3 15 9 4 2" xfId="29484" xr:uid="{00000000-0005-0000-0000-0000A44E0000}"/>
    <cellStyle name="Normal 3 3 15 9 5" xfId="11954" xr:uid="{00000000-0005-0000-0000-0000A54E0000}"/>
    <cellStyle name="Normal 3 3 15 9 5 2" xfId="29485" xr:uid="{00000000-0005-0000-0000-0000A64E0000}"/>
    <cellStyle name="Normal 3 3 15 9 6" xfId="11955" xr:uid="{00000000-0005-0000-0000-0000A74E0000}"/>
    <cellStyle name="Normal 3 3 15 9 6 2" xfId="29486" xr:uid="{00000000-0005-0000-0000-0000A84E0000}"/>
    <cellStyle name="Normal 3 3 15 9 7" xfId="11956" xr:uid="{00000000-0005-0000-0000-0000A94E0000}"/>
    <cellStyle name="Normal 3 3 15 9 7 2" xfId="29487" xr:uid="{00000000-0005-0000-0000-0000AA4E0000}"/>
    <cellStyle name="Normal 3 3 15 9 8" xfId="11957" xr:uid="{00000000-0005-0000-0000-0000AB4E0000}"/>
    <cellStyle name="Normal 3 3 15 9 8 2" xfId="29488" xr:uid="{00000000-0005-0000-0000-0000AC4E0000}"/>
    <cellStyle name="Normal 3 3 15 9 9" xfId="11958" xr:uid="{00000000-0005-0000-0000-0000AD4E0000}"/>
    <cellStyle name="Normal 3 3 15 9 9 2" xfId="29489" xr:uid="{00000000-0005-0000-0000-0000AE4E0000}"/>
    <cellStyle name="Normal 3 3 16" xfId="11959" xr:uid="{00000000-0005-0000-0000-0000AF4E0000}"/>
    <cellStyle name="Normal 3 3 16 10" xfId="11960" xr:uid="{00000000-0005-0000-0000-0000B04E0000}"/>
    <cellStyle name="Normal 3 3 16 10 10" xfId="11961" xr:uid="{00000000-0005-0000-0000-0000B14E0000}"/>
    <cellStyle name="Normal 3 3 16 10 10 2" xfId="29492" xr:uid="{00000000-0005-0000-0000-0000B24E0000}"/>
    <cellStyle name="Normal 3 3 16 10 11" xfId="11962" xr:uid="{00000000-0005-0000-0000-0000B34E0000}"/>
    <cellStyle name="Normal 3 3 16 10 11 2" xfId="29493" xr:uid="{00000000-0005-0000-0000-0000B44E0000}"/>
    <cellStyle name="Normal 3 3 16 10 12" xfId="11963" xr:uid="{00000000-0005-0000-0000-0000B54E0000}"/>
    <cellStyle name="Normal 3 3 16 10 12 2" xfId="29494" xr:uid="{00000000-0005-0000-0000-0000B64E0000}"/>
    <cellStyle name="Normal 3 3 16 10 13" xfId="11964" xr:uid="{00000000-0005-0000-0000-0000B74E0000}"/>
    <cellStyle name="Normal 3 3 16 10 13 2" xfId="29495" xr:uid="{00000000-0005-0000-0000-0000B84E0000}"/>
    <cellStyle name="Normal 3 3 16 10 14" xfId="11965" xr:uid="{00000000-0005-0000-0000-0000B94E0000}"/>
    <cellStyle name="Normal 3 3 16 10 14 2" xfId="29496" xr:uid="{00000000-0005-0000-0000-0000BA4E0000}"/>
    <cellStyle name="Normal 3 3 16 10 15" xfId="29491" xr:uid="{00000000-0005-0000-0000-0000BB4E0000}"/>
    <cellStyle name="Normal 3 3 16 10 2" xfId="11966" xr:uid="{00000000-0005-0000-0000-0000BC4E0000}"/>
    <cellStyle name="Normal 3 3 16 10 2 2" xfId="29497" xr:uid="{00000000-0005-0000-0000-0000BD4E0000}"/>
    <cellStyle name="Normal 3 3 16 10 3" xfId="11967" xr:uid="{00000000-0005-0000-0000-0000BE4E0000}"/>
    <cellStyle name="Normal 3 3 16 10 3 2" xfId="29498" xr:uid="{00000000-0005-0000-0000-0000BF4E0000}"/>
    <cellStyle name="Normal 3 3 16 10 4" xfId="11968" xr:uid="{00000000-0005-0000-0000-0000C04E0000}"/>
    <cellStyle name="Normal 3 3 16 10 4 2" xfId="29499" xr:uid="{00000000-0005-0000-0000-0000C14E0000}"/>
    <cellStyle name="Normal 3 3 16 10 5" xfId="11969" xr:uid="{00000000-0005-0000-0000-0000C24E0000}"/>
    <cellStyle name="Normal 3 3 16 10 5 2" xfId="29500" xr:uid="{00000000-0005-0000-0000-0000C34E0000}"/>
    <cellStyle name="Normal 3 3 16 10 6" xfId="11970" xr:uid="{00000000-0005-0000-0000-0000C44E0000}"/>
    <cellStyle name="Normal 3 3 16 10 6 2" xfId="29501" xr:uid="{00000000-0005-0000-0000-0000C54E0000}"/>
    <cellStyle name="Normal 3 3 16 10 7" xfId="11971" xr:uid="{00000000-0005-0000-0000-0000C64E0000}"/>
    <cellStyle name="Normal 3 3 16 10 7 2" xfId="29502" xr:uid="{00000000-0005-0000-0000-0000C74E0000}"/>
    <cellStyle name="Normal 3 3 16 10 8" xfId="11972" xr:uid="{00000000-0005-0000-0000-0000C84E0000}"/>
    <cellStyle name="Normal 3 3 16 10 8 2" xfId="29503" xr:uid="{00000000-0005-0000-0000-0000C94E0000}"/>
    <cellStyle name="Normal 3 3 16 10 9" xfId="11973" xr:uid="{00000000-0005-0000-0000-0000CA4E0000}"/>
    <cellStyle name="Normal 3 3 16 10 9 2" xfId="29504" xr:uid="{00000000-0005-0000-0000-0000CB4E0000}"/>
    <cellStyle name="Normal 3 3 16 11" xfId="11974" xr:uid="{00000000-0005-0000-0000-0000CC4E0000}"/>
    <cellStyle name="Normal 3 3 16 11 2" xfId="29505" xr:uid="{00000000-0005-0000-0000-0000CD4E0000}"/>
    <cellStyle name="Normal 3 3 16 12" xfId="11975" xr:uid="{00000000-0005-0000-0000-0000CE4E0000}"/>
    <cellStyle name="Normal 3 3 16 12 2" xfId="29506" xr:uid="{00000000-0005-0000-0000-0000CF4E0000}"/>
    <cellStyle name="Normal 3 3 16 13" xfId="11976" xr:uid="{00000000-0005-0000-0000-0000D04E0000}"/>
    <cellStyle name="Normal 3 3 16 13 2" xfId="29507" xr:uid="{00000000-0005-0000-0000-0000D14E0000}"/>
    <cellStyle name="Normal 3 3 16 14" xfId="11977" xr:uid="{00000000-0005-0000-0000-0000D24E0000}"/>
    <cellStyle name="Normal 3 3 16 14 2" xfId="29508" xr:uid="{00000000-0005-0000-0000-0000D34E0000}"/>
    <cellStyle name="Normal 3 3 16 15" xfId="11978" xr:uid="{00000000-0005-0000-0000-0000D44E0000}"/>
    <cellStyle name="Normal 3 3 16 15 2" xfId="29509" xr:uid="{00000000-0005-0000-0000-0000D54E0000}"/>
    <cellStyle name="Normal 3 3 16 16" xfId="11979" xr:uid="{00000000-0005-0000-0000-0000D64E0000}"/>
    <cellStyle name="Normal 3 3 16 16 2" xfId="29510" xr:uid="{00000000-0005-0000-0000-0000D74E0000}"/>
    <cellStyle name="Normal 3 3 16 17" xfId="11980" xr:uid="{00000000-0005-0000-0000-0000D84E0000}"/>
    <cellStyle name="Normal 3 3 16 17 2" xfId="29511" xr:uid="{00000000-0005-0000-0000-0000D94E0000}"/>
    <cellStyle name="Normal 3 3 16 18" xfId="11981" xr:uid="{00000000-0005-0000-0000-0000DA4E0000}"/>
    <cellStyle name="Normal 3 3 16 18 2" xfId="29512" xr:uid="{00000000-0005-0000-0000-0000DB4E0000}"/>
    <cellStyle name="Normal 3 3 16 19" xfId="11982" xr:uid="{00000000-0005-0000-0000-0000DC4E0000}"/>
    <cellStyle name="Normal 3 3 16 19 2" xfId="29513" xr:uid="{00000000-0005-0000-0000-0000DD4E0000}"/>
    <cellStyle name="Normal 3 3 16 2" xfId="11983" xr:uid="{00000000-0005-0000-0000-0000DE4E0000}"/>
    <cellStyle name="Normal 3 3 16 2 10" xfId="11984" xr:uid="{00000000-0005-0000-0000-0000DF4E0000}"/>
    <cellStyle name="Normal 3 3 16 2 10 2" xfId="29515" xr:uid="{00000000-0005-0000-0000-0000E04E0000}"/>
    <cellStyle name="Normal 3 3 16 2 11" xfId="11985" xr:uid="{00000000-0005-0000-0000-0000E14E0000}"/>
    <cellStyle name="Normal 3 3 16 2 11 2" xfId="29516" xr:uid="{00000000-0005-0000-0000-0000E24E0000}"/>
    <cellStyle name="Normal 3 3 16 2 12" xfId="11986" xr:uid="{00000000-0005-0000-0000-0000E34E0000}"/>
    <cellStyle name="Normal 3 3 16 2 12 2" xfId="29517" xr:uid="{00000000-0005-0000-0000-0000E44E0000}"/>
    <cellStyle name="Normal 3 3 16 2 13" xfId="11987" xr:uid="{00000000-0005-0000-0000-0000E54E0000}"/>
    <cellStyle name="Normal 3 3 16 2 13 2" xfId="29518" xr:uid="{00000000-0005-0000-0000-0000E64E0000}"/>
    <cellStyle name="Normal 3 3 16 2 14" xfId="11988" xr:uid="{00000000-0005-0000-0000-0000E74E0000}"/>
    <cellStyle name="Normal 3 3 16 2 14 2" xfId="29519" xr:uid="{00000000-0005-0000-0000-0000E84E0000}"/>
    <cellStyle name="Normal 3 3 16 2 15" xfId="11989" xr:uid="{00000000-0005-0000-0000-0000E94E0000}"/>
    <cellStyle name="Normal 3 3 16 2 15 2" xfId="29520" xr:uid="{00000000-0005-0000-0000-0000EA4E0000}"/>
    <cellStyle name="Normal 3 3 16 2 16" xfId="29514" xr:uid="{00000000-0005-0000-0000-0000EB4E0000}"/>
    <cellStyle name="Normal 3 3 16 2 2" xfId="11990" xr:uid="{00000000-0005-0000-0000-0000EC4E0000}"/>
    <cellStyle name="Normal 3 3 16 2 2 10" xfId="11991" xr:uid="{00000000-0005-0000-0000-0000ED4E0000}"/>
    <cellStyle name="Normal 3 3 16 2 2 10 2" xfId="29522" xr:uid="{00000000-0005-0000-0000-0000EE4E0000}"/>
    <cellStyle name="Normal 3 3 16 2 2 11" xfId="11992" xr:uid="{00000000-0005-0000-0000-0000EF4E0000}"/>
    <cellStyle name="Normal 3 3 16 2 2 11 2" xfId="29523" xr:uid="{00000000-0005-0000-0000-0000F04E0000}"/>
    <cellStyle name="Normal 3 3 16 2 2 12" xfId="11993" xr:uid="{00000000-0005-0000-0000-0000F14E0000}"/>
    <cellStyle name="Normal 3 3 16 2 2 12 2" xfId="29524" xr:uid="{00000000-0005-0000-0000-0000F24E0000}"/>
    <cellStyle name="Normal 3 3 16 2 2 13" xfId="11994" xr:uid="{00000000-0005-0000-0000-0000F34E0000}"/>
    <cellStyle name="Normal 3 3 16 2 2 13 2" xfId="29525" xr:uid="{00000000-0005-0000-0000-0000F44E0000}"/>
    <cellStyle name="Normal 3 3 16 2 2 14" xfId="11995" xr:uid="{00000000-0005-0000-0000-0000F54E0000}"/>
    <cellStyle name="Normal 3 3 16 2 2 14 2" xfId="29526" xr:uid="{00000000-0005-0000-0000-0000F64E0000}"/>
    <cellStyle name="Normal 3 3 16 2 2 15" xfId="29521" xr:uid="{00000000-0005-0000-0000-0000F74E0000}"/>
    <cellStyle name="Normal 3 3 16 2 2 2" xfId="11996" xr:uid="{00000000-0005-0000-0000-0000F84E0000}"/>
    <cellStyle name="Normal 3 3 16 2 2 2 2" xfId="29527" xr:uid="{00000000-0005-0000-0000-0000F94E0000}"/>
    <cellStyle name="Normal 3 3 16 2 2 3" xfId="11997" xr:uid="{00000000-0005-0000-0000-0000FA4E0000}"/>
    <cellStyle name="Normal 3 3 16 2 2 3 2" xfId="29528" xr:uid="{00000000-0005-0000-0000-0000FB4E0000}"/>
    <cellStyle name="Normal 3 3 16 2 2 4" xfId="11998" xr:uid="{00000000-0005-0000-0000-0000FC4E0000}"/>
    <cellStyle name="Normal 3 3 16 2 2 4 2" xfId="29529" xr:uid="{00000000-0005-0000-0000-0000FD4E0000}"/>
    <cellStyle name="Normal 3 3 16 2 2 5" xfId="11999" xr:uid="{00000000-0005-0000-0000-0000FE4E0000}"/>
    <cellStyle name="Normal 3 3 16 2 2 5 2" xfId="29530" xr:uid="{00000000-0005-0000-0000-0000FF4E0000}"/>
    <cellStyle name="Normal 3 3 16 2 2 6" xfId="12000" xr:uid="{00000000-0005-0000-0000-0000004F0000}"/>
    <cellStyle name="Normal 3 3 16 2 2 6 2" xfId="29531" xr:uid="{00000000-0005-0000-0000-0000014F0000}"/>
    <cellStyle name="Normal 3 3 16 2 2 7" xfId="12001" xr:uid="{00000000-0005-0000-0000-0000024F0000}"/>
    <cellStyle name="Normal 3 3 16 2 2 7 2" xfId="29532" xr:uid="{00000000-0005-0000-0000-0000034F0000}"/>
    <cellStyle name="Normal 3 3 16 2 2 8" xfId="12002" xr:uid="{00000000-0005-0000-0000-0000044F0000}"/>
    <cellStyle name="Normal 3 3 16 2 2 8 2" xfId="29533" xr:uid="{00000000-0005-0000-0000-0000054F0000}"/>
    <cellStyle name="Normal 3 3 16 2 2 9" xfId="12003" xr:uid="{00000000-0005-0000-0000-0000064F0000}"/>
    <cellStyle name="Normal 3 3 16 2 2 9 2" xfId="29534" xr:uid="{00000000-0005-0000-0000-0000074F0000}"/>
    <cellStyle name="Normal 3 3 16 2 3" xfId="12004" xr:uid="{00000000-0005-0000-0000-0000084F0000}"/>
    <cellStyle name="Normal 3 3 16 2 3 2" xfId="29535" xr:uid="{00000000-0005-0000-0000-0000094F0000}"/>
    <cellStyle name="Normal 3 3 16 2 4" xfId="12005" xr:uid="{00000000-0005-0000-0000-00000A4F0000}"/>
    <cellStyle name="Normal 3 3 16 2 4 2" xfId="29536" xr:uid="{00000000-0005-0000-0000-00000B4F0000}"/>
    <cellStyle name="Normal 3 3 16 2 5" xfId="12006" xr:uid="{00000000-0005-0000-0000-00000C4F0000}"/>
    <cellStyle name="Normal 3 3 16 2 5 2" xfId="29537" xr:uid="{00000000-0005-0000-0000-00000D4F0000}"/>
    <cellStyle name="Normal 3 3 16 2 6" xfId="12007" xr:uid="{00000000-0005-0000-0000-00000E4F0000}"/>
    <cellStyle name="Normal 3 3 16 2 6 2" xfId="29538" xr:uid="{00000000-0005-0000-0000-00000F4F0000}"/>
    <cellStyle name="Normal 3 3 16 2 7" xfId="12008" xr:uid="{00000000-0005-0000-0000-0000104F0000}"/>
    <cellStyle name="Normal 3 3 16 2 7 2" xfId="29539" xr:uid="{00000000-0005-0000-0000-0000114F0000}"/>
    <cellStyle name="Normal 3 3 16 2 8" xfId="12009" xr:uid="{00000000-0005-0000-0000-0000124F0000}"/>
    <cellStyle name="Normal 3 3 16 2 8 2" xfId="29540" xr:uid="{00000000-0005-0000-0000-0000134F0000}"/>
    <cellStyle name="Normal 3 3 16 2 9" xfId="12010" xr:uid="{00000000-0005-0000-0000-0000144F0000}"/>
    <cellStyle name="Normal 3 3 16 2 9 2" xfId="29541" xr:uid="{00000000-0005-0000-0000-0000154F0000}"/>
    <cellStyle name="Normal 3 3 16 20" xfId="12011" xr:uid="{00000000-0005-0000-0000-0000164F0000}"/>
    <cellStyle name="Normal 3 3 16 20 2" xfId="29542" xr:uid="{00000000-0005-0000-0000-0000174F0000}"/>
    <cellStyle name="Normal 3 3 16 21" xfId="12012" xr:uid="{00000000-0005-0000-0000-0000184F0000}"/>
    <cellStyle name="Normal 3 3 16 21 2" xfId="29543" xr:uid="{00000000-0005-0000-0000-0000194F0000}"/>
    <cellStyle name="Normal 3 3 16 22" xfId="12013" xr:uid="{00000000-0005-0000-0000-00001A4F0000}"/>
    <cellStyle name="Normal 3 3 16 22 2" xfId="29544" xr:uid="{00000000-0005-0000-0000-00001B4F0000}"/>
    <cellStyle name="Normal 3 3 16 23" xfId="12014" xr:uid="{00000000-0005-0000-0000-00001C4F0000}"/>
    <cellStyle name="Normal 3 3 16 23 2" xfId="29545" xr:uid="{00000000-0005-0000-0000-00001D4F0000}"/>
    <cellStyle name="Normal 3 3 16 24" xfId="29490" xr:uid="{00000000-0005-0000-0000-00001E4F0000}"/>
    <cellStyle name="Normal 3 3 16 3" xfId="12015" xr:uid="{00000000-0005-0000-0000-00001F4F0000}"/>
    <cellStyle name="Normal 3 3 16 3 10" xfId="12016" xr:uid="{00000000-0005-0000-0000-0000204F0000}"/>
    <cellStyle name="Normal 3 3 16 3 10 2" xfId="29547" xr:uid="{00000000-0005-0000-0000-0000214F0000}"/>
    <cellStyle name="Normal 3 3 16 3 11" xfId="12017" xr:uid="{00000000-0005-0000-0000-0000224F0000}"/>
    <cellStyle name="Normal 3 3 16 3 11 2" xfId="29548" xr:uid="{00000000-0005-0000-0000-0000234F0000}"/>
    <cellStyle name="Normal 3 3 16 3 12" xfId="12018" xr:uid="{00000000-0005-0000-0000-0000244F0000}"/>
    <cellStyle name="Normal 3 3 16 3 12 2" xfId="29549" xr:uid="{00000000-0005-0000-0000-0000254F0000}"/>
    <cellStyle name="Normal 3 3 16 3 13" xfId="12019" xr:uid="{00000000-0005-0000-0000-0000264F0000}"/>
    <cellStyle name="Normal 3 3 16 3 13 2" xfId="29550" xr:uid="{00000000-0005-0000-0000-0000274F0000}"/>
    <cellStyle name="Normal 3 3 16 3 14" xfId="12020" xr:uid="{00000000-0005-0000-0000-0000284F0000}"/>
    <cellStyle name="Normal 3 3 16 3 14 2" xfId="29551" xr:uid="{00000000-0005-0000-0000-0000294F0000}"/>
    <cellStyle name="Normal 3 3 16 3 15" xfId="12021" xr:uid="{00000000-0005-0000-0000-00002A4F0000}"/>
    <cellStyle name="Normal 3 3 16 3 15 2" xfId="29552" xr:uid="{00000000-0005-0000-0000-00002B4F0000}"/>
    <cellStyle name="Normal 3 3 16 3 16" xfId="29546" xr:uid="{00000000-0005-0000-0000-00002C4F0000}"/>
    <cellStyle name="Normal 3 3 16 3 2" xfId="12022" xr:uid="{00000000-0005-0000-0000-00002D4F0000}"/>
    <cellStyle name="Normal 3 3 16 3 2 10" xfId="12023" xr:uid="{00000000-0005-0000-0000-00002E4F0000}"/>
    <cellStyle name="Normal 3 3 16 3 2 10 2" xfId="29554" xr:uid="{00000000-0005-0000-0000-00002F4F0000}"/>
    <cellStyle name="Normal 3 3 16 3 2 11" xfId="12024" xr:uid="{00000000-0005-0000-0000-0000304F0000}"/>
    <cellStyle name="Normal 3 3 16 3 2 11 2" xfId="29555" xr:uid="{00000000-0005-0000-0000-0000314F0000}"/>
    <cellStyle name="Normal 3 3 16 3 2 12" xfId="12025" xr:uid="{00000000-0005-0000-0000-0000324F0000}"/>
    <cellStyle name="Normal 3 3 16 3 2 12 2" xfId="29556" xr:uid="{00000000-0005-0000-0000-0000334F0000}"/>
    <cellStyle name="Normal 3 3 16 3 2 13" xfId="12026" xr:uid="{00000000-0005-0000-0000-0000344F0000}"/>
    <cellStyle name="Normal 3 3 16 3 2 13 2" xfId="29557" xr:uid="{00000000-0005-0000-0000-0000354F0000}"/>
    <cellStyle name="Normal 3 3 16 3 2 14" xfId="12027" xr:uid="{00000000-0005-0000-0000-0000364F0000}"/>
    <cellStyle name="Normal 3 3 16 3 2 14 2" xfId="29558" xr:uid="{00000000-0005-0000-0000-0000374F0000}"/>
    <cellStyle name="Normal 3 3 16 3 2 15" xfId="29553" xr:uid="{00000000-0005-0000-0000-0000384F0000}"/>
    <cellStyle name="Normal 3 3 16 3 2 2" xfId="12028" xr:uid="{00000000-0005-0000-0000-0000394F0000}"/>
    <cellStyle name="Normal 3 3 16 3 2 2 2" xfId="29559" xr:uid="{00000000-0005-0000-0000-00003A4F0000}"/>
    <cellStyle name="Normal 3 3 16 3 2 3" xfId="12029" xr:uid="{00000000-0005-0000-0000-00003B4F0000}"/>
    <cellStyle name="Normal 3 3 16 3 2 3 2" xfId="29560" xr:uid="{00000000-0005-0000-0000-00003C4F0000}"/>
    <cellStyle name="Normal 3 3 16 3 2 4" xfId="12030" xr:uid="{00000000-0005-0000-0000-00003D4F0000}"/>
    <cellStyle name="Normal 3 3 16 3 2 4 2" xfId="29561" xr:uid="{00000000-0005-0000-0000-00003E4F0000}"/>
    <cellStyle name="Normal 3 3 16 3 2 5" xfId="12031" xr:uid="{00000000-0005-0000-0000-00003F4F0000}"/>
    <cellStyle name="Normal 3 3 16 3 2 5 2" xfId="29562" xr:uid="{00000000-0005-0000-0000-0000404F0000}"/>
    <cellStyle name="Normal 3 3 16 3 2 6" xfId="12032" xr:uid="{00000000-0005-0000-0000-0000414F0000}"/>
    <cellStyle name="Normal 3 3 16 3 2 6 2" xfId="29563" xr:uid="{00000000-0005-0000-0000-0000424F0000}"/>
    <cellStyle name="Normal 3 3 16 3 2 7" xfId="12033" xr:uid="{00000000-0005-0000-0000-0000434F0000}"/>
    <cellStyle name="Normal 3 3 16 3 2 7 2" xfId="29564" xr:uid="{00000000-0005-0000-0000-0000444F0000}"/>
    <cellStyle name="Normal 3 3 16 3 2 8" xfId="12034" xr:uid="{00000000-0005-0000-0000-0000454F0000}"/>
    <cellStyle name="Normal 3 3 16 3 2 8 2" xfId="29565" xr:uid="{00000000-0005-0000-0000-0000464F0000}"/>
    <cellStyle name="Normal 3 3 16 3 2 9" xfId="12035" xr:uid="{00000000-0005-0000-0000-0000474F0000}"/>
    <cellStyle name="Normal 3 3 16 3 2 9 2" xfId="29566" xr:uid="{00000000-0005-0000-0000-0000484F0000}"/>
    <cellStyle name="Normal 3 3 16 3 3" xfId="12036" xr:uid="{00000000-0005-0000-0000-0000494F0000}"/>
    <cellStyle name="Normal 3 3 16 3 3 2" xfId="29567" xr:uid="{00000000-0005-0000-0000-00004A4F0000}"/>
    <cellStyle name="Normal 3 3 16 3 4" xfId="12037" xr:uid="{00000000-0005-0000-0000-00004B4F0000}"/>
    <cellStyle name="Normal 3 3 16 3 4 2" xfId="29568" xr:uid="{00000000-0005-0000-0000-00004C4F0000}"/>
    <cellStyle name="Normal 3 3 16 3 5" xfId="12038" xr:uid="{00000000-0005-0000-0000-00004D4F0000}"/>
    <cellStyle name="Normal 3 3 16 3 5 2" xfId="29569" xr:uid="{00000000-0005-0000-0000-00004E4F0000}"/>
    <cellStyle name="Normal 3 3 16 3 6" xfId="12039" xr:uid="{00000000-0005-0000-0000-00004F4F0000}"/>
    <cellStyle name="Normal 3 3 16 3 6 2" xfId="29570" xr:uid="{00000000-0005-0000-0000-0000504F0000}"/>
    <cellStyle name="Normal 3 3 16 3 7" xfId="12040" xr:uid="{00000000-0005-0000-0000-0000514F0000}"/>
    <cellStyle name="Normal 3 3 16 3 7 2" xfId="29571" xr:uid="{00000000-0005-0000-0000-0000524F0000}"/>
    <cellStyle name="Normal 3 3 16 3 8" xfId="12041" xr:uid="{00000000-0005-0000-0000-0000534F0000}"/>
    <cellStyle name="Normal 3 3 16 3 8 2" xfId="29572" xr:uid="{00000000-0005-0000-0000-0000544F0000}"/>
    <cellStyle name="Normal 3 3 16 3 9" xfId="12042" xr:uid="{00000000-0005-0000-0000-0000554F0000}"/>
    <cellStyle name="Normal 3 3 16 3 9 2" xfId="29573" xr:uid="{00000000-0005-0000-0000-0000564F0000}"/>
    <cellStyle name="Normal 3 3 16 4" xfId="12043" xr:uid="{00000000-0005-0000-0000-0000574F0000}"/>
    <cellStyle name="Normal 3 3 16 4 10" xfId="12044" xr:uid="{00000000-0005-0000-0000-0000584F0000}"/>
    <cellStyle name="Normal 3 3 16 4 10 2" xfId="29575" xr:uid="{00000000-0005-0000-0000-0000594F0000}"/>
    <cellStyle name="Normal 3 3 16 4 11" xfId="12045" xr:uid="{00000000-0005-0000-0000-00005A4F0000}"/>
    <cellStyle name="Normal 3 3 16 4 11 2" xfId="29576" xr:uid="{00000000-0005-0000-0000-00005B4F0000}"/>
    <cellStyle name="Normal 3 3 16 4 12" xfId="12046" xr:uid="{00000000-0005-0000-0000-00005C4F0000}"/>
    <cellStyle name="Normal 3 3 16 4 12 2" xfId="29577" xr:uid="{00000000-0005-0000-0000-00005D4F0000}"/>
    <cellStyle name="Normal 3 3 16 4 13" xfId="12047" xr:uid="{00000000-0005-0000-0000-00005E4F0000}"/>
    <cellStyle name="Normal 3 3 16 4 13 2" xfId="29578" xr:uid="{00000000-0005-0000-0000-00005F4F0000}"/>
    <cellStyle name="Normal 3 3 16 4 14" xfId="12048" xr:uid="{00000000-0005-0000-0000-0000604F0000}"/>
    <cellStyle name="Normal 3 3 16 4 14 2" xfId="29579" xr:uid="{00000000-0005-0000-0000-0000614F0000}"/>
    <cellStyle name="Normal 3 3 16 4 15" xfId="12049" xr:uid="{00000000-0005-0000-0000-0000624F0000}"/>
    <cellStyle name="Normal 3 3 16 4 15 2" xfId="29580" xr:uid="{00000000-0005-0000-0000-0000634F0000}"/>
    <cellStyle name="Normal 3 3 16 4 16" xfId="29574" xr:uid="{00000000-0005-0000-0000-0000644F0000}"/>
    <cellStyle name="Normal 3 3 16 4 2" xfId="12050" xr:uid="{00000000-0005-0000-0000-0000654F0000}"/>
    <cellStyle name="Normal 3 3 16 4 2 10" xfId="12051" xr:uid="{00000000-0005-0000-0000-0000664F0000}"/>
    <cellStyle name="Normal 3 3 16 4 2 10 2" xfId="29582" xr:uid="{00000000-0005-0000-0000-0000674F0000}"/>
    <cellStyle name="Normal 3 3 16 4 2 11" xfId="12052" xr:uid="{00000000-0005-0000-0000-0000684F0000}"/>
    <cellStyle name="Normal 3 3 16 4 2 11 2" xfId="29583" xr:uid="{00000000-0005-0000-0000-0000694F0000}"/>
    <cellStyle name="Normal 3 3 16 4 2 12" xfId="12053" xr:uid="{00000000-0005-0000-0000-00006A4F0000}"/>
    <cellStyle name="Normal 3 3 16 4 2 12 2" xfId="29584" xr:uid="{00000000-0005-0000-0000-00006B4F0000}"/>
    <cellStyle name="Normal 3 3 16 4 2 13" xfId="12054" xr:uid="{00000000-0005-0000-0000-00006C4F0000}"/>
    <cellStyle name="Normal 3 3 16 4 2 13 2" xfId="29585" xr:uid="{00000000-0005-0000-0000-00006D4F0000}"/>
    <cellStyle name="Normal 3 3 16 4 2 14" xfId="12055" xr:uid="{00000000-0005-0000-0000-00006E4F0000}"/>
    <cellStyle name="Normal 3 3 16 4 2 14 2" xfId="29586" xr:uid="{00000000-0005-0000-0000-00006F4F0000}"/>
    <cellStyle name="Normal 3 3 16 4 2 15" xfId="29581" xr:uid="{00000000-0005-0000-0000-0000704F0000}"/>
    <cellStyle name="Normal 3 3 16 4 2 2" xfId="12056" xr:uid="{00000000-0005-0000-0000-0000714F0000}"/>
    <cellStyle name="Normal 3 3 16 4 2 2 2" xfId="29587" xr:uid="{00000000-0005-0000-0000-0000724F0000}"/>
    <cellStyle name="Normal 3 3 16 4 2 3" xfId="12057" xr:uid="{00000000-0005-0000-0000-0000734F0000}"/>
    <cellStyle name="Normal 3 3 16 4 2 3 2" xfId="29588" xr:uid="{00000000-0005-0000-0000-0000744F0000}"/>
    <cellStyle name="Normal 3 3 16 4 2 4" xfId="12058" xr:uid="{00000000-0005-0000-0000-0000754F0000}"/>
    <cellStyle name="Normal 3 3 16 4 2 4 2" xfId="29589" xr:uid="{00000000-0005-0000-0000-0000764F0000}"/>
    <cellStyle name="Normal 3 3 16 4 2 5" xfId="12059" xr:uid="{00000000-0005-0000-0000-0000774F0000}"/>
    <cellStyle name="Normal 3 3 16 4 2 5 2" xfId="29590" xr:uid="{00000000-0005-0000-0000-0000784F0000}"/>
    <cellStyle name="Normal 3 3 16 4 2 6" xfId="12060" xr:uid="{00000000-0005-0000-0000-0000794F0000}"/>
    <cellStyle name="Normal 3 3 16 4 2 6 2" xfId="29591" xr:uid="{00000000-0005-0000-0000-00007A4F0000}"/>
    <cellStyle name="Normal 3 3 16 4 2 7" xfId="12061" xr:uid="{00000000-0005-0000-0000-00007B4F0000}"/>
    <cellStyle name="Normal 3 3 16 4 2 7 2" xfId="29592" xr:uid="{00000000-0005-0000-0000-00007C4F0000}"/>
    <cellStyle name="Normal 3 3 16 4 2 8" xfId="12062" xr:uid="{00000000-0005-0000-0000-00007D4F0000}"/>
    <cellStyle name="Normal 3 3 16 4 2 8 2" xfId="29593" xr:uid="{00000000-0005-0000-0000-00007E4F0000}"/>
    <cellStyle name="Normal 3 3 16 4 2 9" xfId="12063" xr:uid="{00000000-0005-0000-0000-00007F4F0000}"/>
    <cellStyle name="Normal 3 3 16 4 2 9 2" xfId="29594" xr:uid="{00000000-0005-0000-0000-0000804F0000}"/>
    <cellStyle name="Normal 3 3 16 4 3" xfId="12064" xr:uid="{00000000-0005-0000-0000-0000814F0000}"/>
    <cellStyle name="Normal 3 3 16 4 3 2" xfId="29595" xr:uid="{00000000-0005-0000-0000-0000824F0000}"/>
    <cellStyle name="Normal 3 3 16 4 4" xfId="12065" xr:uid="{00000000-0005-0000-0000-0000834F0000}"/>
    <cellStyle name="Normal 3 3 16 4 4 2" xfId="29596" xr:uid="{00000000-0005-0000-0000-0000844F0000}"/>
    <cellStyle name="Normal 3 3 16 4 5" xfId="12066" xr:uid="{00000000-0005-0000-0000-0000854F0000}"/>
    <cellStyle name="Normal 3 3 16 4 5 2" xfId="29597" xr:uid="{00000000-0005-0000-0000-0000864F0000}"/>
    <cellStyle name="Normal 3 3 16 4 6" xfId="12067" xr:uid="{00000000-0005-0000-0000-0000874F0000}"/>
    <cellStyle name="Normal 3 3 16 4 6 2" xfId="29598" xr:uid="{00000000-0005-0000-0000-0000884F0000}"/>
    <cellStyle name="Normal 3 3 16 4 7" xfId="12068" xr:uid="{00000000-0005-0000-0000-0000894F0000}"/>
    <cellStyle name="Normal 3 3 16 4 7 2" xfId="29599" xr:uid="{00000000-0005-0000-0000-00008A4F0000}"/>
    <cellStyle name="Normal 3 3 16 4 8" xfId="12069" xr:uid="{00000000-0005-0000-0000-00008B4F0000}"/>
    <cellStyle name="Normal 3 3 16 4 8 2" xfId="29600" xr:uid="{00000000-0005-0000-0000-00008C4F0000}"/>
    <cellStyle name="Normal 3 3 16 4 9" xfId="12070" xr:uid="{00000000-0005-0000-0000-00008D4F0000}"/>
    <cellStyle name="Normal 3 3 16 4 9 2" xfId="29601" xr:uid="{00000000-0005-0000-0000-00008E4F0000}"/>
    <cellStyle name="Normal 3 3 16 5" xfId="12071" xr:uid="{00000000-0005-0000-0000-00008F4F0000}"/>
    <cellStyle name="Normal 3 3 16 5 10" xfId="12072" xr:uid="{00000000-0005-0000-0000-0000904F0000}"/>
    <cellStyle name="Normal 3 3 16 5 10 2" xfId="29603" xr:uid="{00000000-0005-0000-0000-0000914F0000}"/>
    <cellStyle name="Normal 3 3 16 5 11" xfId="12073" xr:uid="{00000000-0005-0000-0000-0000924F0000}"/>
    <cellStyle name="Normal 3 3 16 5 11 2" xfId="29604" xr:uid="{00000000-0005-0000-0000-0000934F0000}"/>
    <cellStyle name="Normal 3 3 16 5 12" xfId="12074" xr:uid="{00000000-0005-0000-0000-0000944F0000}"/>
    <cellStyle name="Normal 3 3 16 5 12 2" xfId="29605" xr:uid="{00000000-0005-0000-0000-0000954F0000}"/>
    <cellStyle name="Normal 3 3 16 5 13" xfId="12075" xr:uid="{00000000-0005-0000-0000-0000964F0000}"/>
    <cellStyle name="Normal 3 3 16 5 13 2" xfId="29606" xr:uid="{00000000-0005-0000-0000-0000974F0000}"/>
    <cellStyle name="Normal 3 3 16 5 14" xfId="12076" xr:uid="{00000000-0005-0000-0000-0000984F0000}"/>
    <cellStyle name="Normal 3 3 16 5 14 2" xfId="29607" xr:uid="{00000000-0005-0000-0000-0000994F0000}"/>
    <cellStyle name="Normal 3 3 16 5 15" xfId="29602" xr:uid="{00000000-0005-0000-0000-00009A4F0000}"/>
    <cellStyle name="Normal 3 3 16 5 2" xfId="12077" xr:uid="{00000000-0005-0000-0000-00009B4F0000}"/>
    <cellStyle name="Normal 3 3 16 5 2 2" xfId="29608" xr:uid="{00000000-0005-0000-0000-00009C4F0000}"/>
    <cellStyle name="Normal 3 3 16 5 3" xfId="12078" xr:uid="{00000000-0005-0000-0000-00009D4F0000}"/>
    <cellStyle name="Normal 3 3 16 5 3 2" xfId="29609" xr:uid="{00000000-0005-0000-0000-00009E4F0000}"/>
    <cellStyle name="Normal 3 3 16 5 4" xfId="12079" xr:uid="{00000000-0005-0000-0000-00009F4F0000}"/>
    <cellStyle name="Normal 3 3 16 5 4 2" xfId="29610" xr:uid="{00000000-0005-0000-0000-0000A04F0000}"/>
    <cellStyle name="Normal 3 3 16 5 5" xfId="12080" xr:uid="{00000000-0005-0000-0000-0000A14F0000}"/>
    <cellStyle name="Normal 3 3 16 5 5 2" xfId="29611" xr:uid="{00000000-0005-0000-0000-0000A24F0000}"/>
    <cellStyle name="Normal 3 3 16 5 6" xfId="12081" xr:uid="{00000000-0005-0000-0000-0000A34F0000}"/>
    <cellStyle name="Normal 3 3 16 5 6 2" xfId="29612" xr:uid="{00000000-0005-0000-0000-0000A44F0000}"/>
    <cellStyle name="Normal 3 3 16 5 7" xfId="12082" xr:uid="{00000000-0005-0000-0000-0000A54F0000}"/>
    <cellStyle name="Normal 3 3 16 5 7 2" xfId="29613" xr:uid="{00000000-0005-0000-0000-0000A64F0000}"/>
    <cellStyle name="Normal 3 3 16 5 8" xfId="12083" xr:uid="{00000000-0005-0000-0000-0000A74F0000}"/>
    <cellStyle name="Normal 3 3 16 5 8 2" xfId="29614" xr:uid="{00000000-0005-0000-0000-0000A84F0000}"/>
    <cellStyle name="Normal 3 3 16 5 9" xfId="12084" xr:uid="{00000000-0005-0000-0000-0000A94F0000}"/>
    <cellStyle name="Normal 3 3 16 5 9 2" xfId="29615" xr:uid="{00000000-0005-0000-0000-0000AA4F0000}"/>
    <cellStyle name="Normal 3 3 16 6" xfId="12085" xr:uid="{00000000-0005-0000-0000-0000AB4F0000}"/>
    <cellStyle name="Normal 3 3 16 6 10" xfId="12086" xr:uid="{00000000-0005-0000-0000-0000AC4F0000}"/>
    <cellStyle name="Normal 3 3 16 6 10 2" xfId="29617" xr:uid="{00000000-0005-0000-0000-0000AD4F0000}"/>
    <cellStyle name="Normal 3 3 16 6 11" xfId="12087" xr:uid="{00000000-0005-0000-0000-0000AE4F0000}"/>
    <cellStyle name="Normal 3 3 16 6 11 2" xfId="29618" xr:uid="{00000000-0005-0000-0000-0000AF4F0000}"/>
    <cellStyle name="Normal 3 3 16 6 12" xfId="12088" xr:uid="{00000000-0005-0000-0000-0000B04F0000}"/>
    <cellStyle name="Normal 3 3 16 6 12 2" xfId="29619" xr:uid="{00000000-0005-0000-0000-0000B14F0000}"/>
    <cellStyle name="Normal 3 3 16 6 13" xfId="12089" xr:uid="{00000000-0005-0000-0000-0000B24F0000}"/>
    <cellStyle name="Normal 3 3 16 6 13 2" xfId="29620" xr:uid="{00000000-0005-0000-0000-0000B34F0000}"/>
    <cellStyle name="Normal 3 3 16 6 14" xfId="12090" xr:uid="{00000000-0005-0000-0000-0000B44F0000}"/>
    <cellStyle name="Normal 3 3 16 6 14 2" xfId="29621" xr:uid="{00000000-0005-0000-0000-0000B54F0000}"/>
    <cellStyle name="Normal 3 3 16 6 15" xfId="29616" xr:uid="{00000000-0005-0000-0000-0000B64F0000}"/>
    <cellStyle name="Normal 3 3 16 6 2" xfId="12091" xr:uid="{00000000-0005-0000-0000-0000B74F0000}"/>
    <cellStyle name="Normal 3 3 16 6 2 2" xfId="29622" xr:uid="{00000000-0005-0000-0000-0000B84F0000}"/>
    <cellStyle name="Normal 3 3 16 6 3" xfId="12092" xr:uid="{00000000-0005-0000-0000-0000B94F0000}"/>
    <cellStyle name="Normal 3 3 16 6 3 2" xfId="29623" xr:uid="{00000000-0005-0000-0000-0000BA4F0000}"/>
    <cellStyle name="Normal 3 3 16 6 4" xfId="12093" xr:uid="{00000000-0005-0000-0000-0000BB4F0000}"/>
    <cellStyle name="Normal 3 3 16 6 4 2" xfId="29624" xr:uid="{00000000-0005-0000-0000-0000BC4F0000}"/>
    <cellStyle name="Normal 3 3 16 6 5" xfId="12094" xr:uid="{00000000-0005-0000-0000-0000BD4F0000}"/>
    <cellStyle name="Normal 3 3 16 6 5 2" xfId="29625" xr:uid="{00000000-0005-0000-0000-0000BE4F0000}"/>
    <cellStyle name="Normal 3 3 16 6 6" xfId="12095" xr:uid="{00000000-0005-0000-0000-0000BF4F0000}"/>
    <cellStyle name="Normal 3 3 16 6 6 2" xfId="29626" xr:uid="{00000000-0005-0000-0000-0000C04F0000}"/>
    <cellStyle name="Normal 3 3 16 6 7" xfId="12096" xr:uid="{00000000-0005-0000-0000-0000C14F0000}"/>
    <cellStyle name="Normal 3 3 16 6 7 2" xfId="29627" xr:uid="{00000000-0005-0000-0000-0000C24F0000}"/>
    <cellStyle name="Normal 3 3 16 6 8" xfId="12097" xr:uid="{00000000-0005-0000-0000-0000C34F0000}"/>
    <cellStyle name="Normal 3 3 16 6 8 2" xfId="29628" xr:uid="{00000000-0005-0000-0000-0000C44F0000}"/>
    <cellStyle name="Normal 3 3 16 6 9" xfId="12098" xr:uid="{00000000-0005-0000-0000-0000C54F0000}"/>
    <cellStyle name="Normal 3 3 16 6 9 2" xfId="29629" xr:uid="{00000000-0005-0000-0000-0000C64F0000}"/>
    <cellStyle name="Normal 3 3 16 7" xfId="12099" xr:uid="{00000000-0005-0000-0000-0000C74F0000}"/>
    <cellStyle name="Normal 3 3 16 7 10" xfId="12100" xr:uid="{00000000-0005-0000-0000-0000C84F0000}"/>
    <cellStyle name="Normal 3 3 16 7 10 2" xfId="29631" xr:uid="{00000000-0005-0000-0000-0000C94F0000}"/>
    <cellStyle name="Normal 3 3 16 7 11" xfId="12101" xr:uid="{00000000-0005-0000-0000-0000CA4F0000}"/>
    <cellStyle name="Normal 3 3 16 7 11 2" xfId="29632" xr:uid="{00000000-0005-0000-0000-0000CB4F0000}"/>
    <cellStyle name="Normal 3 3 16 7 12" xfId="12102" xr:uid="{00000000-0005-0000-0000-0000CC4F0000}"/>
    <cellStyle name="Normal 3 3 16 7 12 2" xfId="29633" xr:uid="{00000000-0005-0000-0000-0000CD4F0000}"/>
    <cellStyle name="Normal 3 3 16 7 13" xfId="12103" xr:uid="{00000000-0005-0000-0000-0000CE4F0000}"/>
    <cellStyle name="Normal 3 3 16 7 13 2" xfId="29634" xr:uid="{00000000-0005-0000-0000-0000CF4F0000}"/>
    <cellStyle name="Normal 3 3 16 7 14" xfId="12104" xr:uid="{00000000-0005-0000-0000-0000D04F0000}"/>
    <cellStyle name="Normal 3 3 16 7 14 2" xfId="29635" xr:uid="{00000000-0005-0000-0000-0000D14F0000}"/>
    <cellStyle name="Normal 3 3 16 7 15" xfId="29630" xr:uid="{00000000-0005-0000-0000-0000D24F0000}"/>
    <cellStyle name="Normal 3 3 16 7 2" xfId="12105" xr:uid="{00000000-0005-0000-0000-0000D34F0000}"/>
    <cellStyle name="Normal 3 3 16 7 2 2" xfId="29636" xr:uid="{00000000-0005-0000-0000-0000D44F0000}"/>
    <cellStyle name="Normal 3 3 16 7 3" xfId="12106" xr:uid="{00000000-0005-0000-0000-0000D54F0000}"/>
    <cellStyle name="Normal 3 3 16 7 3 2" xfId="29637" xr:uid="{00000000-0005-0000-0000-0000D64F0000}"/>
    <cellStyle name="Normal 3 3 16 7 4" xfId="12107" xr:uid="{00000000-0005-0000-0000-0000D74F0000}"/>
    <cellStyle name="Normal 3 3 16 7 4 2" xfId="29638" xr:uid="{00000000-0005-0000-0000-0000D84F0000}"/>
    <cellStyle name="Normal 3 3 16 7 5" xfId="12108" xr:uid="{00000000-0005-0000-0000-0000D94F0000}"/>
    <cellStyle name="Normal 3 3 16 7 5 2" xfId="29639" xr:uid="{00000000-0005-0000-0000-0000DA4F0000}"/>
    <cellStyle name="Normal 3 3 16 7 6" xfId="12109" xr:uid="{00000000-0005-0000-0000-0000DB4F0000}"/>
    <cellStyle name="Normal 3 3 16 7 6 2" xfId="29640" xr:uid="{00000000-0005-0000-0000-0000DC4F0000}"/>
    <cellStyle name="Normal 3 3 16 7 7" xfId="12110" xr:uid="{00000000-0005-0000-0000-0000DD4F0000}"/>
    <cellStyle name="Normal 3 3 16 7 7 2" xfId="29641" xr:uid="{00000000-0005-0000-0000-0000DE4F0000}"/>
    <cellStyle name="Normal 3 3 16 7 8" xfId="12111" xr:uid="{00000000-0005-0000-0000-0000DF4F0000}"/>
    <cellStyle name="Normal 3 3 16 7 8 2" xfId="29642" xr:uid="{00000000-0005-0000-0000-0000E04F0000}"/>
    <cellStyle name="Normal 3 3 16 7 9" xfId="12112" xr:uid="{00000000-0005-0000-0000-0000E14F0000}"/>
    <cellStyle name="Normal 3 3 16 7 9 2" xfId="29643" xr:uid="{00000000-0005-0000-0000-0000E24F0000}"/>
    <cellStyle name="Normal 3 3 16 8" xfId="12113" xr:uid="{00000000-0005-0000-0000-0000E34F0000}"/>
    <cellStyle name="Normal 3 3 16 8 10" xfId="12114" xr:uid="{00000000-0005-0000-0000-0000E44F0000}"/>
    <cellStyle name="Normal 3 3 16 8 10 2" xfId="29645" xr:uid="{00000000-0005-0000-0000-0000E54F0000}"/>
    <cellStyle name="Normal 3 3 16 8 11" xfId="12115" xr:uid="{00000000-0005-0000-0000-0000E64F0000}"/>
    <cellStyle name="Normal 3 3 16 8 11 2" xfId="29646" xr:uid="{00000000-0005-0000-0000-0000E74F0000}"/>
    <cellStyle name="Normal 3 3 16 8 12" xfId="12116" xr:uid="{00000000-0005-0000-0000-0000E84F0000}"/>
    <cellStyle name="Normal 3 3 16 8 12 2" xfId="29647" xr:uid="{00000000-0005-0000-0000-0000E94F0000}"/>
    <cellStyle name="Normal 3 3 16 8 13" xfId="12117" xr:uid="{00000000-0005-0000-0000-0000EA4F0000}"/>
    <cellStyle name="Normal 3 3 16 8 13 2" xfId="29648" xr:uid="{00000000-0005-0000-0000-0000EB4F0000}"/>
    <cellStyle name="Normal 3 3 16 8 14" xfId="12118" xr:uid="{00000000-0005-0000-0000-0000EC4F0000}"/>
    <cellStyle name="Normal 3 3 16 8 14 2" xfId="29649" xr:uid="{00000000-0005-0000-0000-0000ED4F0000}"/>
    <cellStyle name="Normal 3 3 16 8 15" xfId="29644" xr:uid="{00000000-0005-0000-0000-0000EE4F0000}"/>
    <cellStyle name="Normal 3 3 16 8 2" xfId="12119" xr:uid="{00000000-0005-0000-0000-0000EF4F0000}"/>
    <cellStyle name="Normal 3 3 16 8 2 2" xfId="29650" xr:uid="{00000000-0005-0000-0000-0000F04F0000}"/>
    <cellStyle name="Normal 3 3 16 8 3" xfId="12120" xr:uid="{00000000-0005-0000-0000-0000F14F0000}"/>
    <cellStyle name="Normal 3 3 16 8 3 2" xfId="29651" xr:uid="{00000000-0005-0000-0000-0000F24F0000}"/>
    <cellStyle name="Normal 3 3 16 8 4" xfId="12121" xr:uid="{00000000-0005-0000-0000-0000F34F0000}"/>
    <cellStyle name="Normal 3 3 16 8 4 2" xfId="29652" xr:uid="{00000000-0005-0000-0000-0000F44F0000}"/>
    <cellStyle name="Normal 3 3 16 8 5" xfId="12122" xr:uid="{00000000-0005-0000-0000-0000F54F0000}"/>
    <cellStyle name="Normal 3 3 16 8 5 2" xfId="29653" xr:uid="{00000000-0005-0000-0000-0000F64F0000}"/>
    <cellStyle name="Normal 3 3 16 8 6" xfId="12123" xr:uid="{00000000-0005-0000-0000-0000F74F0000}"/>
    <cellStyle name="Normal 3 3 16 8 6 2" xfId="29654" xr:uid="{00000000-0005-0000-0000-0000F84F0000}"/>
    <cellStyle name="Normal 3 3 16 8 7" xfId="12124" xr:uid="{00000000-0005-0000-0000-0000F94F0000}"/>
    <cellStyle name="Normal 3 3 16 8 7 2" xfId="29655" xr:uid="{00000000-0005-0000-0000-0000FA4F0000}"/>
    <cellStyle name="Normal 3 3 16 8 8" xfId="12125" xr:uid="{00000000-0005-0000-0000-0000FB4F0000}"/>
    <cellStyle name="Normal 3 3 16 8 8 2" xfId="29656" xr:uid="{00000000-0005-0000-0000-0000FC4F0000}"/>
    <cellStyle name="Normal 3 3 16 8 9" xfId="12126" xr:uid="{00000000-0005-0000-0000-0000FD4F0000}"/>
    <cellStyle name="Normal 3 3 16 8 9 2" xfId="29657" xr:uid="{00000000-0005-0000-0000-0000FE4F0000}"/>
    <cellStyle name="Normal 3 3 16 9" xfId="12127" xr:uid="{00000000-0005-0000-0000-0000FF4F0000}"/>
    <cellStyle name="Normal 3 3 16 9 10" xfId="12128" xr:uid="{00000000-0005-0000-0000-000000500000}"/>
    <cellStyle name="Normal 3 3 16 9 10 2" xfId="29659" xr:uid="{00000000-0005-0000-0000-000001500000}"/>
    <cellStyle name="Normal 3 3 16 9 11" xfId="12129" xr:uid="{00000000-0005-0000-0000-000002500000}"/>
    <cellStyle name="Normal 3 3 16 9 11 2" xfId="29660" xr:uid="{00000000-0005-0000-0000-000003500000}"/>
    <cellStyle name="Normal 3 3 16 9 12" xfId="12130" xr:uid="{00000000-0005-0000-0000-000004500000}"/>
    <cellStyle name="Normal 3 3 16 9 12 2" xfId="29661" xr:uid="{00000000-0005-0000-0000-000005500000}"/>
    <cellStyle name="Normal 3 3 16 9 13" xfId="12131" xr:uid="{00000000-0005-0000-0000-000006500000}"/>
    <cellStyle name="Normal 3 3 16 9 13 2" xfId="29662" xr:uid="{00000000-0005-0000-0000-000007500000}"/>
    <cellStyle name="Normal 3 3 16 9 14" xfId="12132" xr:uid="{00000000-0005-0000-0000-000008500000}"/>
    <cellStyle name="Normal 3 3 16 9 14 2" xfId="29663" xr:uid="{00000000-0005-0000-0000-000009500000}"/>
    <cellStyle name="Normal 3 3 16 9 15" xfId="29658" xr:uid="{00000000-0005-0000-0000-00000A500000}"/>
    <cellStyle name="Normal 3 3 16 9 2" xfId="12133" xr:uid="{00000000-0005-0000-0000-00000B500000}"/>
    <cellStyle name="Normal 3 3 16 9 2 2" xfId="29664" xr:uid="{00000000-0005-0000-0000-00000C500000}"/>
    <cellStyle name="Normal 3 3 16 9 3" xfId="12134" xr:uid="{00000000-0005-0000-0000-00000D500000}"/>
    <cellStyle name="Normal 3 3 16 9 3 2" xfId="29665" xr:uid="{00000000-0005-0000-0000-00000E500000}"/>
    <cellStyle name="Normal 3 3 16 9 4" xfId="12135" xr:uid="{00000000-0005-0000-0000-00000F500000}"/>
    <cellStyle name="Normal 3 3 16 9 4 2" xfId="29666" xr:uid="{00000000-0005-0000-0000-000010500000}"/>
    <cellStyle name="Normal 3 3 16 9 5" xfId="12136" xr:uid="{00000000-0005-0000-0000-000011500000}"/>
    <cellStyle name="Normal 3 3 16 9 5 2" xfId="29667" xr:uid="{00000000-0005-0000-0000-000012500000}"/>
    <cellStyle name="Normal 3 3 16 9 6" xfId="12137" xr:uid="{00000000-0005-0000-0000-000013500000}"/>
    <cellStyle name="Normal 3 3 16 9 6 2" xfId="29668" xr:uid="{00000000-0005-0000-0000-000014500000}"/>
    <cellStyle name="Normal 3 3 16 9 7" xfId="12138" xr:uid="{00000000-0005-0000-0000-000015500000}"/>
    <cellStyle name="Normal 3 3 16 9 7 2" xfId="29669" xr:uid="{00000000-0005-0000-0000-000016500000}"/>
    <cellStyle name="Normal 3 3 16 9 8" xfId="12139" xr:uid="{00000000-0005-0000-0000-000017500000}"/>
    <cellStyle name="Normal 3 3 16 9 8 2" xfId="29670" xr:uid="{00000000-0005-0000-0000-000018500000}"/>
    <cellStyle name="Normal 3 3 16 9 9" xfId="12140" xr:uid="{00000000-0005-0000-0000-000019500000}"/>
    <cellStyle name="Normal 3 3 16 9 9 2" xfId="29671" xr:uid="{00000000-0005-0000-0000-00001A500000}"/>
    <cellStyle name="Normal 3 3 17" xfId="12141" xr:uid="{00000000-0005-0000-0000-00001B500000}"/>
    <cellStyle name="Normal 3 3 17 10" xfId="12142" xr:uid="{00000000-0005-0000-0000-00001C500000}"/>
    <cellStyle name="Normal 3 3 17 10 10" xfId="12143" xr:uid="{00000000-0005-0000-0000-00001D500000}"/>
    <cellStyle name="Normal 3 3 17 10 10 2" xfId="29674" xr:uid="{00000000-0005-0000-0000-00001E500000}"/>
    <cellStyle name="Normal 3 3 17 10 11" xfId="12144" xr:uid="{00000000-0005-0000-0000-00001F500000}"/>
    <cellStyle name="Normal 3 3 17 10 11 2" xfId="29675" xr:uid="{00000000-0005-0000-0000-000020500000}"/>
    <cellStyle name="Normal 3 3 17 10 12" xfId="12145" xr:uid="{00000000-0005-0000-0000-000021500000}"/>
    <cellStyle name="Normal 3 3 17 10 12 2" xfId="29676" xr:uid="{00000000-0005-0000-0000-000022500000}"/>
    <cellStyle name="Normal 3 3 17 10 13" xfId="12146" xr:uid="{00000000-0005-0000-0000-000023500000}"/>
    <cellStyle name="Normal 3 3 17 10 13 2" xfId="29677" xr:uid="{00000000-0005-0000-0000-000024500000}"/>
    <cellStyle name="Normal 3 3 17 10 14" xfId="12147" xr:uid="{00000000-0005-0000-0000-000025500000}"/>
    <cellStyle name="Normal 3 3 17 10 14 2" xfId="29678" xr:uid="{00000000-0005-0000-0000-000026500000}"/>
    <cellStyle name="Normal 3 3 17 10 15" xfId="29673" xr:uid="{00000000-0005-0000-0000-000027500000}"/>
    <cellStyle name="Normal 3 3 17 10 2" xfId="12148" xr:uid="{00000000-0005-0000-0000-000028500000}"/>
    <cellStyle name="Normal 3 3 17 10 2 2" xfId="29679" xr:uid="{00000000-0005-0000-0000-000029500000}"/>
    <cellStyle name="Normal 3 3 17 10 3" xfId="12149" xr:uid="{00000000-0005-0000-0000-00002A500000}"/>
    <cellStyle name="Normal 3 3 17 10 3 2" xfId="29680" xr:uid="{00000000-0005-0000-0000-00002B500000}"/>
    <cellStyle name="Normal 3 3 17 10 4" xfId="12150" xr:uid="{00000000-0005-0000-0000-00002C500000}"/>
    <cellStyle name="Normal 3 3 17 10 4 2" xfId="29681" xr:uid="{00000000-0005-0000-0000-00002D500000}"/>
    <cellStyle name="Normal 3 3 17 10 5" xfId="12151" xr:uid="{00000000-0005-0000-0000-00002E500000}"/>
    <cellStyle name="Normal 3 3 17 10 5 2" xfId="29682" xr:uid="{00000000-0005-0000-0000-00002F500000}"/>
    <cellStyle name="Normal 3 3 17 10 6" xfId="12152" xr:uid="{00000000-0005-0000-0000-000030500000}"/>
    <cellStyle name="Normal 3 3 17 10 6 2" xfId="29683" xr:uid="{00000000-0005-0000-0000-000031500000}"/>
    <cellStyle name="Normal 3 3 17 10 7" xfId="12153" xr:uid="{00000000-0005-0000-0000-000032500000}"/>
    <cellStyle name="Normal 3 3 17 10 7 2" xfId="29684" xr:uid="{00000000-0005-0000-0000-000033500000}"/>
    <cellStyle name="Normal 3 3 17 10 8" xfId="12154" xr:uid="{00000000-0005-0000-0000-000034500000}"/>
    <cellStyle name="Normal 3 3 17 10 8 2" xfId="29685" xr:uid="{00000000-0005-0000-0000-000035500000}"/>
    <cellStyle name="Normal 3 3 17 10 9" xfId="12155" xr:uid="{00000000-0005-0000-0000-000036500000}"/>
    <cellStyle name="Normal 3 3 17 10 9 2" xfId="29686" xr:uid="{00000000-0005-0000-0000-000037500000}"/>
    <cellStyle name="Normal 3 3 17 11" xfId="12156" xr:uid="{00000000-0005-0000-0000-000038500000}"/>
    <cellStyle name="Normal 3 3 17 11 2" xfId="29687" xr:uid="{00000000-0005-0000-0000-000039500000}"/>
    <cellStyle name="Normal 3 3 17 12" xfId="12157" xr:uid="{00000000-0005-0000-0000-00003A500000}"/>
    <cellStyle name="Normal 3 3 17 12 2" xfId="29688" xr:uid="{00000000-0005-0000-0000-00003B500000}"/>
    <cellStyle name="Normal 3 3 17 13" xfId="12158" xr:uid="{00000000-0005-0000-0000-00003C500000}"/>
    <cellStyle name="Normal 3 3 17 13 2" xfId="29689" xr:uid="{00000000-0005-0000-0000-00003D500000}"/>
    <cellStyle name="Normal 3 3 17 14" xfId="12159" xr:uid="{00000000-0005-0000-0000-00003E500000}"/>
    <cellStyle name="Normal 3 3 17 14 2" xfId="29690" xr:uid="{00000000-0005-0000-0000-00003F500000}"/>
    <cellStyle name="Normal 3 3 17 15" xfId="12160" xr:uid="{00000000-0005-0000-0000-000040500000}"/>
    <cellStyle name="Normal 3 3 17 15 2" xfId="29691" xr:uid="{00000000-0005-0000-0000-000041500000}"/>
    <cellStyle name="Normal 3 3 17 16" xfId="12161" xr:uid="{00000000-0005-0000-0000-000042500000}"/>
    <cellStyle name="Normal 3 3 17 16 2" xfId="29692" xr:uid="{00000000-0005-0000-0000-000043500000}"/>
    <cellStyle name="Normal 3 3 17 17" xfId="12162" xr:uid="{00000000-0005-0000-0000-000044500000}"/>
    <cellStyle name="Normal 3 3 17 17 2" xfId="29693" xr:uid="{00000000-0005-0000-0000-000045500000}"/>
    <cellStyle name="Normal 3 3 17 18" xfId="12163" xr:uid="{00000000-0005-0000-0000-000046500000}"/>
    <cellStyle name="Normal 3 3 17 18 2" xfId="29694" xr:uid="{00000000-0005-0000-0000-000047500000}"/>
    <cellStyle name="Normal 3 3 17 19" xfId="12164" xr:uid="{00000000-0005-0000-0000-000048500000}"/>
    <cellStyle name="Normal 3 3 17 19 2" xfId="29695" xr:uid="{00000000-0005-0000-0000-000049500000}"/>
    <cellStyle name="Normal 3 3 17 2" xfId="12165" xr:uid="{00000000-0005-0000-0000-00004A500000}"/>
    <cellStyle name="Normal 3 3 17 2 10" xfId="12166" xr:uid="{00000000-0005-0000-0000-00004B500000}"/>
    <cellStyle name="Normal 3 3 17 2 10 2" xfId="29697" xr:uid="{00000000-0005-0000-0000-00004C500000}"/>
    <cellStyle name="Normal 3 3 17 2 11" xfId="12167" xr:uid="{00000000-0005-0000-0000-00004D500000}"/>
    <cellStyle name="Normal 3 3 17 2 11 2" xfId="29698" xr:uid="{00000000-0005-0000-0000-00004E500000}"/>
    <cellStyle name="Normal 3 3 17 2 12" xfId="12168" xr:uid="{00000000-0005-0000-0000-00004F500000}"/>
    <cellStyle name="Normal 3 3 17 2 12 2" xfId="29699" xr:uid="{00000000-0005-0000-0000-000050500000}"/>
    <cellStyle name="Normal 3 3 17 2 13" xfId="12169" xr:uid="{00000000-0005-0000-0000-000051500000}"/>
    <cellStyle name="Normal 3 3 17 2 13 2" xfId="29700" xr:uid="{00000000-0005-0000-0000-000052500000}"/>
    <cellStyle name="Normal 3 3 17 2 14" xfId="12170" xr:uid="{00000000-0005-0000-0000-000053500000}"/>
    <cellStyle name="Normal 3 3 17 2 14 2" xfId="29701" xr:uid="{00000000-0005-0000-0000-000054500000}"/>
    <cellStyle name="Normal 3 3 17 2 15" xfId="12171" xr:uid="{00000000-0005-0000-0000-000055500000}"/>
    <cellStyle name="Normal 3 3 17 2 15 2" xfId="29702" xr:uid="{00000000-0005-0000-0000-000056500000}"/>
    <cellStyle name="Normal 3 3 17 2 16" xfId="29696" xr:uid="{00000000-0005-0000-0000-000057500000}"/>
    <cellStyle name="Normal 3 3 17 2 2" xfId="12172" xr:uid="{00000000-0005-0000-0000-000058500000}"/>
    <cellStyle name="Normal 3 3 17 2 2 10" xfId="12173" xr:uid="{00000000-0005-0000-0000-000059500000}"/>
    <cellStyle name="Normal 3 3 17 2 2 10 2" xfId="29704" xr:uid="{00000000-0005-0000-0000-00005A500000}"/>
    <cellStyle name="Normal 3 3 17 2 2 11" xfId="12174" xr:uid="{00000000-0005-0000-0000-00005B500000}"/>
    <cellStyle name="Normal 3 3 17 2 2 11 2" xfId="29705" xr:uid="{00000000-0005-0000-0000-00005C500000}"/>
    <cellStyle name="Normal 3 3 17 2 2 12" xfId="12175" xr:uid="{00000000-0005-0000-0000-00005D500000}"/>
    <cellStyle name="Normal 3 3 17 2 2 12 2" xfId="29706" xr:uid="{00000000-0005-0000-0000-00005E500000}"/>
    <cellStyle name="Normal 3 3 17 2 2 13" xfId="12176" xr:uid="{00000000-0005-0000-0000-00005F500000}"/>
    <cellStyle name="Normal 3 3 17 2 2 13 2" xfId="29707" xr:uid="{00000000-0005-0000-0000-000060500000}"/>
    <cellStyle name="Normal 3 3 17 2 2 14" xfId="12177" xr:uid="{00000000-0005-0000-0000-000061500000}"/>
    <cellStyle name="Normal 3 3 17 2 2 14 2" xfId="29708" xr:uid="{00000000-0005-0000-0000-000062500000}"/>
    <cellStyle name="Normal 3 3 17 2 2 15" xfId="29703" xr:uid="{00000000-0005-0000-0000-000063500000}"/>
    <cellStyle name="Normal 3 3 17 2 2 2" xfId="12178" xr:uid="{00000000-0005-0000-0000-000064500000}"/>
    <cellStyle name="Normal 3 3 17 2 2 2 2" xfId="29709" xr:uid="{00000000-0005-0000-0000-000065500000}"/>
    <cellStyle name="Normal 3 3 17 2 2 3" xfId="12179" xr:uid="{00000000-0005-0000-0000-000066500000}"/>
    <cellStyle name="Normal 3 3 17 2 2 3 2" xfId="29710" xr:uid="{00000000-0005-0000-0000-000067500000}"/>
    <cellStyle name="Normal 3 3 17 2 2 4" xfId="12180" xr:uid="{00000000-0005-0000-0000-000068500000}"/>
    <cellStyle name="Normal 3 3 17 2 2 4 2" xfId="29711" xr:uid="{00000000-0005-0000-0000-000069500000}"/>
    <cellStyle name="Normal 3 3 17 2 2 5" xfId="12181" xr:uid="{00000000-0005-0000-0000-00006A500000}"/>
    <cellStyle name="Normal 3 3 17 2 2 5 2" xfId="29712" xr:uid="{00000000-0005-0000-0000-00006B500000}"/>
    <cellStyle name="Normal 3 3 17 2 2 6" xfId="12182" xr:uid="{00000000-0005-0000-0000-00006C500000}"/>
    <cellStyle name="Normal 3 3 17 2 2 6 2" xfId="29713" xr:uid="{00000000-0005-0000-0000-00006D500000}"/>
    <cellStyle name="Normal 3 3 17 2 2 7" xfId="12183" xr:uid="{00000000-0005-0000-0000-00006E500000}"/>
    <cellStyle name="Normal 3 3 17 2 2 7 2" xfId="29714" xr:uid="{00000000-0005-0000-0000-00006F500000}"/>
    <cellStyle name="Normal 3 3 17 2 2 8" xfId="12184" xr:uid="{00000000-0005-0000-0000-000070500000}"/>
    <cellStyle name="Normal 3 3 17 2 2 8 2" xfId="29715" xr:uid="{00000000-0005-0000-0000-000071500000}"/>
    <cellStyle name="Normal 3 3 17 2 2 9" xfId="12185" xr:uid="{00000000-0005-0000-0000-000072500000}"/>
    <cellStyle name="Normal 3 3 17 2 2 9 2" xfId="29716" xr:uid="{00000000-0005-0000-0000-000073500000}"/>
    <cellStyle name="Normal 3 3 17 2 3" xfId="12186" xr:uid="{00000000-0005-0000-0000-000074500000}"/>
    <cellStyle name="Normal 3 3 17 2 3 2" xfId="29717" xr:uid="{00000000-0005-0000-0000-000075500000}"/>
    <cellStyle name="Normal 3 3 17 2 4" xfId="12187" xr:uid="{00000000-0005-0000-0000-000076500000}"/>
    <cellStyle name="Normal 3 3 17 2 4 2" xfId="29718" xr:uid="{00000000-0005-0000-0000-000077500000}"/>
    <cellStyle name="Normal 3 3 17 2 5" xfId="12188" xr:uid="{00000000-0005-0000-0000-000078500000}"/>
    <cellStyle name="Normal 3 3 17 2 5 2" xfId="29719" xr:uid="{00000000-0005-0000-0000-000079500000}"/>
    <cellStyle name="Normal 3 3 17 2 6" xfId="12189" xr:uid="{00000000-0005-0000-0000-00007A500000}"/>
    <cellStyle name="Normal 3 3 17 2 6 2" xfId="29720" xr:uid="{00000000-0005-0000-0000-00007B500000}"/>
    <cellStyle name="Normal 3 3 17 2 7" xfId="12190" xr:uid="{00000000-0005-0000-0000-00007C500000}"/>
    <cellStyle name="Normal 3 3 17 2 7 2" xfId="29721" xr:uid="{00000000-0005-0000-0000-00007D500000}"/>
    <cellStyle name="Normal 3 3 17 2 8" xfId="12191" xr:uid="{00000000-0005-0000-0000-00007E500000}"/>
    <cellStyle name="Normal 3 3 17 2 8 2" xfId="29722" xr:uid="{00000000-0005-0000-0000-00007F500000}"/>
    <cellStyle name="Normal 3 3 17 2 9" xfId="12192" xr:uid="{00000000-0005-0000-0000-000080500000}"/>
    <cellStyle name="Normal 3 3 17 2 9 2" xfId="29723" xr:uid="{00000000-0005-0000-0000-000081500000}"/>
    <cellStyle name="Normal 3 3 17 20" xfId="12193" xr:uid="{00000000-0005-0000-0000-000082500000}"/>
    <cellStyle name="Normal 3 3 17 20 2" xfId="29724" xr:uid="{00000000-0005-0000-0000-000083500000}"/>
    <cellStyle name="Normal 3 3 17 21" xfId="12194" xr:uid="{00000000-0005-0000-0000-000084500000}"/>
    <cellStyle name="Normal 3 3 17 21 2" xfId="29725" xr:uid="{00000000-0005-0000-0000-000085500000}"/>
    <cellStyle name="Normal 3 3 17 22" xfId="12195" xr:uid="{00000000-0005-0000-0000-000086500000}"/>
    <cellStyle name="Normal 3 3 17 22 2" xfId="29726" xr:uid="{00000000-0005-0000-0000-000087500000}"/>
    <cellStyle name="Normal 3 3 17 23" xfId="12196" xr:uid="{00000000-0005-0000-0000-000088500000}"/>
    <cellStyle name="Normal 3 3 17 23 2" xfId="29727" xr:uid="{00000000-0005-0000-0000-000089500000}"/>
    <cellStyle name="Normal 3 3 17 24" xfId="29672" xr:uid="{00000000-0005-0000-0000-00008A500000}"/>
    <cellStyle name="Normal 3 3 17 3" xfId="12197" xr:uid="{00000000-0005-0000-0000-00008B500000}"/>
    <cellStyle name="Normal 3 3 17 3 10" xfId="12198" xr:uid="{00000000-0005-0000-0000-00008C500000}"/>
    <cellStyle name="Normal 3 3 17 3 10 2" xfId="29729" xr:uid="{00000000-0005-0000-0000-00008D500000}"/>
    <cellStyle name="Normal 3 3 17 3 11" xfId="12199" xr:uid="{00000000-0005-0000-0000-00008E500000}"/>
    <cellStyle name="Normal 3 3 17 3 11 2" xfId="29730" xr:uid="{00000000-0005-0000-0000-00008F500000}"/>
    <cellStyle name="Normal 3 3 17 3 12" xfId="12200" xr:uid="{00000000-0005-0000-0000-000090500000}"/>
    <cellStyle name="Normal 3 3 17 3 12 2" xfId="29731" xr:uid="{00000000-0005-0000-0000-000091500000}"/>
    <cellStyle name="Normal 3 3 17 3 13" xfId="12201" xr:uid="{00000000-0005-0000-0000-000092500000}"/>
    <cellStyle name="Normal 3 3 17 3 13 2" xfId="29732" xr:uid="{00000000-0005-0000-0000-000093500000}"/>
    <cellStyle name="Normal 3 3 17 3 14" xfId="12202" xr:uid="{00000000-0005-0000-0000-000094500000}"/>
    <cellStyle name="Normal 3 3 17 3 14 2" xfId="29733" xr:uid="{00000000-0005-0000-0000-000095500000}"/>
    <cellStyle name="Normal 3 3 17 3 15" xfId="12203" xr:uid="{00000000-0005-0000-0000-000096500000}"/>
    <cellStyle name="Normal 3 3 17 3 15 2" xfId="29734" xr:uid="{00000000-0005-0000-0000-000097500000}"/>
    <cellStyle name="Normal 3 3 17 3 16" xfId="29728" xr:uid="{00000000-0005-0000-0000-000098500000}"/>
    <cellStyle name="Normal 3 3 17 3 2" xfId="12204" xr:uid="{00000000-0005-0000-0000-000099500000}"/>
    <cellStyle name="Normal 3 3 17 3 2 10" xfId="12205" xr:uid="{00000000-0005-0000-0000-00009A500000}"/>
    <cellStyle name="Normal 3 3 17 3 2 10 2" xfId="29736" xr:uid="{00000000-0005-0000-0000-00009B500000}"/>
    <cellStyle name="Normal 3 3 17 3 2 11" xfId="12206" xr:uid="{00000000-0005-0000-0000-00009C500000}"/>
    <cellStyle name="Normal 3 3 17 3 2 11 2" xfId="29737" xr:uid="{00000000-0005-0000-0000-00009D500000}"/>
    <cellStyle name="Normal 3 3 17 3 2 12" xfId="12207" xr:uid="{00000000-0005-0000-0000-00009E500000}"/>
    <cellStyle name="Normal 3 3 17 3 2 12 2" xfId="29738" xr:uid="{00000000-0005-0000-0000-00009F500000}"/>
    <cellStyle name="Normal 3 3 17 3 2 13" xfId="12208" xr:uid="{00000000-0005-0000-0000-0000A0500000}"/>
    <cellStyle name="Normal 3 3 17 3 2 13 2" xfId="29739" xr:uid="{00000000-0005-0000-0000-0000A1500000}"/>
    <cellStyle name="Normal 3 3 17 3 2 14" xfId="12209" xr:uid="{00000000-0005-0000-0000-0000A2500000}"/>
    <cellStyle name="Normal 3 3 17 3 2 14 2" xfId="29740" xr:uid="{00000000-0005-0000-0000-0000A3500000}"/>
    <cellStyle name="Normal 3 3 17 3 2 15" xfId="29735" xr:uid="{00000000-0005-0000-0000-0000A4500000}"/>
    <cellStyle name="Normal 3 3 17 3 2 2" xfId="12210" xr:uid="{00000000-0005-0000-0000-0000A5500000}"/>
    <cellStyle name="Normal 3 3 17 3 2 2 2" xfId="29741" xr:uid="{00000000-0005-0000-0000-0000A6500000}"/>
    <cellStyle name="Normal 3 3 17 3 2 3" xfId="12211" xr:uid="{00000000-0005-0000-0000-0000A7500000}"/>
    <cellStyle name="Normal 3 3 17 3 2 3 2" xfId="29742" xr:uid="{00000000-0005-0000-0000-0000A8500000}"/>
    <cellStyle name="Normal 3 3 17 3 2 4" xfId="12212" xr:uid="{00000000-0005-0000-0000-0000A9500000}"/>
    <cellStyle name="Normal 3 3 17 3 2 4 2" xfId="29743" xr:uid="{00000000-0005-0000-0000-0000AA500000}"/>
    <cellStyle name="Normal 3 3 17 3 2 5" xfId="12213" xr:uid="{00000000-0005-0000-0000-0000AB500000}"/>
    <cellStyle name="Normal 3 3 17 3 2 5 2" xfId="29744" xr:uid="{00000000-0005-0000-0000-0000AC500000}"/>
    <cellStyle name="Normal 3 3 17 3 2 6" xfId="12214" xr:uid="{00000000-0005-0000-0000-0000AD500000}"/>
    <cellStyle name="Normal 3 3 17 3 2 6 2" xfId="29745" xr:uid="{00000000-0005-0000-0000-0000AE500000}"/>
    <cellStyle name="Normal 3 3 17 3 2 7" xfId="12215" xr:uid="{00000000-0005-0000-0000-0000AF500000}"/>
    <cellStyle name="Normal 3 3 17 3 2 7 2" xfId="29746" xr:uid="{00000000-0005-0000-0000-0000B0500000}"/>
    <cellStyle name="Normal 3 3 17 3 2 8" xfId="12216" xr:uid="{00000000-0005-0000-0000-0000B1500000}"/>
    <cellStyle name="Normal 3 3 17 3 2 8 2" xfId="29747" xr:uid="{00000000-0005-0000-0000-0000B2500000}"/>
    <cellStyle name="Normal 3 3 17 3 2 9" xfId="12217" xr:uid="{00000000-0005-0000-0000-0000B3500000}"/>
    <cellStyle name="Normal 3 3 17 3 2 9 2" xfId="29748" xr:uid="{00000000-0005-0000-0000-0000B4500000}"/>
    <cellStyle name="Normal 3 3 17 3 3" xfId="12218" xr:uid="{00000000-0005-0000-0000-0000B5500000}"/>
    <cellStyle name="Normal 3 3 17 3 3 2" xfId="29749" xr:uid="{00000000-0005-0000-0000-0000B6500000}"/>
    <cellStyle name="Normal 3 3 17 3 4" xfId="12219" xr:uid="{00000000-0005-0000-0000-0000B7500000}"/>
    <cellStyle name="Normal 3 3 17 3 4 2" xfId="29750" xr:uid="{00000000-0005-0000-0000-0000B8500000}"/>
    <cellStyle name="Normal 3 3 17 3 5" xfId="12220" xr:uid="{00000000-0005-0000-0000-0000B9500000}"/>
    <cellStyle name="Normal 3 3 17 3 5 2" xfId="29751" xr:uid="{00000000-0005-0000-0000-0000BA500000}"/>
    <cellStyle name="Normal 3 3 17 3 6" xfId="12221" xr:uid="{00000000-0005-0000-0000-0000BB500000}"/>
    <cellStyle name="Normal 3 3 17 3 6 2" xfId="29752" xr:uid="{00000000-0005-0000-0000-0000BC500000}"/>
    <cellStyle name="Normal 3 3 17 3 7" xfId="12222" xr:uid="{00000000-0005-0000-0000-0000BD500000}"/>
    <cellStyle name="Normal 3 3 17 3 7 2" xfId="29753" xr:uid="{00000000-0005-0000-0000-0000BE500000}"/>
    <cellStyle name="Normal 3 3 17 3 8" xfId="12223" xr:uid="{00000000-0005-0000-0000-0000BF500000}"/>
    <cellStyle name="Normal 3 3 17 3 8 2" xfId="29754" xr:uid="{00000000-0005-0000-0000-0000C0500000}"/>
    <cellStyle name="Normal 3 3 17 3 9" xfId="12224" xr:uid="{00000000-0005-0000-0000-0000C1500000}"/>
    <cellStyle name="Normal 3 3 17 3 9 2" xfId="29755" xr:uid="{00000000-0005-0000-0000-0000C2500000}"/>
    <cellStyle name="Normal 3 3 17 4" xfId="12225" xr:uid="{00000000-0005-0000-0000-0000C3500000}"/>
    <cellStyle name="Normal 3 3 17 4 10" xfId="12226" xr:uid="{00000000-0005-0000-0000-0000C4500000}"/>
    <cellStyle name="Normal 3 3 17 4 10 2" xfId="29757" xr:uid="{00000000-0005-0000-0000-0000C5500000}"/>
    <cellStyle name="Normal 3 3 17 4 11" xfId="12227" xr:uid="{00000000-0005-0000-0000-0000C6500000}"/>
    <cellStyle name="Normal 3 3 17 4 11 2" xfId="29758" xr:uid="{00000000-0005-0000-0000-0000C7500000}"/>
    <cellStyle name="Normal 3 3 17 4 12" xfId="12228" xr:uid="{00000000-0005-0000-0000-0000C8500000}"/>
    <cellStyle name="Normal 3 3 17 4 12 2" xfId="29759" xr:uid="{00000000-0005-0000-0000-0000C9500000}"/>
    <cellStyle name="Normal 3 3 17 4 13" xfId="12229" xr:uid="{00000000-0005-0000-0000-0000CA500000}"/>
    <cellStyle name="Normal 3 3 17 4 13 2" xfId="29760" xr:uid="{00000000-0005-0000-0000-0000CB500000}"/>
    <cellStyle name="Normal 3 3 17 4 14" xfId="12230" xr:uid="{00000000-0005-0000-0000-0000CC500000}"/>
    <cellStyle name="Normal 3 3 17 4 14 2" xfId="29761" xr:uid="{00000000-0005-0000-0000-0000CD500000}"/>
    <cellStyle name="Normal 3 3 17 4 15" xfId="12231" xr:uid="{00000000-0005-0000-0000-0000CE500000}"/>
    <cellStyle name="Normal 3 3 17 4 15 2" xfId="29762" xr:uid="{00000000-0005-0000-0000-0000CF500000}"/>
    <cellStyle name="Normal 3 3 17 4 16" xfId="29756" xr:uid="{00000000-0005-0000-0000-0000D0500000}"/>
    <cellStyle name="Normal 3 3 17 4 2" xfId="12232" xr:uid="{00000000-0005-0000-0000-0000D1500000}"/>
    <cellStyle name="Normal 3 3 17 4 2 10" xfId="12233" xr:uid="{00000000-0005-0000-0000-0000D2500000}"/>
    <cellStyle name="Normal 3 3 17 4 2 10 2" xfId="29764" xr:uid="{00000000-0005-0000-0000-0000D3500000}"/>
    <cellStyle name="Normal 3 3 17 4 2 11" xfId="12234" xr:uid="{00000000-0005-0000-0000-0000D4500000}"/>
    <cellStyle name="Normal 3 3 17 4 2 11 2" xfId="29765" xr:uid="{00000000-0005-0000-0000-0000D5500000}"/>
    <cellStyle name="Normal 3 3 17 4 2 12" xfId="12235" xr:uid="{00000000-0005-0000-0000-0000D6500000}"/>
    <cellStyle name="Normal 3 3 17 4 2 12 2" xfId="29766" xr:uid="{00000000-0005-0000-0000-0000D7500000}"/>
    <cellStyle name="Normal 3 3 17 4 2 13" xfId="12236" xr:uid="{00000000-0005-0000-0000-0000D8500000}"/>
    <cellStyle name="Normal 3 3 17 4 2 13 2" xfId="29767" xr:uid="{00000000-0005-0000-0000-0000D9500000}"/>
    <cellStyle name="Normal 3 3 17 4 2 14" xfId="12237" xr:uid="{00000000-0005-0000-0000-0000DA500000}"/>
    <cellStyle name="Normal 3 3 17 4 2 14 2" xfId="29768" xr:uid="{00000000-0005-0000-0000-0000DB500000}"/>
    <cellStyle name="Normal 3 3 17 4 2 15" xfId="29763" xr:uid="{00000000-0005-0000-0000-0000DC500000}"/>
    <cellStyle name="Normal 3 3 17 4 2 2" xfId="12238" xr:uid="{00000000-0005-0000-0000-0000DD500000}"/>
    <cellStyle name="Normal 3 3 17 4 2 2 2" xfId="29769" xr:uid="{00000000-0005-0000-0000-0000DE500000}"/>
    <cellStyle name="Normal 3 3 17 4 2 3" xfId="12239" xr:uid="{00000000-0005-0000-0000-0000DF500000}"/>
    <cellStyle name="Normal 3 3 17 4 2 3 2" xfId="29770" xr:uid="{00000000-0005-0000-0000-0000E0500000}"/>
    <cellStyle name="Normal 3 3 17 4 2 4" xfId="12240" xr:uid="{00000000-0005-0000-0000-0000E1500000}"/>
    <cellStyle name="Normal 3 3 17 4 2 4 2" xfId="29771" xr:uid="{00000000-0005-0000-0000-0000E2500000}"/>
    <cellStyle name="Normal 3 3 17 4 2 5" xfId="12241" xr:uid="{00000000-0005-0000-0000-0000E3500000}"/>
    <cellStyle name="Normal 3 3 17 4 2 5 2" xfId="29772" xr:uid="{00000000-0005-0000-0000-0000E4500000}"/>
    <cellStyle name="Normal 3 3 17 4 2 6" xfId="12242" xr:uid="{00000000-0005-0000-0000-0000E5500000}"/>
    <cellStyle name="Normal 3 3 17 4 2 6 2" xfId="29773" xr:uid="{00000000-0005-0000-0000-0000E6500000}"/>
    <cellStyle name="Normal 3 3 17 4 2 7" xfId="12243" xr:uid="{00000000-0005-0000-0000-0000E7500000}"/>
    <cellStyle name="Normal 3 3 17 4 2 7 2" xfId="29774" xr:uid="{00000000-0005-0000-0000-0000E8500000}"/>
    <cellStyle name="Normal 3 3 17 4 2 8" xfId="12244" xr:uid="{00000000-0005-0000-0000-0000E9500000}"/>
    <cellStyle name="Normal 3 3 17 4 2 8 2" xfId="29775" xr:uid="{00000000-0005-0000-0000-0000EA500000}"/>
    <cellStyle name="Normal 3 3 17 4 2 9" xfId="12245" xr:uid="{00000000-0005-0000-0000-0000EB500000}"/>
    <cellStyle name="Normal 3 3 17 4 2 9 2" xfId="29776" xr:uid="{00000000-0005-0000-0000-0000EC500000}"/>
    <cellStyle name="Normal 3 3 17 4 3" xfId="12246" xr:uid="{00000000-0005-0000-0000-0000ED500000}"/>
    <cellStyle name="Normal 3 3 17 4 3 2" xfId="29777" xr:uid="{00000000-0005-0000-0000-0000EE500000}"/>
    <cellStyle name="Normal 3 3 17 4 4" xfId="12247" xr:uid="{00000000-0005-0000-0000-0000EF500000}"/>
    <cellStyle name="Normal 3 3 17 4 4 2" xfId="29778" xr:uid="{00000000-0005-0000-0000-0000F0500000}"/>
    <cellStyle name="Normal 3 3 17 4 5" xfId="12248" xr:uid="{00000000-0005-0000-0000-0000F1500000}"/>
    <cellStyle name="Normal 3 3 17 4 5 2" xfId="29779" xr:uid="{00000000-0005-0000-0000-0000F2500000}"/>
    <cellStyle name="Normal 3 3 17 4 6" xfId="12249" xr:uid="{00000000-0005-0000-0000-0000F3500000}"/>
    <cellStyle name="Normal 3 3 17 4 6 2" xfId="29780" xr:uid="{00000000-0005-0000-0000-0000F4500000}"/>
    <cellStyle name="Normal 3 3 17 4 7" xfId="12250" xr:uid="{00000000-0005-0000-0000-0000F5500000}"/>
    <cellStyle name="Normal 3 3 17 4 7 2" xfId="29781" xr:uid="{00000000-0005-0000-0000-0000F6500000}"/>
    <cellStyle name="Normal 3 3 17 4 8" xfId="12251" xr:uid="{00000000-0005-0000-0000-0000F7500000}"/>
    <cellStyle name="Normal 3 3 17 4 8 2" xfId="29782" xr:uid="{00000000-0005-0000-0000-0000F8500000}"/>
    <cellStyle name="Normal 3 3 17 4 9" xfId="12252" xr:uid="{00000000-0005-0000-0000-0000F9500000}"/>
    <cellStyle name="Normal 3 3 17 4 9 2" xfId="29783" xr:uid="{00000000-0005-0000-0000-0000FA500000}"/>
    <cellStyle name="Normal 3 3 17 5" xfId="12253" xr:uid="{00000000-0005-0000-0000-0000FB500000}"/>
    <cellStyle name="Normal 3 3 17 5 10" xfId="12254" xr:uid="{00000000-0005-0000-0000-0000FC500000}"/>
    <cellStyle name="Normal 3 3 17 5 10 2" xfId="29785" xr:uid="{00000000-0005-0000-0000-0000FD500000}"/>
    <cellStyle name="Normal 3 3 17 5 11" xfId="12255" xr:uid="{00000000-0005-0000-0000-0000FE500000}"/>
    <cellStyle name="Normal 3 3 17 5 11 2" xfId="29786" xr:uid="{00000000-0005-0000-0000-0000FF500000}"/>
    <cellStyle name="Normal 3 3 17 5 12" xfId="12256" xr:uid="{00000000-0005-0000-0000-000000510000}"/>
    <cellStyle name="Normal 3 3 17 5 12 2" xfId="29787" xr:uid="{00000000-0005-0000-0000-000001510000}"/>
    <cellStyle name="Normal 3 3 17 5 13" xfId="12257" xr:uid="{00000000-0005-0000-0000-000002510000}"/>
    <cellStyle name="Normal 3 3 17 5 13 2" xfId="29788" xr:uid="{00000000-0005-0000-0000-000003510000}"/>
    <cellStyle name="Normal 3 3 17 5 14" xfId="12258" xr:uid="{00000000-0005-0000-0000-000004510000}"/>
    <cellStyle name="Normal 3 3 17 5 14 2" xfId="29789" xr:uid="{00000000-0005-0000-0000-000005510000}"/>
    <cellStyle name="Normal 3 3 17 5 15" xfId="29784" xr:uid="{00000000-0005-0000-0000-000006510000}"/>
    <cellStyle name="Normal 3 3 17 5 2" xfId="12259" xr:uid="{00000000-0005-0000-0000-000007510000}"/>
    <cellStyle name="Normal 3 3 17 5 2 2" xfId="29790" xr:uid="{00000000-0005-0000-0000-000008510000}"/>
    <cellStyle name="Normal 3 3 17 5 3" xfId="12260" xr:uid="{00000000-0005-0000-0000-000009510000}"/>
    <cellStyle name="Normal 3 3 17 5 3 2" xfId="29791" xr:uid="{00000000-0005-0000-0000-00000A510000}"/>
    <cellStyle name="Normal 3 3 17 5 4" xfId="12261" xr:uid="{00000000-0005-0000-0000-00000B510000}"/>
    <cellStyle name="Normal 3 3 17 5 4 2" xfId="29792" xr:uid="{00000000-0005-0000-0000-00000C510000}"/>
    <cellStyle name="Normal 3 3 17 5 5" xfId="12262" xr:uid="{00000000-0005-0000-0000-00000D510000}"/>
    <cellStyle name="Normal 3 3 17 5 5 2" xfId="29793" xr:uid="{00000000-0005-0000-0000-00000E510000}"/>
    <cellStyle name="Normal 3 3 17 5 6" xfId="12263" xr:uid="{00000000-0005-0000-0000-00000F510000}"/>
    <cellStyle name="Normal 3 3 17 5 6 2" xfId="29794" xr:uid="{00000000-0005-0000-0000-000010510000}"/>
    <cellStyle name="Normal 3 3 17 5 7" xfId="12264" xr:uid="{00000000-0005-0000-0000-000011510000}"/>
    <cellStyle name="Normal 3 3 17 5 7 2" xfId="29795" xr:uid="{00000000-0005-0000-0000-000012510000}"/>
    <cellStyle name="Normal 3 3 17 5 8" xfId="12265" xr:uid="{00000000-0005-0000-0000-000013510000}"/>
    <cellStyle name="Normal 3 3 17 5 8 2" xfId="29796" xr:uid="{00000000-0005-0000-0000-000014510000}"/>
    <cellStyle name="Normal 3 3 17 5 9" xfId="12266" xr:uid="{00000000-0005-0000-0000-000015510000}"/>
    <cellStyle name="Normal 3 3 17 5 9 2" xfId="29797" xr:uid="{00000000-0005-0000-0000-000016510000}"/>
    <cellStyle name="Normal 3 3 17 6" xfId="12267" xr:uid="{00000000-0005-0000-0000-000017510000}"/>
    <cellStyle name="Normal 3 3 17 6 10" xfId="12268" xr:uid="{00000000-0005-0000-0000-000018510000}"/>
    <cellStyle name="Normal 3 3 17 6 10 2" xfId="29799" xr:uid="{00000000-0005-0000-0000-000019510000}"/>
    <cellStyle name="Normal 3 3 17 6 11" xfId="12269" xr:uid="{00000000-0005-0000-0000-00001A510000}"/>
    <cellStyle name="Normal 3 3 17 6 11 2" xfId="29800" xr:uid="{00000000-0005-0000-0000-00001B510000}"/>
    <cellStyle name="Normal 3 3 17 6 12" xfId="12270" xr:uid="{00000000-0005-0000-0000-00001C510000}"/>
    <cellStyle name="Normal 3 3 17 6 12 2" xfId="29801" xr:uid="{00000000-0005-0000-0000-00001D510000}"/>
    <cellStyle name="Normal 3 3 17 6 13" xfId="12271" xr:uid="{00000000-0005-0000-0000-00001E510000}"/>
    <cellStyle name="Normal 3 3 17 6 13 2" xfId="29802" xr:uid="{00000000-0005-0000-0000-00001F510000}"/>
    <cellStyle name="Normal 3 3 17 6 14" xfId="12272" xr:uid="{00000000-0005-0000-0000-000020510000}"/>
    <cellStyle name="Normal 3 3 17 6 14 2" xfId="29803" xr:uid="{00000000-0005-0000-0000-000021510000}"/>
    <cellStyle name="Normal 3 3 17 6 15" xfId="29798" xr:uid="{00000000-0005-0000-0000-000022510000}"/>
    <cellStyle name="Normal 3 3 17 6 2" xfId="12273" xr:uid="{00000000-0005-0000-0000-000023510000}"/>
    <cellStyle name="Normal 3 3 17 6 2 2" xfId="29804" xr:uid="{00000000-0005-0000-0000-000024510000}"/>
    <cellStyle name="Normal 3 3 17 6 3" xfId="12274" xr:uid="{00000000-0005-0000-0000-000025510000}"/>
    <cellStyle name="Normal 3 3 17 6 3 2" xfId="29805" xr:uid="{00000000-0005-0000-0000-000026510000}"/>
    <cellStyle name="Normal 3 3 17 6 4" xfId="12275" xr:uid="{00000000-0005-0000-0000-000027510000}"/>
    <cellStyle name="Normal 3 3 17 6 4 2" xfId="29806" xr:uid="{00000000-0005-0000-0000-000028510000}"/>
    <cellStyle name="Normal 3 3 17 6 5" xfId="12276" xr:uid="{00000000-0005-0000-0000-000029510000}"/>
    <cellStyle name="Normal 3 3 17 6 5 2" xfId="29807" xr:uid="{00000000-0005-0000-0000-00002A510000}"/>
    <cellStyle name="Normal 3 3 17 6 6" xfId="12277" xr:uid="{00000000-0005-0000-0000-00002B510000}"/>
    <cellStyle name="Normal 3 3 17 6 6 2" xfId="29808" xr:uid="{00000000-0005-0000-0000-00002C510000}"/>
    <cellStyle name="Normal 3 3 17 6 7" xfId="12278" xr:uid="{00000000-0005-0000-0000-00002D510000}"/>
    <cellStyle name="Normal 3 3 17 6 7 2" xfId="29809" xr:uid="{00000000-0005-0000-0000-00002E510000}"/>
    <cellStyle name="Normal 3 3 17 6 8" xfId="12279" xr:uid="{00000000-0005-0000-0000-00002F510000}"/>
    <cellStyle name="Normal 3 3 17 6 8 2" xfId="29810" xr:uid="{00000000-0005-0000-0000-000030510000}"/>
    <cellStyle name="Normal 3 3 17 6 9" xfId="12280" xr:uid="{00000000-0005-0000-0000-000031510000}"/>
    <cellStyle name="Normal 3 3 17 6 9 2" xfId="29811" xr:uid="{00000000-0005-0000-0000-000032510000}"/>
    <cellStyle name="Normal 3 3 17 7" xfId="12281" xr:uid="{00000000-0005-0000-0000-000033510000}"/>
    <cellStyle name="Normal 3 3 17 7 10" xfId="12282" xr:uid="{00000000-0005-0000-0000-000034510000}"/>
    <cellStyle name="Normal 3 3 17 7 10 2" xfId="29813" xr:uid="{00000000-0005-0000-0000-000035510000}"/>
    <cellStyle name="Normal 3 3 17 7 11" xfId="12283" xr:uid="{00000000-0005-0000-0000-000036510000}"/>
    <cellStyle name="Normal 3 3 17 7 11 2" xfId="29814" xr:uid="{00000000-0005-0000-0000-000037510000}"/>
    <cellStyle name="Normal 3 3 17 7 12" xfId="12284" xr:uid="{00000000-0005-0000-0000-000038510000}"/>
    <cellStyle name="Normal 3 3 17 7 12 2" xfId="29815" xr:uid="{00000000-0005-0000-0000-000039510000}"/>
    <cellStyle name="Normal 3 3 17 7 13" xfId="12285" xr:uid="{00000000-0005-0000-0000-00003A510000}"/>
    <cellStyle name="Normal 3 3 17 7 13 2" xfId="29816" xr:uid="{00000000-0005-0000-0000-00003B510000}"/>
    <cellStyle name="Normal 3 3 17 7 14" xfId="12286" xr:uid="{00000000-0005-0000-0000-00003C510000}"/>
    <cellStyle name="Normal 3 3 17 7 14 2" xfId="29817" xr:uid="{00000000-0005-0000-0000-00003D510000}"/>
    <cellStyle name="Normal 3 3 17 7 15" xfId="29812" xr:uid="{00000000-0005-0000-0000-00003E510000}"/>
    <cellStyle name="Normal 3 3 17 7 2" xfId="12287" xr:uid="{00000000-0005-0000-0000-00003F510000}"/>
    <cellStyle name="Normal 3 3 17 7 2 2" xfId="29818" xr:uid="{00000000-0005-0000-0000-000040510000}"/>
    <cellStyle name="Normal 3 3 17 7 3" xfId="12288" xr:uid="{00000000-0005-0000-0000-000041510000}"/>
    <cellStyle name="Normal 3 3 17 7 3 2" xfId="29819" xr:uid="{00000000-0005-0000-0000-000042510000}"/>
    <cellStyle name="Normal 3 3 17 7 4" xfId="12289" xr:uid="{00000000-0005-0000-0000-000043510000}"/>
    <cellStyle name="Normal 3 3 17 7 4 2" xfId="29820" xr:uid="{00000000-0005-0000-0000-000044510000}"/>
    <cellStyle name="Normal 3 3 17 7 5" xfId="12290" xr:uid="{00000000-0005-0000-0000-000045510000}"/>
    <cellStyle name="Normal 3 3 17 7 5 2" xfId="29821" xr:uid="{00000000-0005-0000-0000-000046510000}"/>
    <cellStyle name="Normal 3 3 17 7 6" xfId="12291" xr:uid="{00000000-0005-0000-0000-000047510000}"/>
    <cellStyle name="Normal 3 3 17 7 6 2" xfId="29822" xr:uid="{00000000-0005-0000-0000-000048510000}"/>
    <cellStyle name="Normal 3 3 17 7 7" xfId="12292" xr:uid="{00000000-0005-0000-0000-000049510000}"/>
    <cellStyle name="Normal 3 3 17 7 7 2" xfId="29823" xr:uid="{00000000-0005-0000-0000-00004A510000}"/>
    <cellStyle name="Normal 3 3 17 7 8" xfId="12293" xr:uid="{00000000-0005-0000-0000-00004B510000}"/>
    <cellStyle name="Normal 3 3 17 7 8 2" xfId="29824" xr:uid="{00000000-0005-0000-0000-00004C510000}"/>
    <cellStyle name="Normal 3 3 17 7 9" xfId="12294" xr:uid="{00000000-0005-0000-0000-00004D510000}"/>
    <cellStyle name="Normal 3 3 17 7 9 2" xfId="29825" xr:uid="{00000000-0005-0000-0000-00004E510000}"/>
    <cellStyle name="Normal 3 3 17 8" xfId="12295" xr:uid="{00000000-0005-0000-0000-00004F510000}"/>
    <cellStyle name="Normal 3 3 17 8 10" xfId="12296" xr:uid="{00000000-0005-0000-0000-000050510000}"/>
    <cellStyle name="Normal 3 3 17 8 10 2" xfId="29827" xr:uid="{00000000-0005-0000-0000-000051510000}"/>
    <cellStyle name="Normal 3 3 17 8 11" xfId="12297" xr:uid="{00000000-0005-0000-0000-000052510000}"/>
    <cellStyle name="Normal 3 3 17 8 11 2" xfId="29828" xr:uid="{00000000-0005-0000-0000-000053510000}"/>
    <cellStyle name="Normal 3 3 17 8 12" xfId="12298" xr:uid="{00000000-0005-0000-0000-000054510000}"/>
    <cellStyle name="Normal 3 3 17 8 12 2" xfId="29829" xr:uid="{00000000-0005-0000-0000-000055510000}"/>
    <cellStyle name="Normal 3 3 17 8 13" xfId="12299" xr:uid="{00000000-0005-0000-0000-000056510000}"/>
    <cellStyle name="Normal 3 3 17 8 13 2" xfId="29830" xr:uid="{00000000-0005-0000-0000-000057510000}"/>
    <cellStyle name="Normal 3 3 17 8 14" xfId="12300" xr:uid="{00000000-0005-0000-0000-000058510000}"/>
    <cellStyle name="Normal 3 3 17 8 14 2" xfId="29831" xr:uid="{00000000-0005-0000-0000-000059510000}"/>
    <cellStyle name="Normal 3 3 17 8 15" xfId="29826" xr:uid="{00000000-0005-0000-0000-00005A510000}"/>
    <cellStyle name="Normal 3 3 17 8 2" xfId="12301" xr:uid="{00000000-0005-0000-0000-00005B510000}"/>
    <cellStyle name="Normal 3 3 17 8 2 2" xfId="29832" xr:uid="{00000000-0005-0000-0000-00005C510000}"/>
    <cellStyle name="Normal 3 3 17 8 3" xfId="12302" xr:uid="{00000000-0005-0000-0000-00005D510000}"/>
    <cellStyle name="Normal 3 3 17 8 3 2" xfId="29833" xr:uid="{00000000-0005-0000-0000-00005E510000}"/>
    <cellStyle name="Normal 3 3 17 8 4" xfId="12303" xr:uid="{00000000-0005-0000-0000-00005F510000}"/>
    <cellStyle name="Normal 3 3 17 8 4 2" xfId="29834" xr:uid="{00000000-0005-0000-0000-000060510000}"/>
    <cellStyle name="Normal 3 3 17 8 5" xfId="12304" xr:uid="{00000000-0005-0000-0000-000061510000}"/>
    <cellStyle name="Normal 3 3 17 8 5 2" xfId="29835" xr:uid="{00000000-0005-0000-0000-000062510000}"/>
    <cellStyle name="Normal 3 3 17 8 6" xfId="12305" xr:uid="{00000000-0005-0000-0000-000063510000}"/>
    <cellStyle name="Normal 3 3 17 8 6 2" xfId="29836" xr:uid="{00000000-0005-0000-0000-000064510000}"/>
    <cellStyle name="Normal 3 3 17 8 7" xfId="12306" xr:uid="{00000000-0005-0000-0000-000065510000}"/>
    <cellStyle name="Normal 3 3 17 8 7 2" xfId="29837" xr:uid="{00000000-0005-0000-0000-000066510000}"/>
    <cellStyle name="Normal 3 3 17 8 8" xfId="12307" xr:uid="{00000000-0005-0000-0000-000067510000}"/>
    <cellStyle name="Normal 3 3 17 8 8 2" xfId="29838" xr:uid="{00000000-0005-0000-0000-000068510000}"/>
    <cellStyle name="Normal 3 3 17 8 9" xfId="12308" xr:uid="{00000000-0005-0000-0000-000069510000}"/>
    <cellStyle name="Normal 3 3 17 8 9 2" xfId="29839" xr:uid="{00000000-0005-0000-0000-00006A510000}"/>
    <cellStyle name="Normal 3 3 17 9" xfId="12309" xr:uid="{00000000-0005-0000-0000-00006B510000}"/>
    <cellStyle name="Normal 3 3 17 9 10" xfId="12310" xr:uid="{00000000-0005-0000-0000-00006C510000}"/>
    <cellStyle name="Normal 3 3 17 9 10 2" xfId="29841" xr:uid="{00000000-0005-0000-0000-00006D510000}"/>
    <cellStyle name="Normal 3 3 17 9 11" xfId="12311" xr:uid="{00000000-0005-0000-0000-00006E510000}"/>
    <cellStyle name="Normal 3 3 17 9 11 2" xfId="29842" xr:uid="{00000000-0005-0000-0000-00006F510000}"/>
    <cellStyle name="Normal 3 3 17 9 12" xfId="12312" xr:uid="{00000000-0005-0000-0000-000070510000}"/>
    <cellStyle name="Normal 3 3 17 9 12 2" xfId="29843" xr:uid="{00000000-0005-0000-0000-000071510000}"/>
    <cellStyle name="Normal 3 3 17 9 13" xfId="12313" xr:uid="{00000000-0005-0000-0000-000072510000}"/>
    <cellStyle name="Normal 3 3 17 9 13 2" xfId="29844" xr:uid="{00000000-0005-0000-0000-000073510000}"/>
    <cellStyle name="Normal 3 3 17 9 14" xfId="12314" xr:uid="{00000000-0005-0000-0000-000074510000}"/>
    <cellStyle name="Normal 3 3 17 9 14 2" xfId="29845" xr:uid="{00000000-0005-0000-0000-000075510000}"/>
    <cellStyle name="Normal 3 3 17 9 15" xfId="29840" xr:uid="{00000000-0005-0000-0000-000076510000}"/>
    <cellStyle name="Normal 3 3 17 9 2" xfId="12315" xr:uid="{00000000-0005-0000-0000-000077510000}"/>
    <cellStyle name="Normal 3 3 17 9 2 2" xfId="29846" xr:uid="{00000000-0005-0000-0000-000078510000}"/>
    <cellStyle name="Normal 3 3 17 9 3" xfId="12316" xr:uid="{00000000-0005-0000-0000-000079510000}"/>
    <cellStyle name="Normal 3 3 17 9 3 2" xfId="29847" xr:uid="{00000000-0005-0000-0000-00007A510000}"/>
    <cellStyle name="Normal 3 3 17 9 4" xfId="12317" xr:uid="{00000000-0005-0000-0000-00007B510000}"/>
    <cellStyle name="Normal 3 3 17 9 4 2" xfId="29848" xr:uid="{00000000-0005-0000-0000-00007C510000}"/>
    <cellStyle name="Normal 3 3 17 9 5" xfId="12318" xr:uid="{00000000-0005-0000-0000-00007D510000}"/>
    <cellStyle name="Normal 3 3 17 9 5 2" xfId="29849" xr:uid="{00000000-0005-0000-0000-00007E510000}"/>
    <cellStyle name="Normal 3 3 17 9 6" xfId="12319" xr:uid="{00000000-0005-0000-0000-00007F510000}"/>
    <cellStyle name="Normal 3 3 17 9 6 2" xfId="29850" xr:uid="{00000000-0005-0000-0000-000080510000}"/>
    <cellStyle name="Normal 3 3 17 9 7" xfId="12320" xr:uid="{00000000-0005-0000-0000-000081510000}"/>
    <cellStyle name="Normal 3 3 17 9 7 2" xfId="29851" xr:uid="{00000000-0005-0000-0000-000082510000}"/>
    <cellStyle name="Normal 3 3 17 9 8" xfId="12321" xr:uid="{00000000-0005-0000-0000-000083510000}"/>
    <cellStyle name="Normal 3 3 17 9 8 2" xfId="29852" xr:uid="{00000000-0005-0000-0000-000084510000}"/>
    <cellStyle name="Normal 3 3 17 9 9" xfId="12322" xr:uid="{00000000-0005-0000-0000-000085510000}"/>
    <cellStyle name="Normal 3 3 17 9 9 2" xfId="29853" xr:uid="{00000000-0005-0000-0000-000086510000}"/>
    <cellStyle name="Normal 3 3 18" xfId="12323" xr:uid="{00000000-0005-0000-0000-000087510000}"/>
    <cellStyle name="Normal 3 3 18 10" xfId="12324" xr:uid="{00000000-0005-0000-0000-000088510000}"/>
    <cellStyle name="Normal 3 3 18 10 10" xfId="12325" xr:uid="{00000000-0005-0000-0000-000089510000}"/>
    <cellStyle name="Normal 3 3 18 10 10 2" xfId="29856" xr:uid="{00000000-0005-0000-0000-00008A510000}"/>
    <cellStyle name="Normal 3 3 18 10 11" xfId="12326" xr:uid="{00000000-0005-0000-0000-00008B510000}"/>
    <cellStyle name="Normal 3 3 18 10 11 2" xfId="29857" xr:uid="{00000000-0005-0000-0000-00008C510000}"/>
    <cellStyle name="Normal 3 3 18 10 12" xfId="12327" xr:uid="{00000000-0005-0000-0000-00008D510000}"/>
    <cellStyle name="Normal 3 3 18 10 12 2" xfId="29858" xr:uid="{00000000-0005-0000-0000-00008E510000}"/>
    <cellStyle name="Normal 3 3 18 10 13" xfId="12328" xr:uid="{00000000-0005-0000-0000-00008F510000}"/>
    <cellStyle name="Normal 3 3 18 10 13 2" xfId="29859" xr:uid="{00000000-0005-0000-0000-000090510000}"/>
    <cellStyle name="Normal 3 3 18 10 14" xfId="12329" xr:uid="{00000000-0005-0000-0000-000091510000}"/>
    <cellStyle name="Normal 3 3 18 10 14 2" xfId="29860" xr:uid="{00000000-0005-0000-0000-000092510000}"/>
    <cellStyle name="Normal 3 3 18 10 15" xfId="29855" xr:uid="{00000000-0005-0000-0000-000093510000}"/>
    <cellStyle name="Normal 3 3 18 10 2" xfId="12330" xr:uid="{00000000-0005-0000-0000-000094510000}"/>
    <cellStyle name="Normal 3 3 18 10 2 2" xfId="29861" xr:uid="{00000000-0005-0000-0000-000095510000}"/>
    <cellStyle name="Normal 3 3 18 10 3" xfId="12331" xr:uid="{00000000-0005-0000-0000-000096510000}"/>
    <cellStyle name="Normal 3 3 18 10 3 2" xfId="29862" xr:uid="{00000000-0005-0000-0000-000097510000}"/>
    <cellStyle name="Normal 3 3 18 10 4" xfId="12332" xr:uid="{00000000-0005-0000-0000-000098510000}"/>
    <cellStyle name="Normal 3 3 18 10 4 2" xfId="29863" xr:uid="{00000000-0005-0000-0000-000099510000}"/>
    <cellStyle name="Normal 3 3 18 10 5" xfId="12333" xr:uid="{00000000-0005-0000-0000-00009A510000}"/>
    <cellStyle name="Normal 3 3 18 10 5 2" xfId="29864" xr:uid="{00000000-0005-0000-0000-00009B510000}"/>
    <cellStyle name="Normal 3 3 18 10 6" xfId="12334" xr:uid="{00000000-0005-0000-0000-00009C510000}"/>
    <cellStyle name="Normal 3 3 18 10 6 2" xfId="29865" xr:uid="{00000000-0005-0000-0000-00009D510000}"/>
    <cellStyle name="Normal 3 3 18 10 7" xfId="12335" xr:uid="{00000000-0005-0000-0000-00009E510000}"/>
    <cellStyle name="Normal 3 3 18 10 7 2" xfId="29866" xr:uid="{00000000-0005-0000-0000-00009F510000}"/>
    <cellStyle name="Normal 3 3 18 10 8" xfId="12336" xr:uid="{00000000-0005-0000-0000-0000A0510000}"/>
    <cellStyle name="Normal 3 3 18 10 8 2" xfId="29867" xr:uid="{00000000-0005-0000-0000-0000A1510000}"/>
    <cellStyle name="Normal 3 3 18 10 9" xfId="12337" xr:uid="{00000000-0005-0000-0000-0000A2510000}"/>
    <cellStyle name="Normal 3 3 18 10 9 2" xfId="29868" xr:uid="{00000000-0005-0000-0000-0000A3510000}"/>
    <cellStyle name="Normal 3 3 18 11" xfId="12338" xr:uid="{00000000-0005-0000-0000-0000A4510000}"/>
    <cellStyle name="Normal 3 3 18 11 2" xfId="29869" xr:uid="{00000000-0005-0000-0000-0000A5510000}"/>
    <cellStyle name="Normal 3 3 18 12" xfId="12339" xr:uid="{00000000-0005-0000-0000-0000A6510000}"/>
    <cellStyle name="Normal 3 3 18 12 2" xfId="29870" xr:uid="{00000000-0005-0000-0000-0000A7510000}"/>
    <cellStyle name="Normal 3 3 18 13" xfId="12340" xr:uid="{00000000-0005-0000-0000-0000A8510000}"/>
    <cellStyle name="Normal 3 3 18 13 2" xfId="29871" xr:uid="{00000000-0005-0000-0000-0000A9510000}"/>
    <cellStyle name="Normal 3 3 18 14" xfId="12341" xr:uid="{00000000-0005-0000-0000-0000AA510000}"/>
    <cellStyle name="Normal 3 3 18 14 2" xfId="29872" xr:uid="{00000000-0005-0000-0000-0000AB510000}"/>
    <cellStyle name="Normal 3 3 18 15" xfId="12342" xr:uid="{00000000-0005-0000-0000-0000AC510000}"/>
    <cellStyle name="Normal 3 3 18 15 2" xfId="29873" xr:uid="{00000000-0005-0000-0000-0000AD510000}"/>
    <cellStyle name="Normal 3 3 18 16" xfId="12343" xr:uid="{00000000-0005-0000-0000-0000AE510000}"/>
    <cellStyle name="Normal 3 3 18 16 2" xfId="29874" xr:uid="{00000000-0005-0000-0000-0000AF510000}"/>
    <cellStyle name="Normal 3 3 18 17" xfId="12344" xr:uid="{00000000-0005-0000-0000-0000B0510000}"/>
    <cellStyle name="Normal 3 3 18 17 2" xfId="29875" xr:uid="{00000000-0005-0000-0000-0000B1510000}"/>
    <cellStyle name="Normal 3 3 18 18" xfId="12345" xr:uid="{00000000-0005-0000-0000-0000B2510000}"/>
    <cellStyle name="Normal 3 3 18 18 2" xfId="29876" xr:uid="{00000000-0005-0000-0000-0000B3510000}"/>
    <cellStyle name="Normal 3 3 18 19" xfId="12346" xr:uid="{00000000-0005-0000-0000-0000B4510000}"/>
    <cellStyle name="Normal 3 3 18 19 2" xfId="29877" xr:uid="{00000000-0005-0000-0000-0000B5510000}"/>
    <cellStyle name="Normal 3 3 18 2" xfId="12347" xr:uid="{00000000-0005-0000-0000-0000B6510000}"/>
    <cellStyle name="Normal 3 3 18 2 10" xfId="12348" xr:uid="{00000000-0005-0000-0000-0000B7510000}"/>
    <cellStyle name="Normal 3 3 18 2 10 2" xfId="29879" xr:uid="{00000000-0005-0000-0000-0000B8510000}"/>
    <cellStyle name="Normal 3 3 18 2 11" xfId="12349" xr:uid="{00000000-0005-0000-0000-0000B9510000}"/>
    <cellStyle name="Normal 3 3 18 2 11 2" xfId="29880" xr:uid="{00000000-0005-0000-0000-0000BA510000}"/>
    <cellStyle name="Normal 3 3 18 2 12" xfId="12350" xr:uid="{00000000-0005-0000-0000-0000BB510000}"/>
    <cellStyle name="Normal 3 3 18 2 12 2" xfId="29881" xr:uid="{00000000-0005-0000-0000-0000BC510000}"/>
    <cellStyle name="Normal 3 3 18 2 13" xfId="12351" xr:uid="{00000000-0005-0000-0000-0000BD510000}"/>
    <cellStyle name="Normal 3 3 18 2 13 2" xfId="29882" xr:uid="{00000000-0005-0000-0000-0000BE510000}"/>
    <cellStyle name="Normal 3 3 18 2 14" xfId="12352" xr:uid="{00000000-0005-0000-0000-0000BF510000}"/>
    <cellStyle name="Normal 3 3 18 2 14 2" xfId="29883" xr:uid="{00000000-0005-0000-0000-0000C0510000}"/>
    <cellStyle name="Normal 3 3 18 2 15" xfId="12353" xr:uid="{00000000-0005-0000-0000-0000C1510000}"/>
    <cellStyle name="Normal 3 3 18 2 15 2" xfId="29884" xr:uid="{00000000-0005-0000-0000-0000C2510000}"/>
    <cellStyle name="Normal 3 3 18 2 16" xfId="29878" xr:uid="{00000000-0005-0000-0000-0000C3510000}"/>
    <cellStyle name="Normal 3 3 18 2 2" xfId="12354" xr:uid="{00000000-0005-0000-0000-0000C4510000}"/>
    <cellStyle name="Normal 3 3 18 2 2 10" xfId="12355" xr:uid="{00000000-0005-0000-0000-0000C5510000}"/>
    <cellStyle name="Normal 3 3 18 2 2 10 2" xfId="29886" xr:uid="{00000000-0005-0000-0000-0000C6510000}"/>
    <cellStyle name="Normal 3 3 18 2 2 11" xfId="12356" xr:uid="{00000000-0005-0000-0000-0000C7510000}"/>
    <cellStyle name="Normal 3 3 18 2 2 11 2" xfId="29887" xr:uid="{00000000-0005-0000-0000-0000C8510000}"/>
    <cellStyle name="Normal 3 3 18 2 2 12" xfId="12357" xr:uid="{00000000-0005-0000-0000-0000C9510000}"/>
    <cellStyle name="Normal 3 3 18 2 2 12 2" xfId="29888" xr:uid="{00000000-0005-0000-0000-0000CA510000}"/>
    <cellStyle name="Normal 3 3 18 2 2 13" xfId="12358" xr:uid="{00000000-0005-0000-0000-0000CB510000}"/>
    <cellStyle name="Normal 3 3 18 2 2 13 2" xfId="29889" xr:uid="{00000000-0005-0000-0000-0000CC510000}"/>
    <cellStyle name="Normal 3 3 18 2 2 14" xfId="12359" xr:uid="{00000000-0005-0000-0000-0000CD510000}"/>
    <cellStyle name="Normal 3 3 18 2 2 14 2" xfId="29890" xr:uid="{00000000-0005-0000-0000-0000CE510000}"/>
    <cellStyle name="Normal 3 3 18 2 2 15" xfId="29885" xr:uid="{00000000-0005-0000-0000-0000CF510000}"/>
    <cellStyle name="Normal 3 3 18 2 2 2" xfId="12360" xr:uid="{00000000-0005-0000-0000-0000D0510000}"/>
    <cellStyle name="Normal 3 3 18 2 2 2 2" xfId="29891" xr:uid="{00000000-0005-0000-0000-0000D1510000}"/>
    <cellStyle name="Normal 3 3 18 2 2 3" xfId="12361" xr:uid="{00000000-0005-0000-0000-0000D2510000}"/>
    <cellStyle name="Normal 3 3 18 2 2 3 2" xfId="29892" xr:uid="{00000000-0005-0000-0000-0000D3510000}"/>
    <cellStyle name="Normal 3 3 18 2 2 4" xfId="12362" xr:uid="{00000000-0005-0000-0000-0000D4510000}"/>
    <cellStyle name="Normal 3 3 18 2 2 4 2" xfId="29893" xr:uid="{00000000-0005-0000-0000-0000D5510000}"/>
    <cellStyle name="Normal 3 3 18 2 2 5" xfId="12363" xr:uid="{00000000-0005-0000-0000-0000D6510000}"/>
    <cellStyle name="Normal 3 3 18 2 2 5 2" xfId="29894" xr:uid="{00000000-0005-0000-0000-0000D7510000}"/>
    <cellStyle name="Normal 3 3 18 2 2 6" xfId="12364" xr:uid="{00000000-0005-0000-0000-0000D8510000}"/>
    <cellStyle name="Normal 3 3 18 2 2 6 2" xfId="29895" xr:uid="{00000000-0005-0000-0000-0000D9510000}"/>
    <cellStyle name="Normal 3 3 18 2 2 7" xfId="12365" xr:uid="{00000000-0005-0000-0000-0000DA510000}"/>
    <cellStyle name="Normal 3 3 18 2 2 7 2" xfId="29896" xr:uid="{00000000-0005-0000-0000-0000DB510000}"/>
    <cellStyle name="Normal 3 3 18 2 2 8" xfId="12366" xr:uid="{00000000-0005-0000-0000-0000DC510000}"/>
    <cellStyle name="Normal 3 3 18 2 2 8 2" xfId="29897" xr:uid="{00000000-0005-0000-0000-0000DD510000}"/>
    <cellStyle name="Normal 3 3 18 2 2 9" xfId="12367" xr:uid="{00000000-0005-0000-0000-0000DE510000}"/>
    <cellStyle name="Normal 3 3 18 2 2 9 2" xfId="29898" xr:uid="{00000000-0005-0000-0000-0000DF510000}"/>
    <cellStyle name="Normal 3 3 18 2 3" xfId="12368" xr:uid="{00000000-0005-0000-0000-0000E0510000}"/>
    <cellStyle name="Normal 3 3 18 2 3 2" xfId="29899" xr:uid="{00000000-0005-0000-0000-0000E1510000}"/>
    <cellStyle name="Normal 3 3 18 2 4" xfId="12369" xr:uid="{00000000-0005-0000-0000-0000E2510000}"/>
    <cellStyle name="Normal 3 3 18 2 4 2" xfId="29900" xr:uid="{00000000-0005-0000-0000-0000E3510000}"/>
    <cellStyle name="Normal 3 3 18 2 5" xfId="12370" xr:uid="{00000000-0005-0000-0000-0000E4510000}"/>
    <cellStyle name="Normal 3 3 18 2 5 2" xfId="29901" xr:uid="{00000000-0005-0000-0000-0000E5510000}"/>
    <cellStyle name="Normal 3 3 18 2 6" xfId="12371" xr:uid="{00000000-0005-0000-0000-0000E6510000}"/>
    <cellStyle name="Normal 3 3 18 2 6 2" xfId="29902" xr:uid="{00000000-0005-0000-0000-0000E7510000}"/>
    <cellStyle name="Normal 3 3 18 2 7" xfId="12372" xr:uid="{00000000-0005-0000-0000-0000E8510000}"/>
    <cellStyle name="Normal 3 3 18 2 7 2" xfId="29903" xr:uid="{00000000-0005-0000-0000-0000E9510000}"/>
    <cellStyle name="Normal 3 3 18 2 8" xfId="12373" xr:uid="{00000000-0005-0000-0000-0000EA510000}"/>
    <cellStyle name="Normal 3 3 18 2 8 2" xfId="29904" xr:uid="{00000000-0005-0000-0000-0000EB510000}"/>
    <cellStyle name="Normal 3 3 18 2 9" xfId="12374" xr:uid="{00000000-0005-0000-0000-0000EC510000}"/>
    <cellStyle name="Normal 3 3 18 2 9 2" xfId="29905" xr:uid="{00000000-0005-0000-0000-0000ED510000}"/>
    <cellStyle name="Normal 3 3 18 20" xfId="12375" xr:uid="{00000000-0005-0000-0000-0000EE510000}"/>
    <cellStyle name="Normal 3 3 18 20 2" xfId="29906" xr:uid="{00000000-0005-0000-0000-0000EF510000}"/>
    <cellStyle name="Normal 3 3 18 21" xfId="12376" xr:uid="{00000000-0005-0000-0000-0000F0510000}"/>
    <cellStyle name="Normal 3 3 18 21 2" xfId="29907" xr:uid="{00000000-0005-0000-0000-0000F1510000}"/>
    <cellStyle name="Normal 3 3 18 22" xfId="12377" xr:uid="{00000000-0005-0000-0000-0000F2510000}"/>
    <cellStyle name="Normal 3 3 18 22 2" xfId="29908" xr:uid="{00000000-0005-0000-0000-0000F3510000}"/>
    <cellStyle name="Normal 3 3 18 23" xfId="12378" xr:uid="{00000000-0005-0000-0000-0000F4510000}"/>
    <cellStyle name="Normal 3 3 18 23 2" xfId="29909" xr:uid="{00000000-0005-0000-0000-0000F5510000}"/>
    <cellStyle name="Normal 3 3 18 24" xfId="29854" xr:uid="{00000000-0005-0000-0000-0000F6510000}"/>
    <cellStyle name="Normal 3 3 18 3" xfId="12379" xr:uid="{00000000-0005-0000-0000-0000F7510000}"/>
    <cellStyle name="Normal 3 3 18 3 10" xfId="12380" xr:uid="{00000000-0005-0000-0000-0000F8510000}"/>
    <cellStyle name="Normal 3 3 18 3 10 2" xfId="29911" xr:uid="{00000000-0005-0000-0000-0000F9510000}"/>
    <cellStyle name="Normal 3 3 18 3 11" xfId="12381" xr:uid="{00000000-0005-0000-0000-0000FA510000}"/>
    <cellStyle name="Normal 3 3 18 3 11 2" xfId="29912" xr:uid="{00000000-0005-0000-0000-0000FB510000}"/>
    <cellStyle name="Normal 3 3 18 3 12" xfId="12382" xr:uid="{00000000-0005-0000-0000-0000FC510000}"/>
    <cellStyle name="Normal 3 3 18 3 12 2" xfId="29913" xr:uid="{00000000-0005-0000-0000-0000FD510000}"/>
    <cellStyle name="Normal 3 3 18 3 13" xfId="12383" xr:uid="{00000000-0005-0000-0000-0000FE510000}"/>
    <cellStyle name="Normal 3 3 18 3 13 2" xfId="29914" xr:uid="{00000000-0005-0000-0000-0000FF510000}"/>
    <cellStyle name="Normal 3 3 18 3 14" xfId="12384" xr:uid="{00000000-0005-0000-0000-000000520000}"/>
    <cellStyle name="Normal 3 3 18 3 14 2" xfId="29915" xr:uid="{00000000-0005-0000-0000-000001520000}"/>
    <cellStyle name="Normal 3 3 18 3 15" xfId="12385" xr:uid="{00000000-0005-0000-0000-000002520000}"/>
    <cellStyle name="Normal 3 3 18 3 15 2" xfId="29916" xr:uid="{00000000-0005-0000-0000-000003520000}"/>
    <cellStyle name="Normal 3 3 18 3 16" xfId="29910" xr:uid="{00000000-0005-0000-0000-000004520000}"/>
    <cellStyle name="Normal 3 3 18 3 2" xfId="12386" xr:uid="{00000000-0005-0000-0000-000005520000}"/>
    <cellStyle name="Normal 3 3 18 3 2 10" xfId="12387" xr:uid="{00000000-0005-0000-0000-000006520000}"/>
    <cellStyle name="Normal 3 3 18 3 2 10 2" xfId="29918" xr:uid="{00000000-0005-0000-0000-000007520000}"/>
    <cellStyle name="Normal 3 3 18 3 2 11" xfId="12388" xr:uid="{00000000-0005-0000-0000-000008520000}"/>
    <cellStyle name="Normal 3 3 18 3 2 11 2" xfId="29919" xr:uid="{00000000-0005-0000-0000-000009520000}"/>
    <cellStyle name="Normal 3 3 18 3 2 12" xfId="12389" xr:uid="{00000000-0005-0000-0000-00000A520000}"/>
    <cellStyle name="Normal 3 3 18 3 2 12 2" xfId="29920" xr:uid="{00000000-0005-0000-0000-00000B520000}"/>
    <cellStyle name="Normal 3 3 18 3 2 13" xfId="12390" xr:uid="{00000000-0005-0000-0000-00000C520000}"/>
    <cellStyle name="Normal 3 3 18 3 2 13 2" xfId="29921" xr:uid="{00000000-0005-0000-0000-00000D520000}"/>
    <cellStyle name="Normal 3 3 18 3 2 14" xfId="12391" xr:uid="{00000000-0005-0000-0000-00000E520000}"/>
    <cellStyle name="Normal 3 3 18 3 2 14 2" xfId="29922" xr:uid="{00000000-0005-0000-0000-00000F520000}"/>
    <cellStyle name="Normal 3 3 18 3 2 15" xfId="29917" xr:uid="{00000000-0005-0000-0000-000010520000}"/>
    <cellStyle name="Normal 3 3 18 3 2 2" xfId="12392" xr:uid="{00000000-0005-0000-0000-000011520000}"/>
    <cellStyle name="Normal 3 3 18 3 2 2 2" xfId="29923" xr:uid="{00000000-0005-0000-0000-000012520000}"/>
    <cellStyle name="Normal 3 3 18 3 2 3" xfId="12393" xr:uid="{00000000-0005-0000-0000-000013520000}"/>
    <cellStyle name="Normal 3 3 18 3 2 3 2" xfId="29924" xr:uid="{00000000-0005-0000-0000-000014520000}"/>
    <cellStyle name="Normal 3 3 18 3 2 4" xfId="12394" xr:uid="{00000000-0005-0000-0000-000015520000}"/>
    <cellStyle name="Normal 3 3 18 3 2 4 2" xfId="29925" xr:uid="{00000000-0005-0000-0000-000016520000}"/>
    <cellStyle name="Normal 3 3 18 3 2 5" xfId="12395" xr:uid="{00000000-0005-0000-0000-000017520000}"/>
    <cellStyle name="Normal 3 3 18 3 2 5 2" xfId="29926" xr:uid="{00000000-0005-0000-0000-000018520000}"/>
    <cellStyle name="Normal 3 3 18 3 2 6" xfId="12396" xr:uid="{00000000-0005-0000-0000-000019520000}"/>
    <cellStyle name="Normal 3 3 18 3 2 6 2" xfId="29927" xr:uid="{00000000-0005-0000-0000-00001A520000}"/>
    <cellStyle name="Normal 3 3 18 3 2 7" xfId="12397" xr:uid="{00000000-0005-0000-0000-00001B520000}"/>
    <cellStyle name="Normal 3 3 18 3 2 7 2" xfId="29928" xr:uid="{00000000-0005-0000-0000-00001C520000}"/>
    <cellStyle name="Normal 3 3 18 3 2 8" xfId="12398" xr:uid="{00000000-0005-0000-0000-00001D520000}"/>
    <cellStyle name="Normal 3 3 18 3 2 8 2" xfId="29929" xr:uid="{00000000-0005-0000-0000-00001E520000}"/>
    <cellStyle name="Normal 3 3 18 3 2 9" xfId="12399" xr:uid="{00000000-0005-0000-0000-00001F520000}"/>
    <cellStyle name="Normal 3 3 18 3 2 9 2" xfId="29930" xr:uid="{00000000-0005-0000-0000-000020520000}"/>
    <cellStyle name="Normal 3 3 18 3 3" xfId="12400" xr:uid="{00000000-0005-0000-0000-000021520000}"/>
    <cellStyle name="Normal 3 3 18 3 3 2" xfId="29931" xr:uid="{00000000-0005-0000-0000-000022520000}"/>
    <cellStyle name="Normal 3 3 18 3 4" xfId="12401" xr:uid="{00000000-0005-0000-0000-000023520000}"/>
    <cellStyle name="Normal 3 3 18 3 4 2" xfId="29932" xr:uid="{00000000-0005-0000-0000-000024520000}"/>
    <cellStyle name="Normal 3 3 18 3 5" xfId="12402" xr:uid="{00000000-0005-0000-0000-000025520000}"/>
    <cellStyle name="Normal 3 3 18 3 5 2" xfId="29933" xr:uid="{00000000-0005-0000-0000-000026520000}"/>
    <cellStyle name="Normal 3 3 18 3 6" xfId="12403" xr:uid="{00000000-0005-0000-0000-000027520000}"/>
    <cellStyle name="Normal 3 3 18 3 6 2" xfId="29934" xr:uid="{00000000-0005-0000-0000-000028520000}"/>
    <cellStyle name="Normal 3 3 18 3 7" xfId="12404" xr:uid="{00000000-0005-0000-0000-000029520000}"/>
    <cellStyle name="Normal 3 3 18 3 7 2" xfId="29935" xr:uid="{00000000-0005-0000-0000-00002A520000}"/>
    <cellStyle name="Normal 3 3 18 3 8" xfId="12405" xr:uid="{00000000-0005-0000-0000-00002B520000}"/>
    <cellStyle name="Normal 3 3 18 3 8 2" xfId="29936" xr:uid="{00000000-0005-0000-0000-00002C520000}"/>
    <cellStyle name="Normal 3 3 18 3 9" xfId="12406" xr:uid="{00000000-0005-0000-0000-00002D520000}"/>
    <cellStyle name="Normal 3 3 18 3 9 2" xfId="29937" xr:uid="{00000000-0005-0000-0000-00002E520000}"/>
    <cellStyle name="Normal 3 3 18 4" xfId="12407" xr:uid="{00000000-0005-0000-0000-00002F520000}"/>
    <cellStyle name="Normal 3 3 18 4 10" xfId="12408" xr:uid="{00000000-0005-0000-0000-000030520000}"/>
    <cellStyle name="Normal 3 3 18 4 10 2" xfId="29939" xr:uid="{00000000-0005-0000-0000-000031520000}"/>
    <cellStyle name="Normal 3 3 18 4 11" xfId="12409" xr:uid="{00000000-0005-0000-0000-000032520000}"/>
    <cellStyle name="Normal 3 3 18 4 11 2" xfId="29940" xr:uid="{00000000-0005-0000-0000-000033520000}"/>
    <cellStyle name="Normal 3 3 18 4 12" xfId="12410" xr:uid="{00000000-0005-0000-0000-000034520000}"/>
    <cellStyle name="Normal 3 3 18 4 12 2" xfId="29941" xr:uid="{00000000-0005-0000-0000-000035520000}"/>
    <cellStyle name="Normal 3 3 18 4 13" xfId="12411" xr:uid="{00000000-0005-0000-0000-000036520000}"/>
    <cellStyle name="Normal 3 3 18 4 13 2" xfId="29942" xr:uid="{00000000-0005-0000-0000-000037520000}"/>
    <cellStyle name="Normal 3 3 18 4 14" xfId="12412" xr:uid="{00000000-0005-0000-0000-000038520000}"/>
    <cellStyle name="Normal 3 3 18 4 14 2" xfId="29943" xr:uid="{00000000-0005-0000-0000-000039520000}"/>
    <cellStyle name="Normal 3 3 18 4 15" xfId="12413" xr:uid="{00000000-0005-0000-0000-00003A520000}"/>
    <cellStyle name="Normal 3 3 18 4 15 2" xfId="29944" xr:uid="{00000000-0005-0000-0000-00003B520000}"/>
    <cellStyle name="Normal 3 3 18 4 16" xfId="29938" xr:uid="{00000000-0005-0000-0000-00003C520000}"/>
    <cellStyle name="Normal 3 3 18 4 2" xfId="12414" xr:uid="{00000000-0005-0000-0000-00003D520000}"/>
    <cellStyle name="Normal 3 3 18 4 2 10" xfId="12415" xr:uid="{00000000-0005-0000-0000-00003E520000}"/>
    <cellStyle name="Normal 3 3 18 4 2 10 2" xfId="29946" xr:uid="{00000000-0005-0000-0000-00003F520000}"/>
    <cellStyle name="Normal 3 3 18 4 2 11" xfId="12416" xr:uid="{00000000-0005-0000-0000-000040520000}"/>
    <cellStyle name="Normal 3 3 18 4 2 11 2" xfId="29947" xr:uid="{00000000-0005-0000-0000-000041520000}"/>
    <cellStyle name="Normal 3 3 18 4 2 12" xfId="12417" xr:uid="{00000000-0005-0000-0000-000042520000}"/>
    <cellStyle name="Normal 3 3 18 4 2 12 2" xfId="29948" xr:uid="{00000000-0005-0000-0000-000043520000}"/>
    <cellStyle name="Normal 3 3 18 4 2 13" xfId="12418" xr:uid="{00000000-0005-0000-0000-000044520000}"/>
    <cellStyle name="Normal 3 3 18 4 2 13 2" xfId="29949" xr:uid="{00000000-0005-0000-0000-000045520000}"/>
    <cellStyle name="Normal 3 3 18 4 2 14" xfId="12419" xr:uid="{00000000-0005-0000-0000-000046520000}"/>
    <cellStyle name="Normal 3 3 18 4 2 14 2" xfId="29950" xr:uid="{00000000-0005-0000-0000-000047520000}"/>
    <cellStyle name="Normal 3 3 18 4 2 15" xfId="29945" xr:uid="{00000000-0005-0000-0000-000048520000}"/>
    <cellStyle name="Normal 3 3 18 4 2 2" xfId="12420" xr:uid="{00000000-0005-0000-0000-000049520000}"/>
    <cellStyle name="Normal 3 3 18 4 2 2 2" xfId="29951" xr:uid="{00000000-0005-0000-0000-00004A520000}"/>
    <cellStyle name="Normal 3 3 18 4 2 3" xfId="12421" xr:uid="{00000000-0005-0000-0000-00004B520000}"/>
    <cellStyle name="Normal 3 3 18 4 2 3 2" xfId="29952" xr:uid="{00000000-0005-0000-0000-00004C520000}"/>
    <cellStyle name="Normal 3 3 18 4 2 4" xfId="12422" xr:uid="{00000000-0005-0000-0000-00004D520000}"/>
    <cellStyle name="Normal 3 3 18 4 2 4 2" xfId="29953" xr:uid="{00000000-0005-0000-0000-00004E520000}"/>
    <cellStyle name="Normal 3 3 18 4 2 5" xfId="12423" xr:uid="{00000000-0005-0000-0000-00004F520000}"/>
    <cellStyle name="Normal 3 3 18 4 2 5 2" xfId="29954" xr:uid="{00000000-0005-0000-0000-000050520000}"/>
    <cellStyle name="Normal 3 3 18 4 2 6" xfId="12424" xr:uid="{00000000-0005-0000-0000-000051520000}"/>
    <cellStyle name="Normal 3 3 18 4 2 6 2" xfId="29955" xr:uid="{00000000-0005-0000-0000-000052520000}"/>
    <cellStyle name="Normal 3 3 18 4 2 7" xfId="12425" xr:uid="{00000000-0005-0000-0000-000053520000}"/>
    <cellStyle name="Normal 3 3 18 4 2 7 2" xfId="29956" xr:uid="{00000000-0005-0000-0000-000054520000}"/>
    <cellStyle name="Normal 3 3 18 4 2 8" xfId="12426" xr:uid="{00000000-0005-0000-0000-000055520000}"/>
    <cellStyle name="Normal 3 3 18 4 2 8 2" xfId="29957" xr:uid="{00000000-0005-0000-0000-000056520000}"/>
    <cellStyle name="Normal 3 3 18 4 2 9" xfId="12427" xr:uid="{00000000-0005-0000-0000-000057520000}"/>
    <cellStyle name="Normal 3 3 18 4 2 9 2" xfId="29958" xr:uid="{00000000-0005-0000-0000-000058520000}"/>
    <cellStyle name="Normal 3 3 18 4 3" xfId="12428" xr:uid="{00000000-0005-0000-0000-000059520000}"/>
    <cellStyle name="Normal 3 3 18 4 3 2" xfId="29959" xr:uid="{00000000-0005-0000-0000-00005A520000}"/>
    <cellStyle name="Normal 3 3 18 4 4" xfId="12429" xr:uid="{00000000-0005-0000-0000-00005B520000}"/>
    <cellStyle name="Normal 3 3 18 4 4 2" xfId="29960" xr:uid="{00000000-0005-0000-0000-00005C520000}"/>
    <cellStyle name="Normal 3 3 18 4 5" xfId="12430" xr:uid="{00000000-0005-0000-0000-00005D520000}"/>
    <cellStyle name="Normal 3 3 18 4 5 2" xfId="29961" xr:uid="{00000000-0005-0000-0000-00005E520000}"/>
    <cellStyle name="Normal 3 3 18 4 6" xfId="12431" xr:uid="{00000000-0005-0000-0000-00005F520000}"/>
    <cellStyle name="Normal 3 3 18 4 6 2" xfId="29962" xr:uid="{00000000-0005-0000-0000-000060520000}"/>
    <cellStyle name="Normal 3 3 18 4 7" xfId="12432" xr:uid="{00000000-0005-0000-0000-000061520000}"/>
    <cellStyle name="Normal 3 3 18 4 7 2" xfId="29963" xr:uid="{00000000-0005-0000-0000-000062520000}"/>
    <cellStyle name="Normal 3 3 18 4 8" xfId="12433" xr:uid="{00000000-0005-0000-0000-000063520000}"/>
    <cellStyle name="Normal 3 3 18 4 8 2" xfId="29964" xr:uid="{00000000-0005-0000-0000-000064520000}"/>
    <cellStyle name="Normal 3 3 18 4 9" xfId="12434" xr:uid="{00000000-0005-0000-0000-000065520000}"/>
    <cellStyle name="Normal 3 3 18 4 9 2" xfId="29965" xr:uid="{00000000-0005-0000-0000-000066520000}"/>
    <cellStyle name="Normal 3 3 18 5" xfId="12435" xr:uid="{00000000-0005-0000-0000-000067520000}"/>
    <cellStyle name="Normal 3 3 18 5 10" xfId="12436" xr:uid="{00000000-0005-0000-0000-000068520000}"/>
    <cellStyle name="Normal 3 3 18 5 10 2" xfId="29967" xr:uid="{00000000-0005-0000-0000-000069520000}"/>
    <cellStyle name="Normal 3 3 18 5 11" xfId="12437" xr:uid="{00000000-0005-0000-0000-00006A520000}"/>
    <cellStyle name="Normal 3 3 18 5 11 2" xfId="29968" xr:uid="{00000000-0005-0000-0000-00006B520000}"/>
    <cellStyle name="Normal 3 3 18 5 12" xfId="12438" xr:uid="{00000000-0005-0000-0000-00006C520000}"/>
    <cellStyle name="Normal 3 3 18 5 12 2" xfId="29969" xr:uid="{00000000-0005-0000-0000-00006D520000}"/>
    <cellStyle name="Normal 3 3 18 5 13" xfId="12439" xr:uid="{00000000-0005-0000-0000-00006E520000}"/>
    <cellStyle name="Normal 3 3 18 5 13 2" xfId="29970" xr:uid="{00000000-0005-0000-0000-00006F520000}"/>
    <cellStyle name="Normal 3 3 18 5 14" xfId="12440" xr:uid="{00000000-0005-0000-0000-000070520000}"/>
    <cellStyle name="Normal 3 3 18 5 14 2" xfId="29971" xr:uid="{00000000-0005-0000-0000-000071520000}"/>
    <cellStyle name="Normal 3 3 18 5 15" xfId="29966" xr:uid="{00000000-0005-0000-0000-000072520000}"/>
    <cellStyle name="Normal 3 3 18 5 2" xfId="12441" xr:uid="{00000000-0005-0000-0000-000073520000}"/>
    <cellStyle name="Normal 3 3 18 5 2 2" xfId="29972" xr:uid="{00000000-0005-0000-0000-000074520000}"/>
    <cellStyle name="Normal 3 3 18 5 3" xfId="12442" xr:uid="{00000000-0005-0000-0000-000075520000}"/>
    <cellStyle name="Normal 3 3 18 5 3 2" xfId="29973" xr:uid="{00000000-0005-0000-0000-000076520000}"/>
    <cellStyle name="Normal 3 3 18 5 4" xfId="12443" xr:uid="{00000000-0005-0000-0000-000077520000}"/>
    <cellStyle name="Normal 3 3 18 5 4 2" xfId="29974" xr:uid="{00000000-0005-0000-0000-000078520000}"/>
    <cellStyle name="Normal 3 3 18 5 5" xfId="12444" xr:uid="{00000000-0005-0000-0000-000079520000}"/>
    <cellStyle name="Normal 3 3 18 5 5 2" xfId="29975" xr:uid="{00000000-0005-0000-0000-00007A520000}"/>
    <cellStyle name="Normal 3 3 18 5 6" xfId="12445" xr:uid="{00000000-0005-0000-0000-00007B520000}"/>
    <cellStyle name="Normal 3 3 18 5 6 2" xfId="29976" xr:uid="{00000000-0005-0000-0000-00007C520000}"/>
    <cellStyle name="Normal 3 3 18 5 7" xfId="12446" xr:uid="{00000000-0005-0000-0000-00007D520000}"/>
    <cellStyle name="Normal 3 3 18 5 7 2" xfId="29977" xr:uid="{00000000-0005-0000-0000-00007E520000}"/>
    <cellStyle name="Normal 3 3 18 5 8" xfId="12447" xr:uid="{00000000-0005-0000-0000-00007F520000}"/>
    <cellStyle name="Normal 3 3 18 5 8 2" xfId="29978" xr:uid="{00000000-0005-0000-0000-000080520000}"/>
    <cellStyle name="Normal 3 3 18 5 9" xfId="12448" xr:uid="{00000000-0005-0000-0000-000081520000}"/>
    <cellStyle name="Normal 3 3 18 5 9 2" xfId="29979" xr:uid="{00000000-0005-0000-0000-000082520000}"/>
    <cellStyle name="Normal 3 3 18 6" xfId="12449" xr:uid="{00000000-0005-0000-0000-000083520000}"/>
    <cellStyle name="Normal 3 3 18 6 10" xfId="12450" xr:uid="{00000000-0005-0000-0000-000084520000}"/>
    <cellStyle name="Normal 3 3 18 6 10 2" xfId="29981" xr:uid="{00000000-0005-0000-0000-000085520000}"/>
    <cellStyle name="Normal 3 3 18 6 11" xfId="12451" xr:uid="{00000000-0005-0000-0000-000086520000}"/>
    <cellStyle name="Normal 3 3 18 6 11 2" xfId="29982" xr:uid="{00000000-0005-0000-0000-000087520000}"/>
    <cellStyle name="Normal 3 3 18 6 12" xfId="12452" xr:uid="{00000000-0005-0000-0000-000088520000}"/>
    <cellStyle name="Normal 3 3 18 6 12 2" xfId="29983" xr:uid="{00000000-0005-0000-0000-000089520000}"/>
    <cellStyle name="Normal 3 3 18 6 13" xfId="12453" xr:uid="{00000000-0005-0000-0000-00008A520000}"/>
    <cellStyle name="Normal 3 3 18 6 13 2" xfId="29984" xr:uid="{00000000-0005-0000-0000-00008B520000}"/>
    <cellStyle name="Normal 3 3 18 6 14" xfId="12454" xr:uid="{00000000-0005-0000-0000-00008C520000}"/>
    <cellStyle name="Normal 3 3 18 6 14 2" xfId="29985" xr:uid="{00000000-0005-0000-0000-00008D520000}"/>
    <cellStyle name="Normal 3 3 18 6 15" xfId="29980" xr:uid="{00000000-0005-0000-0000-00008E520000}"/>
    <cellStyle name="Normal 3 3 18 6 2" xfId="12455" xr:uid="{00000000-0005-0000-0000-00008F520000}"/>
    <cellStyle name="Normal 3 3 18 6 2 2" xfId="29986" xr:uid="{00000000-0005-0000-0000-000090520000}"/>
    <cellStyle name="Normal 3 3 18 6 3" xfId="12456" xr:uid="{00000000-0005-0000-0000-000091520000}"/>
    <cellStyle name="Normal 3 3 18 6 3 2" xfId="29987" xr:uid="{00000000-0005-0000-0000-000092520000}"/>
    <cellStyle name="Normal 3 3 18 6 4" xfId="12457" xr:uid="{00000000-0005-0000-0000-000093520000}"/>
    <cellStyle name="Normal 3 3 18 6 4 2" xfId="29988" xr:uid="{00000000-0005-0000-0000-000094520000}"/>
    <cellStyle name="Normal 3 3 18 6 5" xfId="12458" xr:uid="{00000000-0005-0000-0000-000095520000}"/>
    <cellStyle name="Normal 3 3 18 6 5 2" xfId="29989" xr:uid="{00000000-0005-0000-0000-000096520000}"/>
    <cellStyle name="Normal 3 3 18 6 6" xfId="12459" xr:uid="{00000000-0005-0000-0000-000097520000}"/>
    <cellStyle name="Normal 3 3 18 6 6 2" xfId="29990" xr:uid="{00000000-0005-0000-0000-000098520000}"/>
    <cellStyle name="Normal 3 3 18 6 7" xfId="12460" xr:uid="{00000000-0005-0000-0000-000099520000}"/>
    <cellStyle name="Normal 3 3 18 6 7 2" xfId="29991" xr:uid="{00000000-0005-0000-0000-00009A520000}"/>
    <cellStyle name="Normal 3 3 18 6 8" xfId="12461" xr:uid="{00000000-0005-0000-0000-00009B520000}"/>
    <cellStyle name="Normal 3 3 18 6 8 2" xfId="29992" xr:uid="{00000000-0005-0000-0000-00009C520000}"/>
    <cellStyle name="Normal 3 3 18 6 9" xfId="12462" xr:uid="{00000000-0005-0000-0000-00009D520000}"/>
    <cellStyle name="Normal 3 3 18 6 9 2" xfId="29993" xr:uid="{00000000-0005-0000-0000-00009E520000}"/>
    <cellStyle name="Normal 3 3 18 7" xfId="12463" xr:uid="{00000000-0005-0000-0000-00009F520000}"/>
    <cellStyle name="Normal 3 3 18 7 10" xfId="12464" xr:uid="{00000000-0005-0000-0000-0000A0520000}"/>
    <cellStyle name="Normal 3 3 18 7 10 2" xfId="29995" xr:uid="{00000000-0005-0000-0000-0000A1520000}"/>
    <cellStyle name="Normal 3 3 18 7 11" xfId="12465" xr:uid="{00000000-0005-0000-0000-0000A2520000}"/>
    <cellStyle name="Normal 3 3 18 7 11 2" xfId="29996" xr:uid="{00000000-0005-0000-0000-0000A3520000}"/>
    <cellStyle name="Normal 3 3 18 7 12" xfId="12466" xr:uid="{00000000-0005-0000-0000-0000A4520000}"/>
    <cellStyle name="Normal 3 3 18 7 12 2" xfId="29997" xr:uid="{00000000-0005-0000-0000-0000A5520000}"/>
    <cellStyle name="Normal 3 3 18 7 13" xfId="12467" xr:uid="{00000000-0005-0000-0000-0000A6520000}"/>
    <cellStyle name="Normal 3 3 18 7 13 2" xfId="29998" xr:uid="{00000000-0005-0000-0000-0000A7520000}"/>
    <cellStyle name="Normal 3 3 18 7 14" xfId="12468" xr:uid="{00000000-0005-0000-0000-0000A8520000}"/>
    <cellStyle name="Normal 3 3 18 7 14 2" xfId="29999" xr:uid="{00000000-0005-0000-0000-0000A9520000}"/>
    <cellStyle name="Normal 3 3 18 7 15" xfId="29994" xr:uid="{00000000-0005-0000-0000-0000AA520000}"/>
    <cellStyle name="Normal 3 3 18 7 2" xfId="12469" xr:uid="{00000000-0005-0000-0000-0000AB520000}"/>
    <cellStyle name="Normal 3 3 18 7 2 2" xfId="30000" xr:uid="{00000000-0005-0000-0000-0000AC520000}"/>
    <cellStyle name="Normal 3 3 18 7 3" xfId="12470" xr:uid="{00000000-0005-0000-0000-0000AD520000}"/>
    <cellStyle name="Normal 3 3 18 7 3 2" xfId="30001" xr:uid="{00000000-0005-0000-0000-0000AE520000}"/>
    <cellStyle name="Normal 3 3 18 7 4" xfId="12471" xr:uid="{00000000-0005-0000-0000-0000AF520000}"/>
    <cellStyle name="Normal 3 3 18 7 4 2" xfId="30002" xr:uid="{00000000-0005-0000-0000-0000B0520000}"/>
    <cellStyle name="Normal 3 3 18 7 5" xfId="12472" xr:uid="{00000000-0005-0000-0000-0000B1520000}"/>
    <cellStyle name="Normal 3 3 18 7 5 2" xfId="30003" xr:uid="{00000000-0005-0000-0000-0000B2520000}"/>
    <cellStyle name="Normal 3 3 18 7 6" xfId="12473" xr:uid="{00000000-0005-0000-0000-0000B3520000}"/>
    <cellStyle name="Normal 3 3 18 7 6 2" xfId="30004" xr:uid="{00000000-0005-0000-0000-0000B4520000}"/>
    <cellStyle name="Normal 3 3 18 7 7" xfId="12474" xr:uid="{00000000-0005-0000-0000-0000B5520000}"/>
    <cellStyle name="Normal 3 3 18 7 7 2" xfId="30005" xr:uid="{00000000-0005-0000-0000-0000B6520000}"/>
    <cellStyle name="Normal 3 3 18 7 8" xfId="12475" xr:uid="{00000000-0005-0000-0000-0000B7520000}"/>
    <cellStyle name="Normal 3 3 18 7 8 2" xfId="30006" xr:uid="{00000000-0005-0000-0000-0000B8520000}"/>
    <cellStyle name="Normal 3 3 18 7 9" xfId="12476" xr:uid="{00000000-0005-0000-0000-0000B9520000}"/>
    <cellStyle name="Normal 3 3 18 7 9 2" xfId="30007" xr:uid="{00000000-0005-0000-0000-0000BA520000}"/>
    <cellStyle name="Normal 3 3 18 8" xfId="12477" xr:uid="{00000000-0005-0000-0000-0000BB520000}"/>
    <cellStyle name="Normal 3 3 18 8 10" xfId="12478" xr:uid="{00000000-0005-0000-0000-0000BC520000}"/>
    <cellStyle name="Normal 3 3 18 8 10 2" xfId="30009" xr:uid="{00000000-0005-0000-0000-0000BD520000}"/>
    <cellStyle name="Normal 3 3 18 8 11" xfId="12479" xr:uid="{00000000-0005-0000-0000-0000BE520000}"/>
    <cellStyle name="Normal 3 3 18 8 11 2" xfId="30010" xr:uid="{00000000-0005-0000-0000-0000BF520000}"/>
    <cellStyle name="Normal 3 3 18 8 12" xfId="12480" xr:uid="{00000000-0005-0000-0000-0000C0520000}"/>
    <cellStyle name="Normal 3 3 18 8 12 2" xfId="30011" xr:uid="{00000000-0005-0000-0000-0000C1520000}"/>
    <cellStyle name="Normal 3 3 18 8 13" xfId="12481" xr:uid="{00000000-0005-0000-0000-0000C2520000}"/>
    <cellStyle name="Normal 3 3 18 8 13 2" xfId="30012" xr:uid="{00000000-0005-0000-0000-0000C3520000}"/>
    <cellStyle name="Normal 3 3 18 8 14" xfId="12482" xr:uid="{00000000-0005-0000-0000-0000C4520000}"/>
    <cellStyle name="Normal 3 3 18 8 14 2" xfId="30013" xr:uid="{00000000-0005-0000-0000-0000C5520000}"/>
    <cellStyle name="Normal 3 3 18 8 15" xfId="30008" xr:uid="{00000000-0005-0000-0000-0000C6520000}"/>
    <cellStyle name="Normal 3 3 18 8 2" xfId="12483" xr:uid="{00000000-0005-0000-0000-0000C7520000}"/>
    <cellStyle name="Normal 3 3 18 8 2 2" xfId="30014" xr:uid="{00000000-0005-0000-0000-0000C8520000}"/>
    <cellStyle name="Normal 3 3 18 8 3" xfId="12484" xr:uid="{00000000-0005-0000-0000-0000C9520000}"/>
    <cellStyle name="Normal 3 3 18 8 3 2" xfId="30015" xr:uid="{00000000-0005-0000-0000-0000CA520000}"/>
    <cellStyle name="Normal 3 3 18 8 4" xfId="12485" xr:uid="{00000000-0005-0000-0000-0000CB520000}"/>
    <cellStyle name="Normal 3 3 18 8 4 2" xfId="30016" xr:uid="{00000000-0005-0000-0000-0000CC520000}"/>
    <cellStyle name="Normal 3 3 18 8 5" xfId="12486" xr:uid="{00000000-0005-0000-0000-0000CD520000}"/>
    <cellStyle name="Normal 3 3 18 8 5 2" xfId="30017" xr:uid="{00000000-0005-0000-0000-0000CE520000}"/>
    <cellStyle name="Normal 3 3 18 8 6" xfId="12487" xr:uid="{00000000-0005-0000-0000-0000CF520000}"/>
    <cellStyle name="Normal 3 3 18 8 6 2" xfId="30018" xr:uid="{00000000-0005-0000-0000-0000D0520000}"/>
    <cellStyle name="Normal 3 3 18 8 7" xfId="12488" xr:uid="{00000000-0005-0000-0000-0000D1520000}"/>
    <cellStyle name="Normal 3 3 18 8 7 2" xfId="30019" xr:uid="{00000000-0005-0000-0000-0000D2520000}"/>
    <cellStyle name="Normal 3 3 18 8 8" xfId="12489" xr:uid="{00000000-0005-0000-0000-0000D3520000}"/>
    <cellStyle name="Normal 3 3 18 8 8 2" xfId="30020" xr:uid="{00000000-0005-0000-0000-0000D4520000}"/>
    <cellStyle name="Normal 3 3 18 8 9" xfId="12490" xr:uid="{00000000-0005-0000-0000-0000D5520000}"/>
    <cellStyle name="Normal 3 3 18 8 9 2" xfId="30021" xr:uid="{00000000-0005-0000-0000-0000D6520000}"/>
    <cellStyle name="Normal 3 3 18 9" xfId="12491" xr:uid="{00000000-0005-0000-0000-0000D7520000}"/>
    <cellStyle name="Normal 3 3 18 9 10" xfId="12492" xr:uid="{00000000-0005-0000-0000-0000D8520000}"/>
    <cellStyle name="Normal 3 3 18 9 10 2" xfId="30023" xr:uid="{00000000-0005-0000-0000-0000D9520000}"/>
    <cellStyle name="Normal 3 3 18 9 11" xfId="12493" xr:uid="{00000000-0005-0000-0000-0000DA520000}"/>
    <cellStyle name="Normal 3 3 18 9 11 2" xfId="30024" xr:uid="{00000000-0005-0000-0000-0000DB520000}"/>
    <cellStyle name="Normal 3 3 18 9 12" xfId="12494" xr:uid="{00000000-0005-0000-0000-0000DC520000}"/>
    <cellStyle name="Normal 3 3 18 9 12 2" xfId="30025" xr:uid="{00000000-0005-0000-0000-0000DD520000}"/>
    <cellStyle name="Normal 3 3 18 9 13" xfId="12495" xr:uid="{00000000-0005-0000-0000-0000DE520000}"/>
    <cellStyle name="Normal 3 3 18 9 13 2" xfId="30026" xr:uid="{00000000-0005-0000-0000-0000DF520000}"/>
    <cellStyle name="Normal 3 3 18 9 14" xfId="12496" xr:uid="{00000000-0005-0000-0000-0000E0520000}"/>
    <cellStyle name="Normal 3 3 18 9 14 2" xfId="30027" xr:uid="{00000000-0005-0000-0000-0000E1520000}"/>
    <cellStyle name="Normal 3 3 18 9 15" xfId="30022" xr:uid="{00000000-0005-0000-0000-0000E2520000}"/>
    <cellStyle name="Normal 3 3 18 9 2" xfId="12497" xr:uid="{00000000-0005-0000-0000-0000E3520000}"/>
    <cellStyle name="Normal 3 3 18 9 2 2" xfId="30028" xr:uid="{00000000-0005-0000-0000-0000E4520000}"/>
    <cellStyle name="Normal 3 3 18 9 3" xfId="12498" xr:uid="{00000000-0005-0000-0000-0000E5520000}"/>
    <cellStyle name="Normal 3 3 18 9 3 2" xfId="30029" xr:uid="{00000000-0005-0000-0000-0000E6520000}"/>
    <cellStyle name="Normal 3 3 18 9 4" xfId="12499" xr:uid="{00000000-0005-0000-0000-0000E7520000}"/>
    <cellStyle name="Normal 3 3 18 9 4 2" xfId="30030" xr:uid="{00000000-0005-0000-0000-0000E8520000}"/>
    <cellStyle name="Normal 3 3 18 9 5" xfId="12500" xr:uid="{00000000-0005-0000-0000-0000E9520000}"/>
    <cellStyle name="Normal 3 3 18 9 5 2" xfId="30031" xr:uid="{00000000-0005-0000-0000-0000EA520000}"/>
    <cellStyle name="Normal 3 3 18 9 6" xfId="12501" xr:uid="{00000000-0005-0000-0000-0000EB520000}"/>
    <cellStyle name="Normal 3 3 18 9 6 2" xfId="30032" xr:uid="{00000000-0005-0000-0000-0000EC520000}"/>
    <cellStyle name="Normal 3 3 18 9 7" xfId="12502" xr:uid="{00000000-0005-0000-0000-0000ED520000}"/>
    <cellStyle name="Normal 3 3 18 9 7 2" xfId="30033" xr:uid="{00000000-0005-0000-0000-0000EE520000}"/>
    <cellStyle name="Normal 3 3 18 9 8" xfId="12503" xr:uid="{00000000-0005-0000-0000-0000EF520000}"/>
    <cellStyle name="Normal 3 3 18 9 8 2" xfId="30034" xr:uid="{00000000-0005-0000-0000-0000F0520000}"/>
    <cellStyle name="Normal 3 3 18 9 9" xfId="12504" xr:uid="{00000000-0005-0000-0000-0000F1520000}"/>
    <cellStyle name="Normal 3 3 18 9 9 2" xfId="30035" xr:uid="{00000000-0005-0000-0000-0000F2520000}"/>
    <cellStyle name="Normal 3 3 19" xfId="12505" xr:uid="{00000000-0005-0000-0000-0000F3520000}"/>
    <cellStyle name="Normal 3 3 19 10" xfId="12506" xr:uid="{00000000-0005-0000-0000-0000F4520000}"/>
    <cellStyle name="Normal 3 3 19 10 2" xfId="30037" xr:uid="{00000000-0005-0000-0000-0000F5520000}"/>
    <cellStyle name="Normal 3 3 19 11" xfId="12507" xr:uid="{00000000-0005-0000-0000-0000F6520000}"/>
    <cellStyle name="Normal 3 3 19 11 2" xfId="30038" xr:uid="{00000000-0005-0000-0000-0000F7520000}"/>
    <cellStyle name="Normal 3 3 19 12" xfId="12508" xr:uid="{00000000-0005-0000-0000-0000F8520000}"/>
    <cellStyle name="Normal 3 3 19 12 2" xfId="30039" xr:uid="{00000000-0005-0000-0000-0000F9520000}"/>
    <cellStyle name="Normal 3 3 19 13" xfId="12509" xr:uid="{00000000-0005-0000-0000-0000FA520000}"/>
    <cellStyle name="Normal 3 3 19 13 2" xfId="30040" xr:uid="{00000000-0005-0000-0000-0000FB520000}"/>
    <cellStyle name="Normal 3 3 19 14" xfId="12510" xr:uid="{00000000-0005-0000-0000-0000FC520000}"/>
    <cellStyle name="Normal 3 3 19 14 2" xfId="30041" xr:uid="{00000000-0005-0000-0000-0000FD520000}"/>
    <cellStyle name="Normal 3 3 19 15" xfId="12511" xr:uid="{00000000-0005-0000-0000-0000FE520000}"/>
    <cellStyle name="Normal 3 3 19 15 2" xfId="30042" xr:uid="{00000000-0005-0000-0000-0000FF520000}"/>
    <cellStyle name="Normal 3 3 19 16" xfId="30036" xr:uid="{00000000-0005-0000-0000-000000530000}"/>
    <cellStyle name="Normal 3 3 19 2" xfId="12512" xr:uid="{00000000-0005-0000-0000-000001530000}"/>
    <cellStyle name="Normal 3 3 19 2 10" xfId="12513" xr:uid="{00000000-0005-0000-0000-000002530000}"/>
    <cellStyle name="Normal 3 3 19 2 10 2" xfId="30044" xr:uid="{00000000-0005-0000-0000-000003530000}"/>
    <cellStyle name="Normal 3 3 19 2 11" xfId="12514" xr:uid="{00000000-0005-0000-0000-000004530000}"/>
    <cellStyle name="Normal 3 3 19 2 11 2" xfId="30045" xr:uid="{00000000-0005-0000-0000-000005530000}"/>
    <cellStyle name="Normal 3 3 19 2 12" xfId="12515" xr:uid="{00000000-0005-0000-0000-000006530000}"/>
    <cellStyle name="Normal 3 3 19 2 12 2" xfId="30046" xr:uid="{00000000-0005-0000-0000-000007530000}"/>
    <cellStyle name="Normal 3 3 19 2 13" xfId="12516" xr:uid="{00000000-0005-0000-0000-000008530000}"/>
    <cellStyle name="Normal 3 3 19 2 13 2" xfId="30047" xr:uid="{00000000-0005-0000-0000-000009530000}"/>
    <cellStyle name="Normal 3 3 19 2 14" xfId="12517" xr:uid="{00000000-0005-0000-0000-00000A530000}"/>
    <cellStyle name="Normal 3 3 19 2 14 2" xfId="30048" xr:uid="{00000000-0005-0000-0000-00000B530000}"/>
    <cellStyle name="Normal 3 3 19 2 15" xfId="30043" xr:uid="{00000000-0005-0000-0000-00000C530000}"/>
    <cellStyle name="Normal 3 3 19 2 2" xfId="12518" xr:uid="{00000000-0005-0000-0000-00000D530000}"/>
    <cellStyle name="Normal 3 3 19 2 2 2" xfId="30049" xr:uid="{00000000-0005-0000-0000-00000E530000}"/>
    <cellStyle name="Normal 3 3 19 2 3" xfId="12519" xr:uid="{00000000-0005-0000-0000-00000F530000}"/>
    <cellStyle name="Normal 3 3 19 2 3 2" xfId="30050" xr:uid="{00000000-0005-0000-0000-000010530000}"/>
    <cellStyle name="Normal 3 3 19 2 4" xfId="12520" xr:uid="{00000000-0005-0000-0000-000011530000}"/>
    <cellStyle name="Normal 3 3 19 2 4 2" xfId="30051" xr:uid="{00000000-0005-0000-0000-000012530000}"/>
    <cellStyle name="Normal 3 3 19 2 5" xfId="12521" xr:uid="{00000000-0005-0000-0000-000013530000}"/>
    <cellStyle name="Normal 3 3 19 2 5 2" xfId="30052" xr:uid="{00000000-0005-0000-0000-000014530000}"/>
    <cellStyle name="Normal 3 3 19 2 6" xfId="12522" xr:uid="{00000000-0005-0000-0000-000015530000}"/>
    <cellStyle name="Normal 3 3 19 2 6 2" xfId="30053" xr:uid="{00000000-0005-0000-0000-000016530000}"/>
    <cellStyle name="Normal 3 3 19 2 7" xfId="12523" xr:uid="{00000000-0005-0000-0000-000017530000}"/>
    <cellStyle name="Normal 3 3 19 2 7 2" xfId="30054" xr:uid="{00000000-0005-0000-0000-000018530000}"/>
    <cellStyle name="Normal 3 3 19 2 8" xfId="12524" xr:uid="{00000000-0005-0000-0000-000019530000}"/>
    <cellStyle name="Normal 3 3 19 2 8 2" xfId="30055" xr:uid="{00000000-0005-0000-0000-00001A530000}"/>
    <cellStyle name="Normal 3 3 19 2 9" xfId="12525" xr:uid="{00000000-0005-0000-0000-00001B530000}"/>
    <cellStyle name="Normal 3 3 19 2 9 2" xfId="30056" xr:uid="{00000000-0005-0000-0000-00001C530000}"/>
    <cellStyle name="Normal 3 3 19 3" xfId="12526" xr:uid="{00000000-0005-0000-0000-00001D530000}"/>
    <cellStyle name="Normal 3 3 19 3 2" xfId="30057" xr:uid="{00000000-0005-0000-0000-00001E530000}"/>
    <cellStyle name="Normal 3 3 19 4" xfId="12527" xr:uid="{00000000-0005-0000-0000-00001F530000}"/>
    <cellStyle name="Normal 3 3 19 4 2" xfId="30058" xr:uid="{00000000-0005-0000-0000-000020530000}"/>
    <cellStyle name="Normal 3 3 19 5" xfId="12528" xr:uid="{00000000-0005-0000-0000-000021530000}"/>
    <cellStyle name="Normal 3 3 19 5 2" xfId="30059" xr:uid="{00000000-0005-0000-0000-000022530000}"/>
    <cellStyle name="Normal 3 3 19 6" xfId="12529" xr:uid="{00000000-0005-0000-0000-000023530000}"/>
    <cellStyle name="Normal 3 3 19 6 2" xfId="30060" xr:uid="{00000000-0005-0000-0000-000024530000}"/>
    <cellStyle name="Normal 3 3 19 7" xfId="12530" xr:uid="{00000000-0005-0000-0000-000025530000}"/>
    <cellStyle name="Normal 3 3 19 7 2" xfId="30061" xr:uid="{00000000-0005-0000-0000-000026530000}"/>
    <cellStyle name="Normal 3 3 19 8" xfId="12531" xr:uid="{00000000-0005-0000-0000-000027530000}"/>
    <cellStyle name="Normal 3 3 19 8 2" xfId="30062" xr:uid="{00000000-0005-0000-0000-000028530000}"/>
    <cellStyle name="Normal 3 3 19 9" xfId="12532" xr:uid="{00000000-0005-0000-0000-000029530000}"/>
    <cellStyle name="Normal 3 3 19 9 2" xfId="30063" xr:uid="{00000000-0005-0000-0000-00002A530000}"/>
    <cellStyle name="Normal 3 3 2" xfId="382" xr:uid="{00000000-0005-0000-0000-00002B530000}"/>
    <cellStyle name="Normal 3 3 2 10" xfId="12534" xr:uid="{00000000-0005-0000-0000-00002C530000}"/>
    <cellStyle name="Normal 3 3 2 10 10" xfId="12535" xr:uid="{00000000-0005-0000-0000-00002D530000}"/>
    <cellStyle name="Normal 3 3 2 10 10 2" xfId="30065" xr:uid="{00000000-0005-0000-0000-00002E530000}"/>
    <cellStyle name="Normal 3 3 2 10 11" xfId="12536" xr:uid="{00000000-0005-0000-0000-00002F530000}"/>
    <cellStyle name="Normal 3 3 2 10 11 2" xfId="30066" xr:uid="{00000000-0005-0000-0000-000030530000}"/>
    <cellStyle name="Normal 3 3 2 10 12" xfId="12537" xr:uid="{00000000-0005-0000-0000-000031530000}"/>
    <cellStyle name="Normal 3 3 2 10 12 2" xfId="30067" xr:uid="{00000000-0005-0000-0000-000032530000}"/>
    <cellStyle name="Normal 3 3 2 10 13" xfId="12538" xr:uid="{00000000-0005-0000-0000-000033530000}"/>
    <cellStyle name="Normal 3 3 2 10 13 2" xfId="30068" xr:uid="{00000000-0005-0000-0000-000034530000}"/>
    <cellStyle name="Normal 3 3 2 10 14" xfId="12539" xr:uid="{00000000-0005-0000-0000-000035530000}"/>
    <cellStyle name="Normal 3 3 2 10 14 2" xfId="30069" xr:uid="{00000000-0005-0000-0000-000036530000}"/>
    <cellStyle name="Normal 3 3 2 10 15" xfId="30064" xr:uid="{00000000-0005-0000-0000-000037530000}"/>
    <cellStyle name="Normal 3 3 2 10 2" xfId="12540" xr:uid="{00000000-0005-0000-0000-000038530000}"/>
    <cellStyle name="Normal 3 3 2 10 2 2" xfId="30070" xr:uid="{00000000-0005-0000-0000-000039530000}"/>
    <cellStyle name="Normal 3 3 2 10 3" xfId="12541" xr:uid="{00000000-0005-0000-0000-00003A530000}"/>
    <cellStyle name="Normal 3 3 2 10 3 2" xfId="30071" xr:uid="{00000000-0005-0000-0000-00003B530000}"/>
    <cellStyle name="Normal 3 3 2 10 4" xfId="12542" xr:uid="{00000000-0005-0000-0000-00003C530000}"/>
    <cellStyle name="Normal 3 3 2 10 4 2" xfId="30072" xr:uid="{00000000-0005-0000-0000-00003D530000}"/>
    <cellStyle name="Normal 3 3 2 10 5" xfId="12543" xr:uid="{00000000-0005-0000-0000-00003E530000}"/>
    <cellStyle name="Normal 3 3 2 10 5 2" xfId="30073" xr:uid="{00000000-0005-0000-0000-00003F530000}"/>
    <cellStyle name="Normal 3 3 2 10 6" xfId="12544" xr:uid="{00000000-0005-0000-0000-000040530000}"/>
    <cellStyle name="Normal 3 3 2 10 6 2" xfId="30074" xr:uid="{00000000-0005-0000-0000-000041530000}"/>
    <cellStyle name="Normal 3 3 2 10 7" xfId="12545" xr:uid="{00000000-0005-0000-0000-000042530000}"/>
    <cellStyle name="Normal 3 3 2 10 7 2" xfId="30075" xr:uid="{00000000-0005-0000-0000-000043530000}"/>
    <cellStyle name="Normal 3 3 2 10 8" xfId="12546" xr:uid="{00000000-0005-0000-0000-000044530000}"/>
    <cellStyle name="Normal 3 3 2 10 8 2" xfId="30076" xr:uid="{00000000-0005-0000-0000-000045530000}"/>
    <cellStyle name="Normal 3 3 2 10 9" xfId="12547" xr:uid="{00000000-0005-0000-0000-000046530000}"/>
    <cellStyle name="Normal 3 3 2 10 9 2" xfId="30077" xr:uid="{00000000-0005-0000-0000-000047530000}"/>
    <cellStyle name="Normal 3 3 2 11" xfId="12548" xr:uid="{00000000-0005-0000-0000-000048530000}"/>
    <cellStyle name="Normal 3 3 2 11 10" xfId="12549" xr:uid="{00000000-0005-0000-0000-000049530000}"/>
    <cellStyle name="Normal 3 3 2 11 10 2" xfId="30079" xr:uid="{00000000-0005-0000-0000-00004A530000}"/>
    <cellStyle name="Normal 3 3 2 11 11" xfId="12550" xr:uid="{00000000-0005-0000-0000-00004B530000}"/>
    <cellStyle name="Normal 3 3 2 11 11 2" xfId="30080" xr:uid="{00000000-0005-0000-0000-00004C530000}"/>
    <cellStyle name="Normal 3 3 2 11 12" xfId="12551" xr:uid="{00000000-0005-0000-0000-00004D530000}"/>
    <cellStyle name="Normal 3 3 2 11 12 2" xfId="30081" xr:uid="{00000000-0005-0000-0000-00004E530000}"/>
    <cellStyle name="Normal 3 3 2 11 13" xfId="12552" xr:uid="{00000000-0005-0000-0000-00004F530000}"/>
    <cellStyle name="Normal 3 3 2 11 13 2" xfId="30082" xr:uid="{00000000-0005-0000-0000-000050530000}"/>
    <cellStyle name="Normal 3 3 2 11 14" xfId="12553" xr:uid="{00000000-0005-0000-0000-000051530000}"/>
    <cellStyle name="Normal 3 3 2 11 14 2" xfId="30083" xr:uid="{00000000-0005-0000-0000-000052530000}"/>
    <cellStyle name="Normal 3 3 2 11 15" xfId="30078" xr:uid="{00000000-0005-0000-0000-000053530000}"/>
    <cellStyle name="Normal 3 3 2 11 2" xfId="12554" xr:uid="{00000000-0005-0000-0000-000054530000}"/>
    <cellStyle name="Normal 3 3 2 11 2 2" xfId="30084" xr:uid="{00000000-0005-0000-0000-000055530000}"/>
    <cellStyle name="Normal 3 3 2 11 3" xfId="12555" xr:uid="{00000000-0005-0000-0000-000056530000}"/>
    <cellStyle name="Normal 3 3 2 11 3 2" xfId="30085" xr:uid="{00000000-0005-0000-0000-000057530000}"/>
    <cellStyle name="Normal 3 3 2 11 4" xfId="12556" xr:uid="{00000000-0005-0000-0000-000058530000}"/>
    <cellStyle name="Normal 3 3 2 11 4 2" xfId="30086" xr:uid="{00000000-0005-0000-0000-000059530000}"/>
    <cellStyle name="Normal 3 3 2 11 5" xfId="12557" xr:uid="{00000000-0005-0000-0000-00005A530000}"/>
    <cellStyle name="Normal 3 3 2 11 5 2" xfId="30087" xr:uid="{00000000-0005-0000-0000-00005B530000}"/>
    <cellStyle name="Normal 3 3 2 11 6" xfId="12558" xr:uid="{00000000-0005-0000-0000-00005C530000}"/>
    <cellStyle name="Normal 3 3 2 11 6 2" xfId="30088" xr:uid="{00000000-0005-0000-0000-00005D530000}"/>
    <cellStyle name="Normal 3 3 2 11 7" xfId="12559" xr:uid="{00000000-0005-0000-0000-00005E530000}"/>
    <cellStyle name="Normal 3 3 2 11 7 2" xfId="30089" xr:uid="{00000000-0005-0000-0000-00005F530000}"/>
    <cellStyle name="Normal 3 3 2 11 8" xfId="12560" xr:uid="{00000000-0005-0000-0000-000060530000}"/>
    <cellStyle name="Normal 3 3 2 11 8 2" xfId="30090" xr:uid="{00000000-0005-0000-0000-000061530000}"/>
    <cellStyle name="Normal 3 3 2 11 9" xfId="12561" xr:uid="{00000000-0005-0000-0000-000062530000}"/>
    <cellStyle name="Normal 3 3 2 11 9 2" xfId="30091" xr:uid="{00000000-0005-0000-0000-000063530000}"/>
    <cellStyle name="Normal 3 3 2 12" xfId="12562" xr:uid="{00000000-0005-0000-0000-000064530000}"/>
    <cellStyle name="Normal 3 3 2 12 10" xfId="12563" xr:uid="{00000000-0005-0000-0000-000065530000}"/>
    <cellStyle name="Normal 3 3 2 12 10 2" xfId="30093" xr:uid="{00000000-0005-0000-0000-000066530000}"/>
    <cellStyle name="Normal 3 3 2 12 11" xfId="12564" xr:uid="{00000000-0005-0000-0000-000067530000}"/>
    <cellStyle name="Normal 3 3 2 12 11 2" xfId="30094" xr:uid="{00000000-0005-0000-0000-000068530000}"/>
    <cellStyle name="Normal 3 3 2 12 12" xfId="12565" xr:uid="{00000000-0005-0000-0000-000069530000}"/>
    <cellStyle name="Normal 3 3 2 12 12 2" xfId="30095" xr:uid="{00000000-0005-0000-0000-00006A530000}"/>
    <cellStyle name="Normal 3 3 2 12 13" xfId="12566" xr:uid="{00000000-0005-0000-0000-00006B530000}"/>
    <cellStyle name="Normal 3 3 2 12 13 2" xfId="30096" xr:uid="{00000000-0005-0000-0000-00006C530000}"/>
    <cellStyle name="Normal 3 3 2 12 14" xfId="12567" xr:uid="{00000000-0005-0000-0000-00006D530000}"/>
    <cellStyle name="Normal 3 3 2 12 14 2" xfId="30097" xr:uid="{00000000-0005-0000-0000-00006E530000}"/>
    <cellStyle name="Normal 3 3 2 12 15" xfId="30092" xr:uid="{00000000-0005-0000-0000-00006F530000}"/>
    <cellStyle name="Normal 3 3 2 12 2" xfId="12568" xr:uid="{00000000-0005-0000-0000-000070530000}"/>
    <cellStyle name="Normal 3 3 2 12 2 2" xfId="30098" xr:uid="{00000000-0005-0000-0000-000071530000}"/>
    <cellStyle name="Normal 3 3 2 12 3" xfId="12569" xr:uid="{00000000-0005-0000-0000-000072530000}"/>
    <cellStyle name="Normal 3 3 2 12 3 2" xfId="30099" xr:uid="{00000000-0005-0000-0000-000073530000}"/>
    <cellStyle name="Normal 3 3 2 12 4" xfId="12570" xr:uid="{00000000-0005-0000-0000-000074530000}"/>
    <cellStyle name="Normal 3 3 2 12 4 2" xfId="30100" xr:uid="{00000000-0005-0000-0000-000075530000}"/>
    <cellStyle name="Normal 3 3 2 12 5" xfId="12571" xr:uid="{00000000-0005-0000-0000-000076530000}"/>
    <cellStyle name="Normal 3 3 2 12 5 2" xfId="30101" xr:uid="{00000000-0005-0000-0000-000077530000}"/>
    <cellStyle name="Normal 3 3 2 12 6" xfId="12572" xr:uid="{00000000-0005-0000-0000-000078530000}"/>
    <cellStyle name="Normal 3 3 2 12 6 2" xfId="30102" xr:uid="{00000000-0005-0000-0000-000079530000}"/>
    <cellStyle name="Normal 3 3 2 12 7" xfId="12573" xr:uid="{00000000-0005-0000-0000-00007A530000}"/>
    <cellStyle name="Normal 3 3 2 12 7 2" xfId="30103" xr:uid="{00000000-0005-0000-0000-00007B530000}"/>
    <cellStyle name="Normal 3 3 2 12 8" xfId="12574" xr:uid="{00000000-0005-0000-0000-00007C530000}"/>
    <cellStyle name="Normal 3 3 2 12 8 2" xfId="30104" xr:uid="{00000000-0005-0000-0000-00007D530000}"/>
    <cellStyle name="Normal 3 3 2 12 9" xfId="12575" xr:uid="{00000000-0005-0000-0000-00007E530000}"/>
    <cellStyle name="Normal 3 3 2 12 9 2" xfId="30105" xr:uid="{00000000-0005-0000-0000-00007F530000}"/>
    <cellStyle name="Normal 3 3 2 13" xfId="12576" xr:uid="{00000000-0005-0000-0000-000080530000}"/>
    <cellStyle name="Normal 3 3 2 13 10" xfId="12577" xr:uid="{00000000-0005-0000-0000-000081530000}"/>
    <cellStyle name="Normal 3 3 2 13 10 2" xfId="30107" xr:uid="{00000000-0005-0000-0000-000082530000}"/>
    <cellStyle name="Normal 3 3 2 13 11" xfId="12578" xr:uid="{00000000-0005-0000-0000-000083530000}"/>
    <cellStyle name="Normal 3 3 2 13 11 2" xfId="30108" xr:uid="{00000000-0005-0000-0000-000084530000}"/>
    <cellStyle name="Normal 3 3 2 13 12" xfId="12579" xr:uid="{00000000-0005-0000-0000-000085530000}"/>
    <cellStyle name="Normal 3 3 2 13 12 2" xfId="30109" xr:uid="{00000000-0005-0000-0000-000086530000}"/>
    <cellStyle name="Normal 3 3 2 13 13" xfId="12580" xr:uid="{00000000-0005-0000-0000-000087530000}"/>
    <cellStyle name="Normal 3 3 2 13 13 2" xfId="30110" xr:uid="{00000000-0005-0000-0000-000088530000}"/>
    <cellStyle name="Normal 3 3 2 13 14" xfId="12581" xr:uid="{00000000-0005-0000-0000-000089530000}"/>
    <cellStyle name="Normal 3 3 2 13 14 2" xfId="30111" xr:uid="{00000000-0005-0000-0000-00008A530000}"/>
    <cellStyle name="Normal 3 3 2 13 15" xfId="30106" xr:uid="{00000000-0005-0000-0000-00008B530000}"/>
    <cellStyle name="Normal 3 3 2 13 2" xfId="12582" xr:uid="{00000000-0005-0000-0000-00008C530000}"/>
    <cellStyle name="Normal 3 3 2 13 2 2" xfId="30112" xr:uid="{00000000-0005-0000-0000-00008D530000}"/>
    <cellStyle name="Normal 3 3 2 13 3" xfId="12583" xr:uid="{00000000-0005-0000-0000-00008E530000}"/>
    <cellStyle name="Normal 3 3 2 13 3 2" xfId="30113" xr:uid="{00000000-0005-0000-0000-00008F530000}"/>
    <cellStyle name="Normal 3 3 2 13 4" xfId="12584" xr:uid="{00000000-0005-0000-0000-000090530000}"/>
    <cellStyle name="Normal 3 3 2 13 4 2" xfId="30114" xr:uid="{00000000-0005-0000-0000-000091530000}"/>
    <cellStyle name="Normal 3 3 2 13 5" xfId="12585" xr:uid="{00000000-0005-0000-0000-000092530000}"/>
    <cellStyle name="Normal 3 3 2 13 5 2" xfId="30115" xr:uid="{00000000-0005-0000-0000-000093530000}"/>
    <cellStyle name="Normal 3 3 2 13 6" xfId="12586" xr:uid="{00000000-0005-0000-0000-000094530000}"/>
    <cellStyle name="Normal 3 3 2 13 6 2" xfId="30116" xr:uid="{00000000-0005-0000-0000-000095530000}"/>
    <cellStyle name="Normal 3 3 2 13 7" xfId="12587" xr:uid="{00000000-0005-0000-0000-000096530000}"/>
    <cellStyle name="Normal 3 3 2 13 7 2" xfId="30117" xr:uid="{00000000-0005-0000-0000-000097530000}"/>
    <cellStyle name="Normal 3 3 2 13 8" xfId="12588" xr:uid="{00000000-0005-0000-0000-000098530000}"/>
    <cellStyle name="Normal 3 3 2 13 8 2" xfId="30118" xr:uid="{00000000-0005-0000-0000-000099530000}"/>
    <cellStyle name="Normal 3 3 2 13 9" xfId="12589" xr:uid="{00000000-0005-0000-0000-00009A530000}"/>
    <cellStyle name="Normal 3 3 2 13 9 2" xfId="30119" xr:uid="{00000000-0005-0000-0000-00009B530000}"/>
    <cellStyle name="Normal 3 3 2 14" xfId="12590" xr:uid="{00000000-0005-0000-0000-00009C530000}"/>
    <cellStyle name="Normal 3 3 2 14 10" xfId="12591" xr:uid="{00000000-0005-0000-0000-00009D530000}"/>
    <cellStyle name="Normal 3 3 2 14 10 2" xfId="30121" xr:uid="{00000000-0005-0000-0000-00009E530000}"/>
    <cellStyle name="Normal 3 3 2 14 11" xfId="12592" xr:uid="{00000000-0005-0000-0000-00009F530000}"/>
    <cellStyle name="Normal 3 3 2 14 11 2" xfId="30122" xr:uid="{00000000-0005-0000-0000-0000A0530000}"/>
    <cellStyle name="Normal 3 3 2 14 12" xfId="12593" xr:uid="{00000000-0005-0000-0000-0000A1530000}"/>
    <cellStyle name="Normal 3 3 2 14 12 2" xfId="30123" xr:uid="{00000000-0005-0000-0000-0000A2530000}"/>
    <cellStyle name="Normal 3 3 2 14 13" xfId="12594" xr:uid="{00000000-0005-0000-0000-0000A3530000}"/>
    <cellStyle name="Normal 3 3 2 14 13 2" xfId="30124" xr:uid="{00000000-0005-0000-0000-0000A4530000}"/>
    <cellStyle name="Normal 3 3 2 14 14" xfId="12595" xr:uid="{00000000-0005-0000-0000-0000A5530000}"/>
    <cellStyle name="Normal 3 3 2 14 14 2" xfId="30125" xr:uid="{00000000-0005-0000-0000-0000A6530000}"/>
    <cellStyle name="Normal 3 3 2 14 15" xfId="30120" xr:uid="{00000000-0005-0000-0000-0000A7530000}"/>
    <cellStyle name="Normal 3 3 2 14 2" xfId="12596" xr:uid="{00000000-0005-0000-0000-0000A8530000}"/>
    <cellStyle name="Normal 3 3 2 14 2 2" xfId="30126" xr:uid="{00000000-0005-0000-0000-0000A9530000}"/>
    <cellStyle name="Normal 3 3 2 14 3" xfId="12597" xr:uid="{00000000-0005-0000-0000-0000AA530000}"/>
    <cellStyle name="Normal 3 3 2 14 3 2" xfId="30127" xr:uid="{00000000-0005-0000-0000-0000AB530000}"/>
    <cellStyle name="Normal 3 3 2 14 4" xfId="12598" xr:uid="{00000000-0005-0000-0000-0000AC530000}"/>
    <cellStyle name="Normal 3 3 2 14 4 2" xfId="30128" xr:uid="{00000000-0005-0000-0000-0000AD530000}"/>
    <cellStyle name="Normal 3 3 2 14 5" xfId="12599" xr:uid="{00000000-0005-0000-0000-0000AE530000}"/>
    <cellStyle name="Normal 3 3 2 14 5 2" xfId="30129" xr:uid="{00000000-0005-0000-0000-0000AF530000}"/>
    <cellStyle name="Normal 3 3 2 14 6" xfId="12600" xr:uid="{00000000-0005-0000-0000-0000B0530000}"/>
    <cellStyle name="Normal 3 3 2 14 6 2" xfId="30130" xr:uid="{00000000-0005-0000-0000-0000B1530000}"/>
    <cellStyle name="Normal 3 3 2 14 7" xfId="12601" xr:uid="{00000000-0005-0000-0000-0000B2530000}"/>
    <cellStyle name="Normal 3 3 2 14 7 2" xfId="30131" xr:uid="{00000000-0005-0000-0000-0000B3530000}"/>
    <cellStyle name="Normal 3 3 2 14 8" xfId="12602" xr:uid="{00000000-0005-0000-0000-0000B4530000}"/>
    <cellStyle name="Normal 3 3 2 14 8 2" xfId="30132" xr:uid="{00000000-0005-0000-0000-0000B5530000}"/>
    <cellStyle name="Normal 3 3 2 14 9" xfId="12603" xr:uid="{00000000-0005-0000-0000-0000B6530000}"/>
    <cellStyle name="Normal 3 3 2 14 9 2" xfId="30133" xr:uid="{00000000-0005-0000-0000-0000B7530000}"/>
    <cellStyle name="Normal 3 3 2 15" xfId="12604" xr:uid="{00000000-0005-0000-0000-0000B8530000}"/>
    <cellStyle name="Normal 3 3 2 16" xfId="12605" xr:uid="{00000000-0005-0000-0000-0000B9530000}"/>
    <cellStyle name="Normal 3 3 2 17" xfId="12606" xr:uid="{00000000-0005-0000-0000-0000BA530000}"/>
    <cellStyle name="Normal 3 3 2 17 10" xfId="12607" xr:uid="{00000000-0005-0000-0000-0000BB530000}"/>
    <cellStyle name="Normal 3 3 2 17 10 2" xfId="30135" xr:uid="{00000000-0005-0000-0000-0000BC530000}"/>
    <cellStyle name="Normal 3 3 2 17 11" xfId="12608" xr:uid="{00000000-0005-0000-0000-0000BD530000}"/>
    <cellStyle name="Normal 3 3 2 17 11 2" xfId="30136" xr:uid="{00000000-0005-0000-0000-0000BE530000}"/>
    <cellStyle name="Normal 3 3 2 17 12" xfId="12609" xr:uid="{00000000-0005-0000-0000-0000BF530000}"/>
    <cellStyle name="Normal 3 3 2 17 12 2" xfId="30137" xr:uid="{00000000-0005-0000-0000-0000C0530000}"/>
    <cellStyle name="Normal 3 3 2 17 13" xfId="12610" xr:uid="{00000000-0005-0000-0000-0000C1530000}"/>
    <cellStyle name="Normal 3 3 2 17 13 2" xfId="30138" xr:uid="{00000000-0005-0000-0000-0000C2530000}"/>
    <cellStyle name="Normal 3 3 2 17 14" xfId="12611" xr:uid="{00000000-0005-0000-0000-0000C3530000}"/>
    <cellStyle name="Normal 3 3 2 17 14 2" xfId="30139" xr:uid="{00000000-0005-0000-0000-0000C4530000}"/>
    <cellStyle name="Normal 3 3 2 17 15" xfId="30134" xr:uid="{00000000-0005-0000-0000-0000C5530000}"/>
    <cellStyle name="Normal 3 3 2 17 2" xfId="12612" xr:uid="{00000000-0005-0000-0000-0000C6530000}"/>
    <cellStyle name="Normal 3 3 2 17 2 2" xfId="30140" xr:uid="{00000000-0005-0000-0000-0000C7530000}"/>
    <cellStyle name="Normal 3 3 2 17 3" xfId="12613" xr:uid="{00000000-0005-0000-0000-0000C8530000}"/>
    <cellStyle name="Normal 3 3 2 17 3 2" xfId="30141" xr:uid="{00000000-0005-0000-0000-0000C9530000}"/>
    <cellStyle name="Normal 3 3 2 17 4" xfId="12614" xr:uid="{00000000-0005-0000-0000-0000CA530000}"/>
    <cellStyle name="Normal 3 3 2 17 4 2" xfId="30142" xr:uid="{00000000-0005-0000-0000-0000CB530000}"/>
    <cellStyle name="Normal 3 3 2 17 5" xfId="12615" xr:uid="{00000000-0005-0000-0000-0000CC530000}"/>
    <cellStyle name="Normal 3 3 2 17 5 2" xfId="30143" xr:uid="{00000000-0005-0000-0000-0000CD530000}"/>
    <cellStyle name="Normal 3 3 2 17 6" xfId="12616" xr:uid="{00000000-0005-0000-0000-0000CE530000}"/>
    <cellStyle name="Normal 3 3 2 17 6 2" xfId="30144" xr:uid="{00000000-0005-0000-0000-0000CF530000}"/>
    <cellStyle name="Normal 3 3 2 17 7" xfId="12617" xr:uid="{00000000-0005-0000-0000-0000D0530000}"/>
    <cellStyle name="Normal 3 3 2 17 7 2" xfId="30145" xr:uid="{00000000-0005-0000-0000-0000D1530000}"/>
    <cellStyle name="Normal 3 3 2 17 8" xfId="12618" xr:uid="{00000000-0005-0000-0000-0000D2530000}"/>
    <cellStyle name="Normal 3 3 2 17 8 2" xfId="30146" xr:uid="{00000000-0005-0000-0000-0000D3530000}"/>
    <cellStyle name="Normal 3 3 2 17 9" xfId="12619" xr:uid="{00000000-0005-0000-0000-0000D4530000}"/>
    <cellStyle name="Normal 3 3 2 17 9 2" xfId="30147" xr:uid="{00000000-0005-0000-0000-0000D5530000}"/>
    <cellStyle name="Normal 3 3 2 18" xfId="12620" xr:uid="{00000000-0005-0000-0000-0000D6530000}"/>
    <cellStyle name="Normal 3 3 2 18 10" xfId="12621" xr:uid="{00000000-0005-0000-0000-0000D7530000}"/>
    <cellStyle name="Normal 3 3 2 18 10 2" xfId="30149" xr:uid="{00000000-0005-0000-0000-0000D8530000}"/>
    <cellStyle name="Normal 3 3 2 18 11" xfId="12622" xr:uid="{00000000-0005-0000-0000-0000D9530000}"/>
    <cellStyle name="Normal 3 3 2 18 11 2" xfId="30150" xr:uid="{00000000-0005-0000-0000-0000DA530000}"/>
    <cellStyle name="Normal 3 3 2 18 12" xfId="12623" xr:uid="{00000000-0005-0000-0000-0000DB530000}"/>
    <cellStyle name="Normal 3 3 2 18 12 2" xfId="30151" xr:uid="{00000000-0005-0000-0000-0000DC530000}"/>
    <cellStyle name="Normal 3 3 2 18 13" xfId="12624" xr:uid="{00000000-0005-0000-0000-0000DD530000}"/>
    <cellStyle name="Normal 3 3 2 18 13 2" xfId="30152" xr:uid="{00000000-0005-0000-0000-0000DE530000}"/>
    <cellStyle name="Normal 3 3 2 18 14" xfId="12625" xr:uid="{00000000-0005-0000-0000-0000DF530000}"/>
    <cellStyle name="Normal 3 3 2 18 14 2" xfId="30153" xr:uid="{00000000-0005-0000-0000-0000E0530000}"/>
    <cellStyle name="Normal 3 3 2 18 15" xfId="30148" xr:uid="{00000000-0005-0000-0000-0000E1530000}"/>
    <cellStyle name="Normal 3 3 2 18 2" xfId="12626" xr:uid="{00000000-0005-0000-0000-0000E2530000}"/>
    <cellStyle name="Normal 3 3 2 18 2 2" xfId="30154" xr:uid="{00000000-0005-0000-0000-0000E3530000}"/>
    <cellStyle name="Normal 3 3 2 18 3" xfId="12627" xr:uid="{00000000-0005-0000-0000-0000E4530000}"/>
    <cellStyle name="Normal 3 3 2 18 3 2" xfId="30155" xr:uid="{00000000-0005-0000-0000-0000E5530000}"/>
    <cellStyle name="Normal 3 3 2 18 4" xfId="12628" xr:uid="{00000000-0005-0000-0000-0000E6530000}"/>
    <cellStyle name="Normal 3 3 2 18 4 2" xfId="30156" xr:uid="{00000000-0005-0000-0000-0000E7530000}"/>
    <cellStyle name="Normal 3 3 2 18 5" xfId="12629" xr:uid="{00000000-0005-0000-0000-0000E8530000}"/>
    <cellStyle name="Normal 3 3 2 18 5 2" xfId="30157" xr:uid="{00000000-0005-0000-0000-0000E9530000}"/>
    <cellStyle name="Normal 3 3 2 18 6" xfId="12630" xr:uid="{00000000-0005-0000-0000-0000EA530000}"/>
    <cellStyle name="Normal 3 3 2 18 6 2" xfId="30158" xr:uid="{00000000-0005-0000-0000-0000EB530000}"/>
    <cellStyle name="Normal 3 3 2 18 7" xfId="12631" xr:uid="{00000000-0005-0000-0000-0000EC530000}"/>
    <cellStyle name="Normal 3 3 2 18 7 2" xfId="30159" xr:uid="{00000000-0005-0000-0000-0000ED530000}"/>
    <cellStyle name="Normal 3 3 2 18 8" xfId="12632" xr:uid="{00000000-0005-0000-0000-0000EE530000}"/>
    <cellStyle name="Normal 3 3 2 18 8 2" xfId="30160" xr:uid="{00000000-0005-0000-0000-0000EF530000}"/>
    <cellStyle name="Normal 3 3 2 18 9" xfId="12633" xr:uid="{00000000-0005-0000-0000-0000F0530000}"/>
    <cellStyle name="Normal 3 3 2 18 9 2" xfId="30161" xr:uid="{00000000-0005-0000-0000-0000F1530000}"/>
    <cellStyle name="Normal 3 3 2 19" xfId="12533" xr:uid="{00000000-0005-0000-0000-0000F2530000}"/>
    <cellStyle name="Normal 3 3 2 2" xfId="574" xr:uid="{00000000-0005-0000-0000-0000F3530000}"/>
    <cellStyle name="Normal 3 3 2 2 10" xfId="12635" xr:uid="{00000000-0005-0000-0000-0000F4530000}"/>
    <cellStyle name="Normal 3 3 2 2 10 2" xfId="30163" xr:uid="{00000000-0005-0000-0000-0000F5530000}"/>
    <cellStyle name="Normal 3 3 2 2 11" xfId="12636" xr:uid="{00000000-0005-0000-0000-0000F6530000}"/>
    <cellStyle name="Normal 3 3 2 2 11 2" xfId="30164" xr:uid="{00000000-0005-0000-0000-0000F7530000}"/>
    <cellStyle name="Normal 3 3 2 2 12" xfId="12637" xr:uid="{00000000-0005-0000-0000-0000F8530000}"/>
    <cellStyle name="Normal 3 3 2 2 12 2" xfId="30165" xr:uid="{00000000-0005-0000-0000-0000F9530000}"/>
    <cellStyle name="Normal 3 3 2 2 13" xfId="12638" xr:uid="{00000000-0005-0000-0000-0000FA530000}"/>
    <cellStyle name="Normal 3 3 2 2 13 2" xfId="30166" xr:uid="{00000000-0005-0000-0000-0000FB530000}"/>
    <cellStyle name="Normal 3 3 2 2 14" xfId="12639" xr:uid="{00000000-0005-0000-0000-0000FC530000}"/>
    <cellStyle name="Normal 3 3 2 2 14 2" xfId="30167" xr:uid="{00000000-0005-0000-0000-0000FD530000}"/>
    <cellStyle name="Normal 3 3 2 2 15" xfId="12640" xr:uid="{00000000-0005-0000-0000-0000FE530000}"/>
    <cellStyle name="Normal 3 3 2 2 15 2" xfId="30168" xr:uid="{00000000-0005-0000-0000-0000FF530000}"/>
    <cellStyle name="Normal 3 3 2 2 16" xfId="12641" xr:uid="{00000000-0005-0000-0000-000000540000}"/>
    <cellStyle name="Normal 3 3 2 2 16 2" xfId="30169" xr:uid="{00000000-0005-0000-0000-000001540000}"/>
    <cellStyle name="Normal 3 3 2 2 17" xfId="12642" xr:uid="{00000000-0005-0000-0000-000002540000}"/>
    <cellStyle name="Normal 3 3 2 2 17 2" xfId="30170" xr:uid="{00000000-0005-0000-0000-000003540000}"/>
    <cellStyle name="Normal 3 3 2 2 18" xfId="12634" xr:uid="{00000000-0005-0000-0000-000004540000}"/>
    <cellStyle name="Normal 3 3 2 2 19" xfId="30162" xr:uid="{00000000-0005-0000-0000-000005540000}"/>
    <cellStyle name="Normal 3 3 2 2 2" xfId="12643" xr:uid="{00000000-0005-0000-0000-000006540000}"/>
    <cellStyle name="Normal 3 3 2 2 3" xfId="12644" xr:uid="{00000000-0005-0000-0000-000007540000}"/>
    <cellStyle name="Normal 3 3 2 2 4" xfId="12645" xr:uid="{00000000-0005-0000-0000-000008540000}"/>
    <cellStyle name="Normal 3 3 2 2 5" xfId="12646" xr:uid="{00000000-0005-0000-0000-000009540000}"/>
    <cellStyle name="Normal 3 3 2 2 5 2" xfId="30171" xr:uid="{00000000-0005-0000-0000-00000A540000}"/>
    <cellStyle name="Normal 3 3 2 2 6" xfId="12647" xr:uid="{00000000-0005-0000-0000-00000B540000}"/>
    <cellStyle name="Normal 3 3 2 2 6 2" xfId="30172" xr:uid="{00000000-0005-0000-0000-00000C540000}"/>
    <cellStyle name="Normal 3 3 2 2 7" xfId="12648" xr:uid="{00000000-0005-0000-0000-00000D540000}"/>
    <cellStyle name="Normal 3 3 2 2 7 2" xfId="30173" xr:uid="{00000000-0005-0000-0000-00000E540000}"/>
    <cellStyle name="Normal 3 3 2 2 8" xfId="12649" xr:uid="{00000000-0005-0000-0000-00000F540000}"/>
    <cellStyle name="Normal 3 3 2 2 8 2" xfId="30174" xr:uid="{00000000-0005-0000-0000-000010540000}"/>
    <cellStyle name="Normal 3 3 2 2 9" xfId="12650" xr:uid="{00000000-0005-0000-0000-000011540000}"/>
    <cellStyle name="Normal 3 3 2 2 9 2" xfId="30175" xr:uid="{00000000-0005-0000-0000-000012540000}"/>
    <cellStyle name="Normal 3 3 2 3" xfId="12651" xr:uid="{00000000-0005-0000-0000-000013540000}"/>
    <cellStyle name="Normal 3 3 2 4" xfId="12652" xr:uid="{00000000-0005-0000-0000-000014540000}"/>
    <cellStyle name="Normal 3 3 2 5" xfId="12653" xr:uid="{00000000-0005-0000-0000-000015540000}"/>
    <cellStyle name="Normal 3 3 2 6" xfId="12654" xr:uid="{00000000-0005-0000-0000-000016540000}"/>
    <cellStyle name="Normal 3 3 2 6 10" xfId="12655" xr:uid="{00000000-0005-0000-0000-000017540000}"/>
    <cellStyle name="Normal 3 3 2 6 10 2" xfId="30177" xr:uid="{00000000-0005-0000-0000-000018540000}"/>
    <cellStyle name="Normal 3 3 2 6 11" xfId="12656" xr:uid="{00000000-0005-0000-0000-000019540000}"/>
    <cellStyle name="Normal 3 3 2 6 11 2" xfId="30178" xr:uid="{00000000-0005-0000-0000-00001A540000}"/>
    <cellStyle name="Normal 3 3 2 6 12" xfId="12657" xr:uid="{00000000-0005-0000-0000-00001B540000}"/>
    <cellStyle name="Normal 3 3 2 6 12 2" xfId="30179" xr:uid="{00000000-0005-0000-0000-00001C540000}"/>
    <cellStyle name="Normal 3 3 2 6 13" xfId="12658" xr:uid="{00000000-0005-0000-0000-00001D540000}"/>
    <cellStyle name="Normal 3 3 2 6 13 2" xfId="30180" xr:uid="{00000000-0005-0000-0000-00001E540000}"/>
    <cellStyle name="Normal 3 3 2 6 14" xfId="12659" xr:uid="{00000000-0005-0000-0000-00001F540000}"/>
    <cellStyle name="Normal 3 3 2 6 14 2" xfId="30181" xr:uid="{00000000-0005-0000-0000-000020540000}"/>
    <cellStyle name="Normal 3 3 2 6 15" xfId="12660" xr:uid="{00000000-0005-0000-0000-000021540000}"/>
    <cellStyle name="Normal 3 3 2 6 15 2" xfId="30182" xr:uid="{00000000-0005-0000-0000-000022540000}"/>
    <cellStyle name="Normal 3 3 2 6 16" xfId="30176" xr:uid="{00000000-0005-0000-0000-000023540000}"/>
    <cellStyle name="Normal 3 3 2 6 2" xfId="12661" xr:uid="{00000000-0005-0000-0000-000024540000}"/>
    <cellStyle name="Normal 3 3 2 6 2 10" xfId="12662" xr:uid="{00000000-0005-0000-0000-000025540000}"/>
    <cellStyle name="Normal 3 3 2 6 2 10 2" xfId="30184" xr:uid="{00000000-0005-0000-0000-000026540000}"/>
    <cellStyle name="Normal 3 3 2 6 2 11" xfId="12663" xr:uid="{00000000-0005-0000-0000-000027540000}"/>
    <cellStyle name="Normal 3 3 2 6 2 11 2" xfId="30185" xr:uid="{00000000-0005-0000-0000-000028540000}"/>
    <cellStyle name="Normal 3 3 2 6 2 12" xfId="12664" xr:uid="{00000000-0005-0000-0000-000029540000}"/>
    <cellStyle name="Normal 3 3 2 6 2 12 2" xfId="30186" xr:uid="{00000000-0005-0000-0000-00002A540000}"/>
    <cellStyle name="Normal 3 3 2 6 2 13" xfId="12665" xr:uid="{00000000-0005-0000-0000-00002B540000}"/>
    <cellStyle name="Normal 3 3 2 6 2 13 2" xfId="30187" xr:uid="{00000000-0005-0000-0000-00002C540000}"/>
    <cellStyle name="Normal 3 3 2 6 2 14" xfId="12666" xr:uid="{00000000-0005-0000-0000-00002D540000}"/>
    <cellStyle name="Normal 3 3 2 6 2 14 2" xfId="30188" xr:uid="{00000000-0005-0000-0000-00002E540000}"/>
    <cellStyle name="Normal 3 3 2 6 2 15" xfId="30183" xr:uid="{00000000-0005-0000-0000-00002F540000}"/>
    <cellStyle name="Normal 3 3 2 6 2 2" xfId="12667" xr:uid="{00000000-0005-0000-0000-000030540000}"/>
    <cellStyle name="Normal 3 3 2 6 2 2 2" xfId="30189" xr:uid="{00000000-0005-0000-0000-000031540000}"/>
    <cellStyle name="Normal 3 3 2 6 2 3" xfId="12668" xr:uid="{00000000-0005-0000-0000-000032540000}"/>
    <cellStyle name="Normal 3 3 2 6 2 3 2" xfId="30190" xr:uid="{00000000-0005-0000-0000-000033540000}"/>
    <cellStyle name="Normal 3 3 2 6 2 4" xfId="12669" xr:uid="{00000000-0005-0000-0000-000034540000}"/>
    <cellStyle name="Normal 3 3 2 6 2 4 2" xfId="30191" xr:uid="{00000000-0005-0000-0000-000035540000}"/>
    <cellStyle name="Normal 3 3 2 6 2 5" xfId="12670" xr:uid="{00000000-0005-0000-0000-000036540000}"/>
    <cellStyle name="Normal 3 3 2 6 2 5 2" xfId="30192" xr:uid="{00000000-0005-0000-0000-000037540000}"/>
    <cellStyle name="Normal 3 3 2 6 2 6" xfId="12671" xr:uid="{00000000-0005-0000-0000-000038540000}"/>
    <cellStyle name="Normal 3 3 2 6 2 6 2" xfId="30193" xr:uid="{00000000-0005-0000-0000-000039540000}"/>
    <cellStyle name="Normal 3 3 2 6 2 7" xfId="12672" xr:uid="{00000000-0005-0000-0000-00003A540000}"/>
    <cellStyle name="Normal 3 3 2 6 2 7 2" xfId="30194" xr:uid="{00000000-0005-0000-0000-00003B540000}"/>
    <cellStyle name="Normal 3 3 2 6 2 8" xfId="12673" xr:uid="{00000000-0005-0000-0000-00003C540000}"/>
    <cellStyle name="Normal 3 3 2 6 2 8 2" xfId="30195" xr:uid="{00000000-0005-0000-0000-00003D540000}"/>
    <cellStyle name="Normal 3 3 2 6 2 9" xfId="12674" xr:uid="{00000000-0005-0000-0000-00003E540000}"/>
    <cellStyle name="Normal 3 3 2 6 2 9 2" xfId="30196" xr:uid="{00000000-0005-0000-0000-00003F540000}"/>
    <cellStyle name="Normal 3 3 2 6 3" xfId="12675" xr:uid="{00000000-0005-0000-0000-000040540000}"/>
    <cellStyle name="Normal 3 3 2 6 3 2" xfId="30197" xr:uid="{00000000-0005-0000-0000-000041540000}"/>
    <cellStyle name="Normal 3 3 2 6 4" xfId="12676" xr:uid="{00000000-0005-0000-0000-000042540000}"/>
    <cellStyle name="Normal 3 3 2 6 4 2" xfId="30198" xr:uid="{00000000-0005-0000-0000-000043540000}"/>
    <cellStyle name="Normal 3 3 2 6 5" xfId="12677" xr:uid="{00000000-0005-0000-0000-000044540000}"/>
    <cellStyle name="Normal 3 3 2 6 5 2" xfId="30199" xr:uid="{00000000-0005-0000-0000-000045540000}"/>
    <cellStyle name="Normal 3 3 2 6 6" xfId="12678" xr:uid="{00000000-0005-0000-0000-000046540000}"/>
    <cellStyle name="Normal 3 3 2 6 6 2" xfId="30200" xr:uid="{00000000-0005-0000-0000-000047540000}"/>
    <cellStyle name="Normal 3 3 2 6 7" xfId="12679" xr:uid="{00000000-0005-0000-0000-000048540000}"/>
    <cellStyle name="Normal 3 3 2 6 7 2" xfId="30201" xr:uid="{00000000-0005-0000-0000-000049540000}"/>
    <cellStyle name="Normal 3 3 2 6 8" xfId="12680" xr:uid="{00000000-0005-0000-0000-00004A540000}"/>
    <cellStyle name="Normal 3 3 2 6 8 2" xfId="30202" xr:uid="{00000000-0005-0000-0000-00004B540000}"/>
    <cellStyle name="Normal 3 3 2 6 9" xfId="12681" xr:uid="{00000000-0005-0000-0000-00004C540000}"/>
    <cellStyle name="Normal 3 3 2 6 9 2" xfId="30203" xr:uid="{00000000-0005-0000-0000-00004D540000}"/>
    <cellStyle name="Normal 3 3 2 7" xfId="12682" xr:uid="{00000000-0005-0000-0000-00004E540000}"/>
    <cellStyle name="Normal 3 3 2 7 10" xfId="12683" xr:uid="{00000000-0005-0000-0000-00004F540000}"/>
    <cellStyle name="Normal 3 3 2 7 10 2" xfId="30205" xr:uid="{00000000-0005-0000-0000-000050540000}"/>
    <cellStyle name="Normal 3 3 2 7 11" xfId="12684" xr:uid="{00000000-0005-0000-0000-000051540000}"/>
    <cellStyle name="Normal 3 3 2 7 11 2" xfId="30206" xr:uid="{00000000-0005-0000-0000-000052540000}"/>
    <cellStyle name="Normal 3 3 2 7 12" xfId="12685" xr:uid="{00000000-0005-0000-0000-000053540000}"/>
    <cellStyle name="Normal 3 3 2 7 12 2" xfId="30207" xr:uid="{00000000-0005-0000-0000-000054540000}"/>
    <cellStyle name="Normal 3 3 2 7 13" xfId="12686" xr:uid="{00000000-0005-0000-0000-000055540000}"/>
    <cellStyle name="Normal 3 3 2 7 13 2" xfId="30208" xr:uid="{00000000-0005-0000-0000-000056540000}"/>
    <cellStyle name="Normal 3 3 2 7 14" xfId="12687" xr:uid="{00000000-0005-0000-0000-000057540000}"/>
    <cellStyle name="Normal 3 3 2 7 14 2" xfId="30209" xr:uid="{00000000-0005-0000-0000-000058540000}"/>
    <cellStyle name="Normal 3 3 2 7 15" xfId="12688" xr:uid="{00000000-0005-0000-0000-000059540000}"/>
    <cellStyle name="Normal 3 3 2 7 15 2" xfId="30210" xr:uid="{00000000-0005-0000-0000-00005A540000}"/>
    <cellStyle name="Normal 3 3 2 7 16" xfId="30204" xr:uid="{00000000-0005-0000-0000-00005B540000}"/>
    <cellStyle name="Normal 3 3 2 7 2" xfId="12689" xr:uid="{00000000-0005-0000-0000-00005C540000}"/>
    <cellStyle name="Normal 3 3 2 7 2 10" xfId="12690" xr:uid="{00000000-0005-0000-0000-00005D540000}"/>
    <cellStyle name="Normal 3 3 2 7 2 10 2" xfId="30212" xr:uid="{00000000-0005-0000-0000-00005E540000}"/>
    <cellStyle name="Normal 3 3 2 7 2 11" xfId="12691" xr:uid="{00000000-0005-0000-0000-00005F540000}"/>
    <cellStyle name="Normal 3 3 2 7 2 11 2" xfId="30213" xr:uid="{00000000-0005-0000-0000-000060540000}"/>
    <cellStyle name="Normal 3 3 2 7 2 12" xfId="12692" xr:uid="{00000000-0005-0000-0000-000061540000}"/>
    <cellStyle name="Normal 3 3 2 7 2 12 2" xfId="30214" xr:uid="{00000000-0005-0000-0000-000062540000}"/>
    <cellStyle name="Normal 3 3 2 7 2 13" xfId="12693" xr:uid="{00000000-0005-0000-0000-000063540000}"/>
    <cellStyle name="Normal 3 3 2 7 2 13 2" xfId="30215" xr:uid="{00000000-0005-0000-0000-000064540000}"/>
    <cellStyle name="Normal 3 3 2 7 2 14" xfId="12694" xr:uid="{00000000-0005-0000-0000-000065540000}"/>
    <cellStyle name="Normal 3 3 2 7 2 14 2" xfId="30216" xr:uid="{00000000-0005-0000-0000-000066540000}"/>
    <cellStyle name="Normal 3 3 2 7 2 15" xfId="30211" xr:uid="{00000000-0005-0000-0000-000067540000}"/>
    <cellStyle name="Normal 3 3 2 7 2 2" xfId="12695" xr:uid="{00000000-0005-0000-0000-000068540000}"/>
    <cellStyle name="Normal 3 3 2 7 2 2 2" xfId="30217" xr:uid="{00000000-0005-0000-0000-000069540000}"/>
    <cellStyle name="Normal 3 3 2 7 2 3" xfId="12696" xr:uid="{00000000-0005-0000-0000-00006A540000}"/>
    <cellStyle name="Normal 3 3 2 7 2 3 2" xfId="30218" xr:uid="{00000000-0005-0000-0000-00006B540000}"/>
    <cellStyle name="Normal 3 3 2 7 2 4" xfId="12697" xr:uid="{00000000-0005-0000-0000-00006C540000}"/>
    <cellStyle name="Normal 3 3 2 7 2 4 2" xfId="30219" xr:uid="{00000000-0005-0000-0000-00006D540000}"/>
    <cellStyle name="Normal 3 3 2 7 2 5" xfId="12698" xr:uid="{00000000-0005-0000-0000-00006E540000}"/>
    <cellStyle name="Normal 3 3 2 7 2 5 2" xfId="30220" xr:uid="{00000000-0005-0000-0000-00006F540000}"/>
    <cellStyle name="Normal 3 3 2 7 2 6" xfId="12699" xr:uid="{00000000-0005-0000-0000-000070540000}"/>
    <cellStyle name="Normal 3 3 2 7 2 6 2" xfId="30221" xr:uid="{00000000-0005-0000-0000-000071540000}"/>
    <cellStyle name="Normal 3 3 2 7 2 7" xfId="12700" xr:uid="{00000000-0005-0000-0000-000072540000}"/>
    <cellStyle name="Normal 3 3 2 7 2 7 2" xfId="30222" xr:uid="{00000000-0005-0000-0000-000073540000}"/>
    <cellStyle name="Normal 3 3 2 7 2 8" xfId="12701" xr:uid="{00000000-0005-0000-0000-000074540000}"/>
    <cellStyle name="Normal 3 3 2 7 2 8 2" xfId="30223" xr:uid="{00000000-0005-0000-0000-000075540000}"/>
    <cellStyle name="Normal 3 3 2 7 2 9" xfId="12702" xr:uid="{00000000-0005-0000-0000-000076540000}"/>
    <cellStyle name="Normal 3 3 2 7 2 9 2" xfId="30224" xr:uid="{00000000-0005-0000-0000-000077540000}"/>
    <cellStyle name="Normal 3 3 2 7 3" xfId="12703" xr:uid="{00000000-0005-0000-0000-000078540000}"/>
    <cellStyle name="Normal 3 3 2 7 3 2" xfId="30225" xr:uid="{00000000-0005-0000-0000-000079540000}"/>
    <cellStyle name="Normal 3 3 2 7 4" xfId="12704" xr:uid="{00000000-0005-0000-0000-00007A540000}"/>
    <cellStyle name="Normal 3 3 2 7 4 2" xfId="30226" xr:uid="{00000000-0005-0000-0000-00007B540000}"/>
    <cellStyle name="Normal 3 3 2 7 5" xfId="12705" xr:uid="{00000000-0005-0000-0000-00007C540000}"/>
    <cellStyle name="Normal 3 3 2 7 5 2" xfId="30227" xr:uid="{00000000-0005-0000-0000-00007D540000}"/>
    <cellStyle name="Normal 3 3 2 7 6" xfId="12706" xr:uid="{00000000-0005-0000-0000-00007E540000}"/>
    <cellStyle name="Normal 3 3 2 7 6 2" xfId="30228" xr:uid="{00000000-0005-0000-0000-00007F540000}"/>
    <cellStyle name="Normal 3 3 2 7 7" xfId="12707" xr:uid="{00000000-0005-0000-0000-000080540000}"/>
    <cellStyle name="Normal 3 3 2 7 7 2" xfId="30229" xr:uid="{00000000-0005-0000-0000-000081540000}"/>
    <cellStyle name="Normal 3 3 2 7 8" xfId="12708" xr:uid="{00000000-0005-0000-0000-000082540000}"/>
    <cellStyle name="Normal 3 3 2 7 8 2" xfId="30230" xr:uid="{00000000-0005-0000-0000-000083540000}"/>
    <cellStyle name="Normal 3 3 2 7 9" xfId="12709" xr:uid="{00000000-0005-0000-0000-000084540000}"/>
    <cellStyle name="Normal 3 3 2 7 9 2" xfId="30231" xr:uid="{00000000-0005-0000-0000-000085540000}"/>
    <cellStyle name="Normal 3 3 2 8" xfId="12710" xr:uid="{00000000-0005-0000-0000-000086540000}"/>
    <cellStyle name="Normal 3 3 2 8 10" xfId="12711" xr:uid="{00000000-0005-0000-0000-000087540000}"/>
    <cellStyle name="Normal 3 3 2 8 10 2" xfId="30233" xr:uid="{00000000-0005-0000-0000-000088540000}"/>
    <cellStyle name="Normal 3 3 2 8 11" xfId="12712" xr:uid="{00000000-0005-0000-0000-000089540000}"/>
    <cellStyle name="Normal 3 3 2 8 11 2" xfId="30234" xr:uid="{00000000-0005-0000-0000-00008A540000}"/>
    <cellStyle name="Normal 3 3 2 8 12" xfId="12713" xr:uid="{00000000-0005-0000-0000-00008B540000}"/>
    <cellStyle name="Normal 3 3 2 8 12 2" xfId="30235" xr:uid="{00000000-0005-0000-0000-00008C540000}"/>
    <cellStyle name="Normal 3 3 2 8 13" xfId="12714" xr:uid="{00000000-0005-0000-0000-00008D540000}"/>
    <cellStyle name="Normal 3 3 2 8 13 2" xfId="30236" xr:uid="{00000000-0005-0000-0000-00008E540000}"/>
    <cellStyle name="Normal 3 3 2 8 14" xfId="12715" xr:uid="{00000000-0005-0000-0000-00008F540000}"/>
    <cellStyle name="Normal 3 3 2 8 14 2" xfId="30237" xr:uid="{00000000-0005-0000-0000-000090540000}"/>
    <cellStyle name="Normal 3 3 2 8 15" xfId="12716" xr:uid="{00000000-0005-0000-0000-000091540000}"/>
    <cellStyle name="Normal 3 3 2 8 15 2" xfId="30238" xr:uid="{00000000-0005-0000-0000-000092540000}"/>
    <cellStyle name="Normal 3 3 2 8 16" xfId="30232" xr:uid="{00000000-0005-0000-0000-000093540000}"/>
    <cellStyle name="Normal 3 3 2 8 2" xfId="12717" xr:uid="{00000000-0005-0000-0000-000094540000}"/>
    <cellStyle name="Normal 3 3 2 8 2 10" xfId="12718" xr:uid="{00000000-0005-0000-0000-000095540000}"/>
    <cellStyle name="Normal 3 3 2 8 2 10 2" xfId="30240" xr:uid="{00000000-0005-0000-0000-000096540000}"/>
    <cellStyle name="Normal 3 3 2 8 2 11" xfId="12719" xr:uid="{00000000-0005-0000-0000-000097540000}"/>
    <cellStyle name="Normal 3 3 2 8 2 11 2" xfId="30241" xr:uid="{00000000-0005-0000-0000-000098540000}"/>
    <cellStyle name="Normal 3 3 2 8 2 12" xfId="12720" xr:uid="{00000000-0005-0000-0000-000099540000}"/>
    <cellStyle name="Normal 3 3 2 8 2 12 2" xfId="30242" xr:uid="{00000000-0005-0000-0000-00009A540000}"/>
    <cellStyle name="Normal 3 3 2 8 2 13" xfId="12721" xr:uid="{00000000-0005-0000-0000-00009B540000}"/>
    <cellStyle name="Normal 3 3 2 8 2 13 2" xfId="30243" xr:uid="{00000000-0005-0000-0000-00009C540000}"/>
    <cellStyle name="Normal 3 3 2 8 2 14" xfId="12722" xr:uid="{00000000-0005-0000-0000-00009D540000}"/>
    <cellStyle name="Normal 3 3 2 8 2 14 2" xfId="30244" xr:uid="{00000000-0005-0000-0000-00009E540000}"/>
    <cellStyle name="Normal 3 3 2 8 2 15" xfId="30239" xr:uid="{00000000-0005-0000-0000-00009F540000}"/>
    <cellStyle name="Normal 3 3 2 8 2 2" xfId="12723" xr:uid="{00000000-0005-0000-0000-0000A0540000}"/>
    <cellStyle name="Normal 3 3 2 8 2 2 2" xfId="30245" xr:uid="{00000000-0005-0000-0000-0000A1540000}"/>
    <cellStyle name="Normal 3 3 2 8 2 3" xfId="12724" xr:uid="{00000000-0005-0000-0000-0000A2540000}"/>
    <cellStyle name="Normal 3 3 2 8 2 3 2" xfId="30246" xr:uid="{00000000-0005-0000-0000-0000A3540000}"/>
    <cellStyle name="Normal 3 3 2 8 2 4" xfId="12725" xr:uid="{00000000-0005-0000-0000-0000A4540000}"/>
    <cellStyle name="Normal 3 3 2 8 2 4 2" xfId="30247" xr:uid="{00000000-0005-0000-0000-0000A5540000}"/>
    <cellStyle name="Normal 3 3 2 8 2 5" xfId="12726" xr:uid="{00000000-0005-0000-0000-0000A6540000}"/>
    <cellStyle name="Normal 3 3 2 8 2 5 2" xfId="30248" xr:uid="{00000000-0005-0000-0000-0000A7540000}"/>
    <cellStyle name="Normal 3 3 2 8 2 6" xfId="12727" xr:uid="{00000000-0005-0000-0000-0000A8540000}"/>
    <cellStyle name="Normal 3 3 2 8 2 6 2" xfId="30249" xr:uid="{00000000-0005-0000-0000-0000A9540000}"/>
    <cellStyle name="Normal 3 3 2 8 2 7" xfId="12728" xr:uid="{00000000-0005-0000-0000-0000AA540000}"/>
    <cellStyle name="Normal 3 3 2 8 2 7 2" xfId="30250" xr:uid="{00000000-0005-0000-0000-0000AB540000}"/>
    <cellStyle name="Normal 3 3 2 8 2 8" xfId="12729" xr:uid="{00000000-0005-0000-0000-0000AC540000}"/>
    <cellStyle name="Normal 3 3 2 8 2 8 2" xfId="30251" xr:uid="{00000000-0005-0000-0000-0000AD540000}"/>
    <cellStyle name="Normal 3 3 2 8 2 9" xfId="12730" xr:uid="{00000000-0005-0000-0000-0000AE540000}"/>
    <cellStyle name="Normal 3 3 2 8 2 9 2" xfId="30252" xr:uid="{00000000-0005-0000-0000-0000AF540000}"/>
    <cellStyle name="Normal 3 3 2 8 3" xfId="12731" xr:uid="{00000000-0005-0000-0000-0000B0540000}"/>
    <cellStyle name="Normal 3 3 2 8 3 2" xfId="30253" xr:uid="{00000000-0005-0000-0000-0000B1540000}"/>
    <cellStyle name="Normal 3 3 2 8 4" xfId="12732" xr:uid="{00000000-0005-0000-0000-0000B2540000}"/>
    <cellStyle name="Normal 3 3 2 8 4 2" xfId="30254" xr:uid="{00000000-0005-0000-0000-0000B3540000}"/>
    <cellStyle name="Normal 3 3 2 8 5" xfId="12733" xr:uid="{00000000-0005-0000-0000-0000B4540000}"/>
    <cellStyle name="Normal 3 3 2 8 5 2" xfId="30255" xr:uid="{00000000-0005-0000-0000-0000B5540000}"/>
    <cellStyle name="Normal 3 3 2 8 6" xfId="12734" xr:uid="{00000000-0005-0000-0000-0000B6540000}"/>
    <cellStyle name="Normal 3 3 2 8 6 2" xfId="30256" xr:uid="{00000000-0005-0000-0000-0000B7540000}"/>
    <cellStyle name="Normal 3 3 2 8 7" xfId="12735" xr:uid="{00000000-0005-0000-0000-0000B8540000}"/>
    <cellStyle name="Normal 3 3 2 8 7 2" xfId="30257" xr:uid="{00000000-0005-0000-0000-0000B9540000}"/>
    <cellStyle name="Normal 3 3 2 8 8" xfId="12736" xr:uid="{00000000-0005-0000-0000-0000BA540000}"/>
    <cellStyle name="Normal 3 3 2 8 8 2" xfId="30258" xr:uid="{00000000-0005-0000-0000-0000BB540000}"/>
    <cellStyle name="Normal 3 3 2 8 9" xfId="12737" xr:uid="{00000000-0005-0000-0000-0000BC540000}"/>
    <cellStyle name="Normal 3 3 2 8 9 2" xfId="30259" xr:uid="{00000000-0005-0000-0000-0000BD540000}"/>
    <cellStyle name="Normal 3 3 2 9" xfId="12738" xr:uid="{00000000-0005-0000-0000-0000BE540000}"/>
    <cellStyle name="Normal 3 3 2 9 10" xfId="12739" xr:uid="{00000000-0005-0000-0000-0000BF540000}"/>
    <cellStyle name="Normal 3 3 2 9 10 2" xfId="30261" xr:uid="{00000000-0005-0000-0000-0000C0540000}"/>
    <cellStyle name="Normal 3 3 2 9 11" xfId="12740" xr:uid="{00000000-0005-0000-0000-0000C1540000}"/>
    <cellStyle name="Normal 3 3 2 9 11 2" xfId="30262" xr:uid="{00000000-0005-0000-0000-0000C2540000}"/>
    <cellStyle name="Normal 3 3 2 9 12" xfId="12741" xr:uid="{00000000-0005-0000-0000-0000C3540000}"/>
    <cellStyle name="Normal 3 3 2 9 12 2" xfId="30263" xr:uid="{00000000-0005-0000-0000-0000C4540000}"/>
    <cellStyle name="Normal 3 3 2 9 13" xfId="12742" xr:uid="{00000000-0005-0000-0000-0000C5540000}"/>
    <cellStyle name="Normal 3 3 2 9 13 2" xfId="30264" xr:uid="{00000000-0005-0000-0000-0000C6540000}"/>
    <cellStyle name="Normal 3 3 2 9 14" xfId="12743" xr:uid="{00000000-0005-0000-0000-0000C7540000}"/>
    <cellStyle name="Normal 3 3 2 9 14 2" xfId="30265" xr:uid="{00000000-0005-0000-0000-0000C8540000}"/>
    <cellStyle name="Normal 3 3 2 9 15" xfId="30260" xr:uid="{00000000-0005-0000-0000-0000C9540000}"/>
    <cellStyle name="Normal 3 3 2 9 2" xfId="12744" xr:uid="{00000000-0005-0000-0000-0000CA540000}"/>
    <cellStyle name="Normal 3 3 2 9 2 2" xfId="30266" xr:uid="{00000000-0005-0000-0000-0000CB540000}"/>
    <cellStyle name="Normal 3 3 2 9 3" xfId="12745" xr:uid="{00000000-0005-0000-0000-0000CC540000}"/>
    <cellStyle name="Normal 3 3 2 9 3 2" xfId="30267" xr:uid="{00000000-0005-0000-0000-0000CD540000}"/>
    <cellStyle name="Normal 3 3 2 9 4" xfId="12746" xr:uid="{00000000-0005-0000-0000-0000CE540000}"/>
    <cellStyle name="Normal 3 3 2 9 4 2" xfId="30268" xr:uid="{00000000-0005-0000-0000-0000CF540000}"/>
    <cellStyle name="Normal 3 3 2 9 5" xfId="12747" xr:uid="{00000000-0005-0000-0000-0000D0540000}"/>
    <cellStyle name="Normal 3 3 2 9 5 2" xfId="30269" xr:uid="{00000000-0005-0000-0000-0000D1540000}"/>
    <cellStyle name="Normal 3 3 2 9 6" xfId="12748" xr:uid="{00000000-0005-0000-0000-0000D2540000}"/>
    <cellStyle name="Normal 3 3 2 9 6 2" xfId="30270" xr:uid="{00000000-0005-0000-0000-0000D3540000}"/>
    <cellStyle name="Normal 3 3 2 9 7" xfId="12749" xr:uid="{00000000-0005-0000-0000-0000D4540000}"/>
    <cellStyle name="Normal 3 3 2 9 7 2" xfId="30271" xr:uid="{00000000-0005-0000-0000-0000D5540000}"/>
    <cellStyle name="Normal 3 3 2 9 8" xfId="12750" xr:uid="{00000000-0005-0000-0000-0000D6540000}"/>
    <cellStyle name="Normal 3 3 2 9 8 2" xfId="30272" xr:uid="{00000000-0005-0000-0000-0000D7540000}"/>
    <cellStyle name="Normal 3 3 2 9 9" xfId="12751" xr:uid="{00000000-0005-0000-0000-0000D8540000}"/>
    <cellStyle name="Normal 3 3 2 9 9 2" xfId="30273" xr:uid="{00000000-0005-0000-0000-0000D9540000}"/>
    <cellStyle name="Normal 3 3 20" xfId="12752" xr:uid="{00000000-0005-0000-0000-0000DA540000}"/>
    <cellStyle name="Normal 3 3 20 10" xfId="12753" xr:uid="{00000000-0005-0000-0000-0000DB540000}"/>
    <cellStyle name="Normal 3 3 20 10 2" xfId="30275" xr:uid="{00000000-0005-0000-0000-0000DC540000}"/>
    <cellStyle name="Normal 3 3 20 11" xfId="12754" xr:uid="{00000000-0005-0000-0000-0000DD540000}"/>
    <cellStyle name="Normal 3 3 20 11 2" xfId="30276" xr:uid="{00000000-0005-0000-0000-0000DE540000}"/>
    <cellStyle name="Normal 3 3 20 12" xfId="12755" xr:uid="{00000000-0005-0000-0000-0000DF540000}"/>
    <cellStyle name="Normal 3 3 20 12 2" xfId="30277" xr:uid="{00000000-0005-0000-0000-0000E0540000}"/>
    <cellStyle name="Normal 3 3 20 13" xfId="12756" xr:uid="{00000000-0005-0000-0000-0000E1540000}"/>
    <cellStyle name="Normal 3 3 20 13 2" xfId="30278" xr:uid="{00000000-0005-0000-0000-0000E2540000}"/>
    <cellStyle name="Normal 3 3 20 14" xfId="12757" xr:uid="{00000000-0005-0000-0000-0000E3540000}"/>
    <cellStyle name="Normal 3 3 20 14 2" xfId="30279" xr:uid="{00000000-0005-0000-0000-0000E4540000}"/>
    <cellStyle name="Normal 3 3 20 15" xfId="12758" xr:uid="{00000000-0005-0000-0000-0000E5540000}"/>
    <cellStyle name="Normal 3 3 20 15 2" xfId="30280" xr:uid="{00000000-0005-0000-0000-0000E6540000}"/>
    <cellStyle name="Normal 3 3 20 16" xfId="30274" xr:uid="{00000000-0005-0000-0000-0000E7540000}"/>
    <cellStyle name="Normal 3 3 20 2" xfId="12759" xr:uid="{00000000-0005-0000-0000-0000E8540000}"/>
    <cellStyle name="Normal 3 3 20 2 10" xfId="12760" xr:uid="{00000000-0005-0000-0000-0000E9540000}"/>
    <cellStyle name="Normal 3 3 20 2 10 2" xfId="30282" xr:uid="{00000000-0005-0000-0000-0000EA540000}"/>
    <cellStyle name="Normal 3 3 20 2 11" xfId="12761" xr:uid="{00000000-0005-0000-0000-0000EB540000}"/>
    <cellStyle name="Normal 3 3 20 2 11 2" xfId="30283" xr:uid="{00000000-0005-0000-0000-0000EC540000}"/>
    <cellStyle name="Normal 3 3 20 2 12" xfId="12762" xr:uid="{00000000-0005-0000-0000-0000ED540000}"/>
    <cellStyle name="Normal 3 3 20 2 12 2" xfId="30284" xr:uid="{00000000-0005-0000-0000-0000EE540000}"/>
    <cellStyle name="Normal 3 3 20 2 13" xfId="12763" xr:uid="{00000000-0005-0000-0000-0000EF540000}"/>
    <cellStyle name="Normal 3 3 20 2 13 2" xfId="30285" xr:uid="{00000000-0005-0000-0000-0000F0540000}"/>
    <cellStyle name="Normal 3 3 20 2 14" xfId="12764" xr:uid="{00000000-0005-0000-0000-0000F1540000}"/>
    <cellStyle name="Normal 3 3 20 2 14 2" xfId="30286" xr:uid="{00000000-0005-0000-0000-0000F2540000}"/>
    <cellStyle name="Normal 3 3 20 2 15" xfId="30281" xr:uid="{00000000-0005-0000-0000-0000F3540000}"/>
    <cellStyle name="Normal 3 3 20 2 2" xfId="12765" xr:uid="{00000000-0005-0000-0000-0000F4540000}"/>
    <cellStyle name="Normal 3 3 20 2 2 2" xfId="30287" xr:uid="{00000000-0005-0000-0000-0000F5540000}"/>
    <cellStyle name="Normal 3 3 20 2 3" xfId="12766" xr:uid="{00000000-0005-0000-0000-0000F6540000}"/>
    <cellStyle name="Normal 3 3 20 2 3 2" xfId="30288" xr:uid="{00000000-0005-0000-0000-0000F7540000}"/>
    <cellStyle name="Normal 3 3 20 2 4" xfId="12767" xr:uid="{00000000-0005-0000-0000-0000F8540000}"/>
    <cellStyle name="Normal 3 3 20 2 4 2" xfId="30289" xr:uid="{00000000-0005-0000-0000-0000F9540000}"/>
    <cellStyle name="Normal 3 3 20 2 5" xfId="12768" xr:uid="{00000000-0005-0000-0000-0000FA540000}"/>
    <cellStyle name="Normal 3 3 20 2 5 2" xfId="30290" xr:uid="{00000000-0005-0000-0000-0000FB540000}"/>
    <cellStyle name="Normal 3 3 20 2 6" xfId="12769" xr:uid="{00000000-0005-0000-0000-0000FC540000}"/>
    <cellStyle name="Normal 3 3 20 2 6 2" xfId="30291" xr:uid="{00000000-0005-0000-0000-0000FD540000}"/>
    <cellStyle name="Normal 3 3 20 2 7" xfId="12770" xr:uid="{00000000-0005-0000-0000-0000FE540000}"/>
    <cellStyle name="Normal 3 3 20 2 7 2" xfId="30292" xr:uid="{00000000-0005-0000-0000-0000FF540000}"/>
    <cellStyle name="Normal 3 3 20 2 8" xfId="12771" xr:uid="{00000000-0005-0000-0000-000000550000}"/>
    <cellStyle name="Normal 3 3 20 2 8 2" xfId="30293" xr:uid="{00000000-0005-0000-0000-000001550000}"/>
    <cellStyle name="Normal 3 3 20 2 9" xfId="12772" xr:uid="{00000000-0005-0000-0000-000002550000}"/>
    <cellStyle name="Normal 3 3 20 2 9 2" xfId="30294" xr:uid="{00000000-0005-0000-0000-000003550000}"/>
    <cellStyle name="Normal 3 3 20 3" xfId="12773" xr:uid="{00000000-0005-0000-0000-000004550000}"/>
    <cellStyle name="Normal 3 3 20 3 2" xfId="30295" xr:uid="{00000000-0005-0000-0000-000005550000}"/>
    <cellStyle name="Normal 3 3 20 4" xfId="12774" xr:uid="{00000000-0005-0000-0000-000006550000}"/>
    <cellStyle name="Normal 3 3 20 4 2" xfId="30296" xr:uid="{00000000-0005-0000-0000-000007550000}"/>
    <cellStyle name="Normal 3 3 20 5" xfId="12775" xr:uid="{00000000-0005-0000-0000-000008550000}"/>
    <cellStyle name="Normal 3 3 20 5 2" xfId="30297" xr:uid="{00000000-0005-0000-0000-000009550000}"/>
    <cellStyle name="Normal 3 3 20 6" xfId="12776" xr:uid="{00000000-0005-0000-0000-00000A550000}"/>
    <cellStyle name="Normal 3 3 20 6 2" xfId="30298" xr:uid="{00000000-0005-0000-0000-00000B550000}"/>
    <cellStyle name="Normal 3 3 20 7" xfId="12777" xr:uid="{00000000-0005-0000-0000-00000C550000}"/>
    <cellStyle name="Normal 3 3 20 7 2" xfId="30299" xr:uid="{00000000-0005-0000-0000-00000D550000}"/>
    <cellStyle name="Normal 3 3 20 8" xfId="12778" xr:uid="{00000000-0005-0000-0000-00000E550000}"/>
    <cellStyle name="Normal 3 3 20 8 2" xfId="30300" xr:uid="{00000000-0005-0000-0000-00000F550000}"/>
    <cellStyle name="Normal 3 3 20 9" xfId="12779" xr:uid="{00000000-0005-0000-0000-000010550000}"/>
    <cellStyle name="Normal 3 3 20 9 2" xfId="30301" xr:uid="{00000000-0005-0000-0000-000011550000}"/>
    <cellStyle name="Normal 3 3 21" xfId="12780" xr:uid="{00000000-0005-0000-0000-000012550000}"/>
    <cellStyle name="Normal 3 3 21 10" xfId="12781" xr:uid="{00000000-0005-0000-0000-000013550000}"/>
    <cellStyle name="Normal 3 3 21 10 2" xfId="30303" xr:uid="{00000000-0005-0000-0000-000014550000}"/>
    <cellStyle name="Normal 3 3 21 11" xfId="12782" xr:uid="{00000000-0005-0000-0000-000015550000}"/>
    <cellStyle name="Normal 3 3 21 11 2" xfId="30304" xr:uid="{00000000-0005-0000-0000-000016550000}"/>
    <cellStyle name="Normal 3 3 21 12" xfId="12783" xr:uid="{00000000-0005-0000-0000-000017550000}"/>
    <cellStyle name="Normal 3 3 21 12 2" xfId="30305" xr:uid="{00000000-0005-0000-0000-000018550000}"/>
    <cellStyle name="Normal 3 3 21 13" xfId="12784" xr:uid="{00000000-0005-0000-0000-000019550000}"/>
    <cellStyle name="Normal 3 3 21 13 2" xfId="30306" xr:uid="{00000000-0005-0000-0000-00001A550000}"/>
    <cellStyle name="Normal 3 3 21 14" xfId="12785" xr:uid="{00000000-0005-0000-0000-00001B550000}"/>
    <cellStyle name="Normal 3 3 21 14 2" xfId="30307" xr:uid="{00000000-0005-0000-0000-00001C550000}"/>
    <cellStyle name="Normal 3 3 21 15" xfId="12786" xr:uid="{00000000-0005-0000-0000-00001D550000}"/>
    <cellStyle name="Normal 3 3 21 15 2" xfId="30308" xr:uid="{00000000-0005-0000-0000-00001E550000}"/>
    <cellStyle name="Normal 3 3 21 16" xfId="30302" xr:uid="{00000000-0005-0000-0000-00001F550000}"/>
    <cellStyle name="Normal 3 3 21 2" xfId="12787" xr:uid="{00000000-0005-0000-0000-000020550000}"/>
    <cellStyle name="Normal 3 3 21 2 10" xfId="12788" xr:uid="{00000000-0005-0000-0000-000021550000}"/>
    <cellStyle name="Normal 3 3 21 2 10 2" xfId="30310" xr:uid="{00000000-0005-0000-0000-000022550000}"/>
    <cellStyle name="Normal 3 3 21 2 11" xfId="12789" xr:uid="{00000000-0005-0000-0000-000023550000}"/>
    <cellStyle name="Normal 3 3 21 2 11 2" xfId="30311" xr:uid="{00000000-0005-0000-0000-000024550000}"/>
    <cellStyle name="Normal 3 3 21 2 12" xfId="12790" xr:uid="{00000000-0005-0000-0000-000025550000}"/>
    <cellStyle name="Normal 3 3 21 2 12 2" xfId="30312" xr:uid="{00000000-0005-0000-0000-000026550000}"/>
    <cellStyle name="Normal 3 3 21 2 13" xfId="12791" xr:uid="{00000000-0005-0000-0000-000027550000}"/>
    <cellStyle name="Normal 3 3 21 2 13 2" xfId="30313" xr:uid="{00000000-0005-0000-0000-000028550000}"/>
    <cellStyle name="Normal 3 3 21 2 14" xfId="12792" xr:uid="{00000000-0005-0000-0000-000029550000}"/>
    <cellStyle name="Normal 3 3 21 2 14 2" xfId="30314" xr:uid="{00000000-0005-0000-0000-00002A550000}"/>
    <cellStyle name="Normal 3 3 21 2 15" xfId="30309" xr:uid="{00000000-0005-0000-0000-00002B550000}"/>
    <cellStyle name="Normal 3 3 21 2 2" xfId="12793" xr:uid="{00000000-0005-0000-0000-00002C550000}"/>
    <cellStyle name="Normal 3 3 21 2 2 2" xfId="30315" xr:uid="{00000000-0005-0000-0000-00002D550000}"/>
    <cellStyle name="Normal 3 3 21 2 3" xfId="12794" xr:uid="{00000000-0005-0000-0000-00002E550000}"/>
    <cellStyle name="Normal 3 3 21 2 3 2" xfId="30316" xr:uid="{00000000-0005-0000-0000-00002F550000}"/>
    <cellStyle name="Normal 3 3 21 2 4" xfId="12795" xr:uid="{00000000-0005-0000-0000-000030550000}"/>
    <cellStyle name="Normal 3 3 21 2 4 2" xfId="30317" xr:uid="{00000000-0005-0000-0000-000031550000}"/>
    <cellStyle name="Normal 3 3 21 2 5" xfId="12796" xr:uid="{00000000-0005-0000-0000-000032550000}"/>
    <cellStyle name="Normal 3 3 21 2 5 2" xfId="30318" xr:uid="{00000000-0005-0000-0000-000033550000}"/>
    <cellStyle name="Normal 3 3 21 2 6" xfId="12797" xr:uid="{00000000-0005-0000-0000-000034550000}"/>
    <cellStyle name="Normal 3 3 21 2 6 2" xfId="30319" xr:uid="{00000000-0005-0000-0000-000035550000}"/>
    <cellStyle name="Normal 3 3 21 2 7" xfId="12798" xr:uid="{00000000-0005-0000-0000-000036550000}"/>
    <cellStyle name="Normal 3 3 21 2 7 2" xfId="30320" xr:uid="{00000000-0005-0000-0000-000037550000}"/>
    <cellStyle name="Normal 3 3 21 2 8" xfId="12799" xr:uid="{00000000-0005-0000-0000-000038550000}"/>
    <cellStyle name="Normal 3 3 21 2 8 2" xfId="30321" xr:uid="{00000000-0005-0000-0000-000039550000}"/>
    <cellStyle name="Normal 3 3 21 2 9" xfId="12800" xr:uid="{00000000-0005-0000-0000-00003A550000}"/>
    <cellStyle name="Normal 3 3 21 2 9 2" xfId="30322" xr:uid="{00000000-0005-0000-0000-00003B550000}"/>
    <cellStyle name="Normal 3 3 21 3" xfId="12801" xr:uid="{00000000-0005-0000-0000-00003C550000}"/>
    <cellStyle name="Normal 3 3 21 3 2" xfId="30323" xr:uid="{00000000-0005-0000-0000-00003D550000}"/>
    <cellStyle name="Normal 3 3 21 4" xfId="12802" xr:uid="{00000000-0005-0000-0000-00003E550000}"/>
    <cellStyle name="Normal 3 3 21 4 2" xfId="30324" xr:uid="{00000000-0005-0000-0000-00003F550000}"/>
    <cellStyle name="Normal 3 3 21 5" xfId="12803" xr:uid="{00000000-0005-0000-0000-000040550000}"/>
    <cellStyle name="Normal 3 3 21 5 2" xfId="30325" xr:uid="{00000000-0005-0000-0000-000041550000}"/>
    <cellStyle name="Normal 3 3 21 6" xfId="12804" xr:uid="{00000000-0005-0000-0000-000042550000}"/>
    <cellStyle name="Normal 3 3 21 6 2" xfId="30326" xr:uid="{00000000-0005-0000-0000-000043550000}"/>
    <cellStyle name="Normal 3 3 21 7" xfId="12805" xr:uid="{00000000-0005-0000-0000-000044550000}"/>
    <cellStyle name="Normal 3 3 21 7 2" xfId="30327" xr:uid="{00000000-0005-0000-0000-000045550000}"/>
    <cellStyle name="Normal 3 3 21 8" xfId="12806" xr:uid="{00000000-0005-0000-0000-000046550000}"/>
    <cellStyle name="Normal 3 3 21 8 2" xfId="30328" xr:uid="{00000000-0005-0000-0000-000047550000}"/>
    <cellStyle name="Normal 3 3 21 9" xfId="12807" xr:uid="{00000000-0005-0000-0000-000048550000}"/>
    <cellStyle name="Normal 3 3 21 9 2" xfId="30329" xr:uid="{00000000-0005-0000-0000-000049550000}"/>
    <cellStyle name="Normal 3 3 22" xfId="12808" xr:uid="{00000000-0005-0000-0000-00004A550000}"/>
    <cellStyle name="Normal 3 3 22 10" xfId="12809" xr:uid="{00000000-0005-0000-0000-00004B550000}"/>
    <cellStyle name="Normal 3 3 22 10 2" xfId="30331" xr:uid="{00000000-0005-0000-0000-00004C550000}"/>
    <cellStyle name="Normal 3 3 22 11" xfId="12810" xr:uid="{00000000-0005-0000-0000-00004D550000}"/>
    <cellStyle name="Normal 3 3 22 11 2" xfId="30332" xr:uid="{00000000-0005-0000-0000-00004E550000}"/>
    <cellStyle name="Normal 3 3 22 12" xfId="12811" xr:uid="{00000000-0005-0000-0000-00004F550000}"/>
    <cellStyle name="Normal 3 3 22 12 2" xfId="30333" xr:uid="{00000000-0005-0000-0000-000050550000}"/>
    <cellStyle name="Normal 3 3 22 13" xfId="12812" xr:uid="{00000000-0005-0000-0000-000051550000}"/>
    <cellStyle name="Normal 3 3 22 13 2" xfId="30334" xr:uid="{00000000-0005-0000-0000-000052550000}"/>
    <cellStyle name="Normal 3 3 22 14" xfId="12813" xr:uid="{00000000-0005-0000-0000-000053550000}"/>
    <cellStyle name="Normal 3 3 22 14 2" xfId="30335" xr:uid="{00000000-0005-0000-0000-000054550000}"/>
    <cellStyle name="Normal 3 3 22 15" xfId="30330" xr:uid="{00000000-0005-0000-0000-000055550000}"/>
    <cellStyle name="Normal 3 3 22 2" xfId="12814" xr:uid="{00000000-0005-0000-0000-000056550000}"/>
    <cellStyle name="Normal 3 3 22 2 2" xfId="30336" xr:uid="{00000000-0005-0000-0000-000057550000}"/>
    <cellStyle name="Normal 3 3 22 3" xfId="12815" xr:uid="{00000000-0005-0000-0000-000058550000}"/>
    <cellStyle name="Normal 3 3 22 3 2" xfId="30337" xr:uid="{00000000-0005-0000-0000-000059550000}"/>
    <cellStyle name="Normal 3 3 22 4" xfId="12816" xr:uid="{00000000-0005-0000-0000-00005A550000}"/>
    <cellStyle name="Normal 3 3 22 4 2" xfId="30338" xr:uid="{00000000-0005-0000-0000-00005B550000}"/>
    <cellStyle name="Normal 3 3 22 5" xfId="12817" xr:uid="{00000000-0005-0000-0000-00005C550000}"/>
    <cellStyle name="Normal 3 3 22 5 2" xfId="30339" xr:uid="{00000000-0005-0000-0000-00005D550000}"/>
    <cellStyle name="Normal 3 3 22 6" xfId="12818" xr:uid="{00000000-0005-0000-0000-00005E550000}"/>
    <cellStyle name="Normal 3 3 22 6 2" xfId="30340" xr:uid="{00000000-0005-0000-0000-00005F550000}"/>
    <cellStyle name="Normal 3 3 22 7" xfId="12819" xr:uid="{00000000-0005-0000-0000-000060550000}"/>
    <cellStyle name="Normal 3 3 22 7 2" xfId="30341" xr:uid="{00000000-0005-0000-0000-000061550000}"/>
    <cellStyle name="Normal 3 3 22 8" xfId="12820" xr:uid="{00000000-0005-0000-0000-000062550000}"/>
    <cellStyle name="Normal 3 3 22 8 2" xfId="30342" xr:uid="{00000000-0005-0000-0000-000063550000}"/>
    <cellStyle name="Normal 3 3 22 9" xfId="12821" xr:uid="{00000000-0005-0000-0000-000064550000}"/>
    <cellStyle name="Normal 3 3 22 9 2" xfId="30343" xr:uid="{00000000-0005-0000-0000-000065550000}"/>
    <cellStyle name="Normal 3 3 23" xfId="12822" xr:uid="{00000000-0005-0000-0000-000066550000}"/>
    <cellStyle name="Normal 3 3 23 10" xfId="12823" xr:uid="{00000000-0005-0000-0000-000067550000}"/>
    <cellStyle name="Normal 3 3 23 10 2" xfId="30345" xr:uid="{00000000-0005-0000-0000-000068550000}"/>
    <cellStyle name="Normal 3 3 23 11" xfId="12824" xr:uid="{00000000-0005-0000-0000-000069550000}"/>
    <cellStyle name="Normal 3 3 23 11 2" xfId="30346" xr:uid="{00000000-0005-0000-0000-00006A550000}"/>
    <cellStyle name="Normal 3 3 23 12" xfId="12825" xr:uid="{00000000-0005-0000-0000-00006B550000}"/>
    <cellStyle name="Normal 3 3 23 12 2" xfId="30347" xr:uid="{00000000-0005-0000-0000-00006C550000}"/>
    <cellStyle name="Normal 3 3 23 13" xfId="12826" xr:uid="{00000000-0005-0000-0000-00006D550000}"/>
    <cellStyle name="Normal 3 3 23 13 2" xfId="30348" xr:uid="{00000000-0005-0000-0000-00006E550000}"/>
    <cellStyle name="Normal 3 3 23 14" xfId="12827" xr:uid="{00000000-0005-0000-0000-00006F550000}"/>
    <cellStyle name="Normal 3 3 23 14 2" xfId="30349" xr:uid="{00000000-0005-0000-0000-000070550000}"/>
    <cellStyle name="Normal 3 3 23 15" xfId="30344" xr:uid="{00000000-0005-0000-0000-000071550000}"/>
    <cellStyle name="Normal 3 3 23 2" xfId="12828" xr:uid="{00000000-0005-0000-0000-000072550000}"/>
    <cellStyle name="Normal 3 3 23 2 2" xfId="30350" xr:uid="{00000000-0005-0000-0000-000073550000}"/>
    <cellStyle name="Normal 3 3 23 3" xfId="12829" xr:uid="{00000000-0005-0000-0000-000074550000}"/>
    <cellStyle name="Normal 3 3 23 3 2" xfId="30351" xr:uid="{00000000-0005-0000-0000-000075550000}"/>
    <cellStyle name="Normal 3 3 23 4" xfId="12830" xr:uid="{00000000-0005-0000-0000-000076550000}"/>
    <cellStyle name="Normal 3 3 23 4 2" xfId="30352" xr:uid="{00000000-0005-0000-0000-000077550000}"/>
    <cellStyle name="Normal 3 3 23 5" xfId="12831" xr:uid="{00000000-0005-0000-0000-000078550000}"/>
    <cellStyle name="Normal 3 3 23 5 2" xfId="30353" xr:uid="{00000000-0005-0000-0000-000079550000}"/>
    <cellStyle name="Normal 3 3 23 6" xfId="12832" xr:uid="{00000000-0005-0000-0000-00007A550000}"/>
    <cellStyle name="Normal 3 3 23 6 2" xfId="30354" xr:uid="{00000000-0005-0000-0000-00007B550000}"/>
    <cellStyle name="Normal 3 3 23 7" xfId="12833" xr:uid="{00000000-0005-0000-0000-00007C550000}"/>
    <cellStyle name="Normal 3 3 23 7 2" xfId="30355" xr:uid="{00000000-0005-0000-0000-00007D550000}"/>
    <cellStyle name="Normal 3 3 23 8" xfId="12834" xr:uid="{00000000-0005-0000-0000-00007E550000}"/>
    <cellStyle name="Normal 3 3 23 8 2" xfId="30356" xr:uid="{00000000-0005-0000-0000-00007F550000}"/>
    <cellStyle name="Normal 3 3 23 9" xfId="12835" xr:uid="{00000000-0005-0000-0000-000080550000}"/>
    <cellStyle name="Normal 3 3 23 9 2" xfId="30357" xr:uid="{00000000-0005-0000-0000-000081550000}"/>
    <cellStyle name="Normal 3 3 24" xfId="12836" xr:uid="{00000000-0005-0000-0000-000082550000}"/>
    <cellStyle name="Normal 3 3 24 10" xfId="12837" xr:uid="{00000000-0005-0000-0000-000083550000}"/>
    <cellStyle name="Normal 3 3 24 10 2" xfId="30359" xr:uid="{00000000-0005-0000-0000-000084550000}"/>
    <cellStyle name="Normal 3 3 24 11" xfId="12838" xr:uid="{00000000-0005-0000-0000-000085550000}"/>
    <cellStyle name="Normal 3 3 24 11 2" xfId="30360" xr:uid="{00000000-0005-0000-0000-000086550000}"/>
    <cellStyle name="Normal 3 3 24 12" xfId="12839" xr:uid="{00000000-0005-0000-0000-000087550000}"/>
    <cellStyle name="Normal 3 3 24 12 2" xfId="30361" xr:uid="{00000000-0005-0000-0000-000088550000}"/>
    <cellStyle name="Normal 3 3 24 13" xfId="12840" xr:uid="{00000000-0005-0000-0000-000089550000}"/>
    <cellStyle name="Normal 3 3 24 13 2" xfId="30362" xr:uid="{00000000-0005-0000-0000-00008A550000}"/>
    <cellStyle name="Normal 3 3 24 14" xfId="12841" xr:uid="{00000000-0005-0000-0000-00008B550000}"/>
    <cellStyle name="Normal 3 3 24 14 2" xfId="30363" xr:uid="{00000000-0005-0000-0000-00008C550000}"/>
    <cellStyle name="Normal 3 3 24 15" xfId="30358" xr:uid="{00000000-0005-0000-0000-00008D550000}"/>
    <cellStyle name="Normal 3 3 24 2" xfId="12842" xr:uid="{00000000-0005-0000-0000-00008E550000}"/>
    <cellStyle name="Normal 3 3 24 2 2" xfId="30364" xr:uid="{00000000-0005-0000-0000-00008F550000}"/>
    <cellStyle name="Normal 3 3 24 3" xfId="12843" xr:uid="{00000000-0005-0000-0000-000090550000}"/>
    <cellStyle name="Normal 3 3 24 3 2" xfId="30365" xr:uid="{00000000-0005-0000-0000-000091550000}"/>
    <cellStyle name="Normal 3 3 24 4" xfId="12844" xr:uid="{00000000-0005-0000-0000-000092550000}"/>
    <cellStyle name="Normal 3 3 24 4 2" xfId="30366" xr:uid="{00000000-0005-0000-0000-000093550000}"/>
    <cellStyle name="Normal 3 3 24 5" xfId="12845" xr:uid="{00000000-0005-0000-0000-000094550000}"/>
    <cellStyle name="Normal 3 3 24 5 2" xfId="30367" xr:uid="{00000000-0005-0000-0000-000095550000}"/>
    <cellStyle name="Normal 3 3 24 6" xfId="12846" xr:uid="{00000000-0005-0000-0000-000096550000}"/>
    <cellStyle name="Normal 3 3 24 6 2" xfId="30368" xr:uid="{00000000-0005-0000-0000-000097550000}"/>
    <cellStyle name="Normal 3 3 24 7" xfId="12847" xr:uid="{00000000-0005-0000-0000-000098550000}"/>
    <cellStyle name="Normal 3 3 24 7 2" xfId="30369" xr:uid="{00000000-0005-0000-0000-000099550000}"/>
    <cellStyle name="Normal 3 3 24 8" xfId="12848" xr:uid="{00000000-0005-0000-0000-00009A550000}"/>
    <cellStyle name="Normal 3 3 24 8 2" xfId="30370" xr:uid="{00000000-0005-0000-0000-00009B550000}"/>
    <cellStyle name="Normal 3 3 24 9" xfId="12849" xr:uid="{00000000-0005-0000-0000-00009C550000}"/>
    <cellStyle name="Normal 3 3 24 9 2" xfId="30371" xr:uid="{00000000-0005-0000-0000-00009D550000}"/>
    <cellStyle name="Normal 3 3 25" xfId="12850" xr:uid="{00000000-0005-0000-0000-00009E550000}"/>
    <cellStyle name="Normal 3 3 25 10" xfId="12851" xr:uid="{00000000-0005-0000-0000-00009F550000}"/>
    <cellStyle name="Normal 3 3 25 10 2" xfId="30373" xr:uid="{00000000-0005-0000-0000-0000A0550000}"/>
    <cellStyle name="Normal 3 3 25 11" xfId="12852" xr:uid="{00000000-0005-0000-0000-0000A1550000}"/>
    <cellStyle name="Normal 3 3 25 11 2" xfId="30374" xr:uid="{00000000-0005-0000-0000-0000A2550000}"/>
    <cellStyle name="Normal 3 3 25 12" xfId="12853" xr:uid="{00000000-0005-0000-0000-0000A3550000}"/>
    <cellStyle name="Normal 3 3 25 12 2" xfId="30375" xr:uid="{00000000-0005-0000-0000-0000A4550000}"/>
    <cellStyle name="Normal 3 3 25 13" xfId="12854" xr:uid="{00000000-0005-0000-0000-0000A5550000}"/>
    <cellStyle name="Normal 3 3 25 13 2" xfId="30376" xr:uid="{00000000-0005-0000-0000-0000A6550000}"/>
    <cellStyle name="Normal 3 3 25 14" xfId="12855" xr:uid="{00000000-0005-0000-0000-0000A7550000}"/>
    <cellStyle name="Normal 3 3 25 14 2" xfId="30377" xr:uid="{00000000-0005-0000-0000-0000A8550000}"/>
    <cellStyle name="Normal 3 3 25 15" xfId="30372" xr:uid="{00000000-0005-0000-0000-0000A9550000}"/>
    <cellStyle name="Normal 3 3 25 2" xfId="12856" xr:uid="{00000000-0005-0000-0000-0000AA550000}"/>
    <cellStyle name="Normal 3 3 25 2 2" xfId="30378" xr:uid="{00000000-0005-0000-0000-0000AB550000}"/>
    <cellStyle name="Normal 3 3 25 3" xfId="12857" xr:uid="{00000000-0005-0000-0000-0000AC550000}"/>
    <cellStyle name="Normal 3 3 25 3 2" xfId="30379" xr:uid="{00000000-0005-0000-0000-0000AD550000}"/>
    <cellStyle name="Normal 3 3 25 4" xfId="12858" xr:uid="{00000000-0005-0000-0000-0000AE550000}"/>
    <cellStyle name="Normal 3 3 25 4 2" xfId="30380" xr:uid="{00000000-0005-0000-0000-0000AF550000}"/>
    <cellStyle name="Normal 3 3 25 5" xfId="12859" xr:uid="{00000000-0005-0000-0000-0000B0550000}"/>
    <cellStyle name="Normal 3 3 25 5 2" xfId="30381" xr:uid="{00000000-0005-0000-0000-0000B1550000}"/>
    <cellStyle name="Normal 3 3 25 6" xfId="12860" xr:uid="{00000000-0005-0000-0000-0000B2550000}"/>
    <cellStyle name="Normal 3 3 25 6 2" xfId="30382" xr:uid="{00000000-0005-0000-0000-0000B3550000}"/>
    <cellStyle name="Normal 3 3 25 7" xfId="12861" xr:uid="{00000000-0005-0000-0000-0000B4550000}"/>
    <cellStyle name="Normal 3 3 25 7 2" xfId="30383" xr:uid="{00000000-0005-0000-0000-0000B5550000}"/>
    <cellStyle name="Normal 3 3 25 8" xfId="12862" xr:uid="{00000000-0005-0000-0000-0000B6550000}"/>
    <cellStyle name="Normal 3 3 25 8 2" xfId="30384" xr:uid="{00000000-0005-0000-0000-0000B7550000}"/>
    <cellStyle name="Normal 3 3 25 9" xfId="12863" xr:uid="{00000000-0005-0000-0000-0000B8550000}"/>
    <cellStyle name="Normal 3 3 25 9 2" xfId="30385" xr:uid="{00000000-0005-0000-0000-0000B9550000}"/>
    <cellStyle name="Normal 3 3 26" xfId="12864" xr:uid="{00000000-0005-0000-0000-0000BA550000}"/>
    <cellStyle name="Normal 3 3 26 10" xfId="12865" xr:uid="{00000000-0005-0000-0000-0000BB550000}"/>
    <cellStyle name="Normal 3 3 26 10 2" xfId="30387" xr:uid="{00000000-0005-0000-0000-0000BC550000}"/>
    <cellStyle name="Normal 3 3 26 11" xfId="12866" xr:uid="{00000000-0005-0000-0000-0000BD550000}"/>
    <cellStyle name="Normal 3 3 26 11 2" xfId="30388" xr:uid="{00000000-0005-0000-0000-0000BE550000}"/>
    <cellStyle name="Normal 3 3 26 12" xfId="12867" xr:uid="{00000000-0005-0000-0000-0000BF550000}"/>
    <cellStyle name="Normal 3 3 26 12 2" xfId="30389" xr:uid="{00000000-0005-0000-0000-0000C0550000}"/>
    <cellStyle name="Normal 3 3 26 13" xfId="12868" xr:uid="{00000000-0005-0000-0000-0000C1550000}"/>
    <cellStyle name="Normal 3 3 26 13 2" xfId="30390" xr:uid="{00000000-0005-0000-0000-0000C2550000}"/>
    <cellStyle name="Normal 3 3 26 14" xfId="12869" xr:uid="{00000000-0005-0000-0000-0000C3550000}"/>
    <cellStyle name="Normal 3 3 26 14 2" xfId="30391" xr:uid="{00000000-0005-0000-0000-0000C4550000}"/>
    <cellStyle name="Normal 3 3 26 15" xfId="30386" xr:uid="{00000000-0005-0000-0000-0000C5550000}"/>
    <cellStyle name="Normal 3 3 26 2" xfId="12870" xr:uid="{00000000-0005-0000-0000-0000C6550000}"/>
    <cellStyle name="Normal 3 3 26 2 2" xfId="30392" xr:uid="{00000000-0005-0000-0000-0000C7550000}"/>
    <cellStyle name="Normal 3 3 26 3" xfId="12871" xr:uid="{00000000-0005-0000-0000-0000C8550000}"/>
    <cellStyle name="Normal 3 3 26 3 2" xfId="30393" xr:uid="{00000000-0005-0000-0000-0000C9550000}"/>
    <cellStyle name="Normal 3 3 26 4" xfId="12872" xr:uid="{00000000-0005-0000-0000-0000CA550000}"/>
    <cellStyle name="Normal 3 3 26 4 2" xfId="30394" xr:uid="{00000000-0005-0000-0000-0000CB550000}"/>
    <cellStyle name="Normal 3 3 26 5" xfId="12873" xr:uid="{00000000-0005-0000-0000-0000CC550000}"/>
    <cellStyle name="Normal 3 3 26 5 2" xfId="30395" xr:uid="{00000000-0005-0000-0000-0000CD550000}"/>
    <cellStyle name="Normal 3 3 26 6" xfId="12874" xr:uid="{00000000-0005-0000-0000-0000CE550000}"/>
    <cellStyle name="Normal 3 3 26 6 2" xfId="30396" xr:uid="{00000000-0005-0000-0000-0000CF550000}"/>
    <cellStyle name="Normal 3 3 26 7" xfId="12875" xr:uid="{00000000-0005-0000-0000-0000D0550000}"/>
    <cellStyle name="Normal 3 3 26 7 2" xfId="30397" xr:uid="{00000000-0005-0000-0000-0000D1550000}"/>
    <cellStyle name="Normal 3 3 26 8" xfId="12876" xr:uid="{00000000-0005-0000-0000-0000D2550000}"/>
    <cellStyle name="Normal 3 3 26 8 2" xfId="30398" xr:uid="{00000000-0005-0000-0000-0000D3550000}"/>
    <cellStyle name="Normal 3 3 26 9" xfId="12877" xr:uid="{00000000-0005-0000-0000-0000D4550000}"/>
    <cellStyle name="Normal 3 3 26 9 2" xfId="30399" xr:uid="{00000000-0005-0000-0000-0000D5550000}"/>
    <cellStyle name="Normal 3 3 27" xfId="12878" xr:uid="{00000000-0005-0000-0000-0000D6550000}"/>
    <cellStyle name="Normal 3 3 27 10" xfId="12879" xr:uid="{00000000-0005-0000-0000-0000D7550000}"/>
    <cellStyle name="Normal 3 3 27 10 2" xfId="30401" xr:uid="{00000000-0005-0000-0000-0000D8550000}"/>
    <cellStyle name="Normal 3 3 27 11" xfId="12880" xr:uid="{00000000-0005-0000-0000-0000D9550000}"/>
    <cellStyle name="Normal 3 3 27 11 2" xfId="30402" xr:uid="{00000000-0005-0000-0000-0000DA550000}"/>
    <cellStyle name="Normal 3 3 27 12" xfId="12881" xr:uid="{00000000-0005-0000-0000-0000DB550000}"/>
    <cellStyle name="Normal 3 3 27 12 2" xfId="30403" xr:uid="{00000000-0005-0000-0000-0000DC550000}"/>
    <cellStyle name="Normal 3 3 27 13" xfId="12882" xr:uid="{00000000-0005-0000-0000-0000DD550000}"/>
    <cellStyle name="Normal 3 3 27 13 2" xfId="30404" xr:uid="{00000000-0005-0000-0000-0000DE550000}"/>
    <cellStyle name="Normal 3 3 27 14" xfId="12883" xr:uid="{00000000-0005-0000-0000-0000DF550000}"/>
    <cellStyle name="Normal 3 3 27 14 2" xfId="30405" xr:uid="{00000000-0005-0000-0000-0000E0550000}"/>
    <cellStyle name="Normal 3 3 27 15" xfId="30400" xr:uid="{00000000-0005-0000-0000-0000E1550000}"/>
    <cellStyle name="Normal 3 3 27 2" xfId="12884" xr:uid="{00000000-0005-0000-0000-0000E2550000}"/>
    <cellStyle name="Normal 3 3 27 2 2" xfId="30406" xr:uid="{00000000-0005-0000-0000-0000E3550000}"/>
    <cellStyle name="Normal 3 3 27 3" xfId="12885" xr:uid="{00000000-0005-0000-0000-0000E4550000}"/>
    <cellStyle name="Normal 3 3 27 3 2" xfId="30407" xr:uid="{00000000-0005-0000-0000-0000E5550000}"/>
    <cellStyle name="Normal 3 3 27 4" xfId="12886" xr:uid="{00000000-0005-0000-0000-0000E6550000}"/>
    <cellStyle name="Normal 3 3 27 4 2" xfId="30408" xr:uid="{00000000-0005-0000-0000-0000E7550000}"/>
    <cellStyle name="Normal 3 3 27 5" xfId="12887" xr:uid="{00000000-0005-0000-0000-0000E8550000}"/>
    <cellStyle name="Normal 3 3 27 5 2" xfId="30409" xr:uid="{00000000-0005-0000-0000-0000E9550000}"/>
    <cellStyle name="Normal 3 3 27 6" xfId="12888" xr:uid="{00000000-0005-0000-0000-0000EA550000}"/>
    <cellStyle name="Normal 3 3 27 6 2" xfId="30410" xr:uid="{00000000-0005-0000-0000-0000EB550000}"/>
    <cellStyle name="Normal 3 3 27 7" xfId="12889" xr:uid="{00000000-0005-0000-0000-0000EC550000}"/>
    <cellStyle name="Normal 3 3 27 7 2" xfId="30411" xr:uid="{00000000-0005-0000-0000-0000ED550000}"/>
    <cellStyle name="Normal 3 3 27 8" xfId="12890" xr:uid="{00000000-0005-0000-0000-0000EE550000}"/>
    <cellStyle name="Normal 3 3 27 8 2" xfId="30412" xr:uid="{00000000-0005-0000-0000-0000EF550000}"/>
    <cellStyle name="Normal 3 3 27 9" xfId="12891" xr:uid="{00000000-0005-0000-0000-0000F0550000}"/>
    <cellStyle name="Normal 3 3 27 9 2" xfId="30413" xr:uid="{00000000-0005-0000-0000-0000F1550000}"/>
    <cellStyle name="Normal 3 3 28" xfId="12892" xr:uid="{00000000-0005-0000-0000-0000F2550000}"/>
    <cellStyle name="Normal 3 3 29" xfId="12893" xr:uid="{00000000-0005-0000-0000-0000F3550000}"/>
    <cellStyle name="Normal 3 3 3" xfId="489" xr:uid="{00000000-0005-0000-0000-0000F4550000}"/>
    <cellStyle name="Normal 3 3 3 10" xfId="12895" xr:uid="{00000000-0005-0000-0000-0000F5550000}"/>
    <cellStyle name="Normal 3 3 3 10 10" xfId="12896" xr:uid="{00000000-0005-0000-0000-0000F6550000}"/>
    <cellStyle name="Normal 3 3 3 10 10 2" xfId="30416" xr:uid="{00000000-0005-0000-0000-0000F7550000}"/>
    <cellStyle name="Normal 3 3 3 10 11" xfId="12897" xr:uid="{00000000-0005-0000-0000-0000F8550000}"/>
    <cellStyle name="Normal 3 3 3 10 11 2" xfId="30417" xr:uid="{00000000-0005-0000-0000-0000F9550000}"/>
    <cellStyle name="Normal 3 3 3 10 12" xfId="12898" xr:uid="{00000000-0005-0000-0000-0000FA550000}"/>
    <cellStyle name="Normal 3 3 3 10 12 2" xfId="30418" xr:uid="{00000000-0005-0000-0000-0000FB550000}"/>
    <cellStyle name="Normal 3 3 3 10 13" xfId="12899" xr:uid="{00000000-0005-0000-0000-0000FC550000}"/>
    <cellStyle name="Normal 3 3 3 10 13 2" xfId="30419" xr:uid="{00000000-0005-0000-0000-0000FD550000}"/>
    <cellStyle name="Normal 3 3 3 10 14" xfId="12900" xr:uid="{00000000-0005-0000-0000-0000FE550000}"/>
    <cellStyle name="Normal 3 3 3 10 14 2" xfId="30420" xr:uid="{00000000-0005-0000-0000-0000FF550000}"/>
    <cellStyle name="Normal 3 3 3 10 15" xfId="30415" xr:uid="{00000000-0005-0000-0000-000000560000}"/>
    <cellStyle name="Normal 3 3 3 10 2" xfId="12901" xr:uid="{00000000-0005-0000-0000-000001560000}"/>
    <cellStyle name="Normal 3 3 3 10 2 2" xfId="30421" xr:uid="{00000000-0005-0000-0000-000002560000}"/>
    <cellStyle name="Normal 3 3 3 10 3" xfId="12902" xr:uid="{00000000-0005-0000-0000-000003560000}"/>
    <cellStyle name="Normal 3 3 3 10 3 2" xfId="30422" xr:uid="{00000000-0005-0000-0000-000004560000}"/>
    <cellStyle name="Normal 3 3 3 10 4" xfId="12903" xr:uid="{00000000-0005-0000-0000-000005560000}"/>
    <cellStyle name="Normal 3 3 3 10 4 2" xfId="30423" xr:uid="{00000000-0005-0000-0000-000006560000}"/>
    <cellStyle name="Normal 3 3 3 10 5" xfId="12904" xr:uid="{00000000-0005-0000-0000-000007560000}"/>
    <cellStyle name="Normal 3 3 3 10 5 2" xfId="30424" xr:uid="{00000000-0005-0000-0000-000008560000}"/>
    <cellStyle name="Normal 3 3 3 10 6" xfId="12905" xr:uid="{00000000-0005-0000-0000-000009560000}"/>
    <cellStyle name="Normal 3 3 3 10 6 2" xfId="30425" xr:uid="{00000000-0005-0000-0000-00000A560000}"/>
    <cellStyle name="Normal 3 3 3 10 7" xfId="12906" xr:uid="{00000000-0005-0000-0000-00000B560000}"/>
    <cellStyle name="Normal 3 3 3 10 7 2" xfId="30426" xr:uid="{00000000-0005-0000-0000-00000C560000}"/>
    <cellStyle name="Normal 3 3 3 10 8" xfId="12907" xr:uid="{00000000-0005-0000-0000-00000D560000}"/>
    <cellStyle name="Normal 3 3 3 10 8 2" xfId="30427" xr:uid="{00000000-0005-0000-0000-00000E560000}"/>
    <cellStyle name="Normal 3 3 3 10 9" xfId="12908" xr:uid="{00000000-0005-0000-0000-00000F560000}"/>
    <cellStyle name="Normal 3 3 3 10 9 2" xfId="30428" xr:uid="{00000000-0005-0000-0000-000010560000}"/>
    <cellStyle name="Normal 3 3 3 11" xfId="12909" xr:uid="{00000000-0005-0000-0000-000011560000}"/>
    <cellStyle name="Normal 3 3 3 11 10" xfId="12910" xr:uid="{00000000-0005-0000-0000-000012560000}"/>
    <cellStyle name="Normal 3 3 3 11 10 2" xfId="30430" xr:uid="{00000000-0005-0000-0000-000013560000}"/>
    <cellStyle name="Normal 3 3 3 11 11" xfId="12911" xr:uid="{00000000-0005-0000-0000-000014560000}"/>
    <cellStyle name="Normal 3 3 3 11 11 2" xfId="30431" xr:uid="{00000000-0005-0000-0000-000015560000}"/>
    <cellStyle name="Normal 3 3 3 11 12" xfId="12912" xr:uid="{00000000-0005-0000-0000-000016560000}"/>
    <cellStyle name="Normal 3 3 3 11 12 2" xfId="30432" xr:uid="{00000000-0005-0000-0000-000017560000}"/>
    <cellStyle name="Normal 3 3 3 11 13" xfId="12913" xr:uid="{00000000-0005-0000-0000-000018560000}"/>
    <cellStyle name="Normal 3 3 3 11 13 2" xfId="30433" xr:uid="{00000000-0005-0000-0000-000019560000}"/>
    <cellStyle name="Normal 3 3 3 11 14" xfId="12914" xr:uid="{00000000-0005-0000-0000-00001A560000}"/>
    <cellStyle name="Normal 3 3 3 11 14 2" xfId="30434" xr:uid="{00000000-0005-0000-0000-00001B560000}"/>
    <cellStyle name="Normal 3 3 3 11 15" xfId="30429" xr:uid="{00000000-0005-0000-0000-00001C560000}"/>
    <cellStyle name="Normal 3 3 3 11 2" xfId="12915" xr:uid="{00000000-0005-0000-0000-00001D560000}"/>
    <cellStyle name="Normal 3 3 3 11 2 2" xfId="30435" xr:uid="{00000000-0005-0000-0000-00001E560000}"/>
    <cellStyle name="Normal 3 3 3 11 3" xfId="12916" xr:uid="{00000000-0005-0000-0000-00001F560000}"/>
    <cellStyle name="Normal 3 3 3 11 3 2" xfId="30436" xr:uid="{00000000-0005-0000-0000-000020560000}"/>
    <cellStyle name="Normal 3 3 3 11 4" xfId="12917" xr:uid="{00000000-0005-0000-0000-000021560000}"/>
    <cellStyle name="Normal 3 3 3 11 4 2" xfId="30437" xr:uid="{00000000-0005-0000-0000-000022560000}"/>
    <cellStyle name="Normal 3 3 3 11 5" xfId="12918" xr:uid="{00000000-0005-0000-0000-000023560000}"/>
    <cellStyle name="Normal 3 3 3 11 5 2" xfId="30438" xr:uid="{00000000-0005-0000-0000-000024560000}"/>
    <cellStyle name="Normal 3 3 3 11 6" xfId="12919" xr:uid="{00000000-0005-0000-0000-000025560000}"/>
    <cellStyle name="Normal 3 3 3 11 6 2" xfId="30439" xr:uid="{00000000-0005-0000-0000-000026560000}"/>
    <cellStyle name="Normal 3 3 3 11 7" xfId="12920" xr:uid="{00000000-0005-0000-0000-000027560000}"/>
    <cellStyle name="Normal 3 3 3 11 7 2" xfId="30440" xr:uid="{00000000-0005-0000-0000-000028560000}"/>
    <cellStyle name="Normal 3 3 3 11 8" xfId="12921" xr:uid="{00000000-0005-0000-0000-000029560000}"/>
    <cellStyle name="Normal 3 3 3 11 8 2" xfId="30441" xr:uid="{00000000-0005-0000-0000-00002A560000}"/>
    <cellStyle name="Normal 3 3 3 11 9" xfId="12922" xr:uid="{00000000-0005-0000-0000-00002B560000}"/>
    <cellStyle name="Normal 3 3 3 11 9 2" xfId="30442" xr:uid="{00000000-0005-0000-0000-00002C560000}"/>
    <cellStyle name="Normal 3 3 3 12" xfId="12923" xr:uid="{00000000-0005-0000-0000-00002D560000}"/>
    <cellStyle name="Normal 3 3 3 12 10" xfId="12924" xr:uid="{00000000-0005-0000-0000-00002E560000}"/>
    <cellStyle name="Normal 3 3 3 12 10 2" xfId="30444" xr:uid="{00000000-0005-0000-0000-00002F560000}"/>
    <cellStyle name="Normal 3 3 3 12 11" xfId="12925" xr:uid="{00000000-0005-0000-0000-000030560000}"/>
    <cellStyle name="Normal 3 3 3 12 11 2" xfId="30445" xr:uid="{00000000-0005-0000-0000-000031560000}"/>
    <cellStyle name="Normal 3 3 3 12 12" xfId="12926" xr:uid="{00000000-0005-0000-0000-000032560000}"/>
    <cellStyle name="Normal 3 3 3 12 12 2" xfId="30446" xr:uid="{00000000-0005-0000-0000-000033560000}"/>
    <cellStyle name="Normal 3 3 3 12 13" xfId="12927" xr:uid="{00000000-0005-0000-0000-000034560000}"/>
    <cellStyle name="Normal 3 3 3 12 13 2" xfId="30447" xr:uid="{00000000-0005-0000-0000-000035560000}"/>
    <cellStyle name="Normal 3 3 3 12 14" xfId="12928" xr:uid="{00000000-0005-0000-0000-000036560000}"/>
    <cellStyle name="Normal 3 3 3 12 14 2" xfId="30448" xr:uid="{00000000-0005-0000-0000-000037560000}"/>
    <cellStyle name="Normal 3 3 3 12 15" xfId="30443" xr:uid="{00000000-0005-0000-0000-000038560000}"/>
    <cellStyle name="Normal 3 3 3 12 2" xfId="12929" xr:uid="{00000000-0005-0000-0000-000039560000}"/>
    <cellStyle name="Normal 3 3 3 12 2 2" xfId="30449" xr:uid="{00000000-0005-0000-0000-00003A560000}"/>
    <cellStyle name="Normal 3 3 3 12 3" xfId="12930" xr:uid="{00000000-0005-0000-0000-00003B560000}"/>
    <cellStyle name="Normal 3 3 3 12 3 2" xfId="30450" xr:uid="{00000000-0005-0000-0000-00003C560000}"/>
    <cellStyle name="Normal 3 3 3 12 4" xfId="12931" xr:uid="{00000000-0005-0000-0000-00003D560000}"/>
    <cellStyle name="Normal 3 3 3 12 4 2" xfId="30451" xr:uid="{00000000-0005-0000-0000-00003E560000}"/>
    <cellStyle name="Normal 3 3 3 12 5" xfId="12932" xr:uid="{00000000-0005-0000-0000-00003F560000}"/>
    <cellStyle name="Normal 3 3 3 12 5 2" xfId="30452" xr:uid="{00000000-0005-0000-0000-000040560000}"/>
    <cellStyle name="Normal 3 3 3 12 6" xfId="12933" xr:uid="{00000000-0005-0000-0000-000041560000}"/>
    <cellStyle name="Normal 3 3 3 12 6 2" xfId="30453" xr:uid="{00000000-0005-0000-0000-000042560000}"/>
    <cellStyle name="Normal 3 3 3 12 7" xfId="12934" xr:uid="{00000000-0005-0000-0000-000043560000}"/>
    <cellStyle name="Normal 3 3 3 12 7 2" xfId="30454" xr:uid="{00000000-0005-0000-0000-000044560000}"/>
    <cellStyle name="Normal 3 3 3 12 8" xfId="12935" xr:uid="{00000000-0005-0000-0000-000045560000}"/>
    <cellStyle name="Normal 3 3 3 12 8 2" xfId="30455" xr:uid="{00000000-0005-0000-0000-000046560000}"/>
    <cellStyle name="Normal 3 3 3 12 9" xfId="12936" xr:uid="{00000000-0005-0000-0000-000047560000}"/>
    <cellStyle name="Normal 3 3 3 12 9 2" xfId="30456" xr:uid="{00000000-0005-0000-0000-000048560000}"/>
    <cellStyle name="Normal 3 3 3 13" xfId="12937" xr:uid="{00000000-0005-0000-0000-000049560000}"/>
    <cellStyle name="Normal 3 3 3 13 10" xfId="12938" xr:uid="{00000000-0005-0000-0000-00004A560000}"/>
    <cellStyle name="Normal 3 3 3 13 10 2" xfId="30458" xr:uid="{00000000-0005-0000-0000-00004B560000}"/>
    <cellStyle name="Normal 3 3 3 13 11" xfId="12939" xr:uid="{00000000-0005-0000-0000-00004C560000}"/>
    <cellStyle name="Normal 3 3 3 13 11 2" xfId="30459" xr:uid="{00000000-0005-0000-0000-00004D560000}"/>
    <cellStyle name="Normal 3 3 3 13 12" xfId="12940" xr:uid="{00000000-0005-0000-0000-00004E560000}"/>
    <cellStyle name="Normal 3 3 3 13 12 2" xfId="30460" xr:uid="{00000000-0005-0000-0000-00004F560000}"/>
    <cellStyle name="Normal 3 3 3 13 13" xfId="12941" xr:uid="{00000000-0005-0000-0000-000050560000}"/>
    <cellStyle name="Normal 3 3 3 13 13 2" xfId="30461" xr:uid="{00000000-0005-0000-0000-000051560000}"/>
    <cellStyle name="Normal 3 3 3 13 14" xfId="12942" xr:uid="{00000000-0005-0000-0000-000052560000}"/>
    <cellStyle name="Normal 3 3 3 13 14 2" xfId="30462" xr:uid="{00000000-0005-0000-0000-000053560000}"/>
    <cellStyle name="Normal 3 3 3 13 15" xfId="30457" xr:uid="{00000000-0005-0000-0000-000054560000}"/>
    <cellStyle name="Normal 3 3 3 13 2" xfId="12943" xr:uid="{00000000-0005-0000-0000-000055560000}"/>
    <cellStyle name="Normal 3 3 3 13 2 2" xfId="30463" xr:uid="{00000000-0005-0000-0000-000056560000}"/>
    <cellStyle name="Normal 3 3 3 13 3" xfId="12944" xr:uid="{00000000-0005-0000-0000-000057560000}"/>
    <cellStyle name="Normal 3 3 3 13 3 2" xfId="30464" xr:uid="{00000000-0005-0000-0000-000058560000}"/>
    <cellStyle name="Normal 3 3 3 13 4" xfId="12945" xr:uid="{00000000-0005-0000-0000-000059560000}"/>
    <cellStyle name="Normal 3 3 3 13 4 2" xfId="30465" xr:uid="{00000000-0005-0000-0000-00005A560000}"/>
    <cellStyle name="Normal 3 3 3 13 5" xfId="12946" xr:uid="{00000000-0005-0000-0000-00005B560000}"/>
    <cellStyle name="Normal 3 3 3 13 5 2" xfId="30466" xr:uid="{00000000-0005-0000-0000-00005C560000}"/>
    <cellStyle name="Normal 3 3 3 13 6" xfId="12947" xr:uid="{00000000-0005-0000-0000-00005D560000}"/>
    <cellStyle name="Normal 3 3 3 13 6 2" xfId="30467" xr:uid="{00000000-0005-0000-0000-00005E560000}"/>
    <cellStyle name="Normal 3 3 3 13 7" xfId="12948" xr:uid="{00000000-0005-0000-0000-00005F560000}"/>
    <cellStyle name="Normal 3 3 3 13 7 2" xfId="30468" xr:uid="{00000000-0005-0000-0000-000060560000}"/>
    <cellStyle name="Normal 3 3 3 13 8" xfId="12949" xr:uid="{00000000-0005-0000-0000-000061560000}"/>
    <cellStyle name="Normal 3 3 3 13 8 2" xfId="30469" xr:uid="{00000000-0005-0000-0000-000062560000}"/>
    <cellStyle name="Normal 3 3 3 13 9" xfId="12950" xr:uid="{00000000-0005-0000-0000-000063560000}"/>
    <cellStyle name="Normal 3 3 3 13 9 2" xfId="30470" xr:uid="{00000000-0005-0000-0000-000064560000}"/>
    <cellStyle name="Normal 3 3 3 14" xfId="12951" xr:uid="{00000000-0005-0000-0000-000065560000}"/>
    <cellStyle name="Normal 3 3 3 14 10" xfId="12952" xr:uid="{00000000-0005-0000-0000-000066560000}"/>
    <cellStyle name="Normal 3 3 3 14 10 2" xfId="30472" xr:uid="{00000000-0005-0000-0000-000067560000}"/>
    <cellStyle name="Normal 3 3 3 14 11" xfId="12953" xr:uid="{00000000-0005-0000-0000-000068560000}"/>
    <cellStyle name="Normal 3 3 3 14 11 2" xfId="30473" xr:uid="{00000000-0005-0000-0000-000069560000}"/>
    <cellStyle name="Normal 3 3 3 14 12" xfId="12954" xr:uid="{00000000-0005-0000-0000-00006A560000}"/>
    <cellStyle name="Normal 3 3 3 14 12 2" xfId="30474" xr:uid="{00000000-0005-0000-0000-00006B560000}"/>
    <cellStyle name="Normal 3 3 3 14 13" xfId="12955" xr:uid="{00000000-0005-0000-0000-00006C560000}"/>
    <cellStyle name="Normal 3 3 3 14 13 2" xfId="30475" xr:uid="{00000000-0005-0000-0000-00006D560000}"/>
    <cellStyle name="Normal 3 3 3 14 14" xfId="12956" xr:uid="{00000000-0005-0000-0000-00006E560000}"/>
    <cellStyle name="Normal 3 3 3 14 14 2" xfId="30476" xr:uid="{00000000-0005-0000-0000-00006F560000}"/>
    <cellStyle name="Normal 3 3 3 14 15" xfId="30471" xr:uid="{00000000-0005-0000-0000-000070560000}"/>
    <cellStyle name="Normal 3 3 3 14 2" xfId="12957" xr:uid="{00000000-0005-0000-0000-000071560000}"/>
    <cellStyle name="Normal 3 3 3 14 2 2" xfId="30477" xr:uid="{00000000-0005-0000-0000-000072560000}"/>
    <cellStyle name="Normal 3 3 3 14 3" xfId="12958" xr:uid="{00000000-0005-0000-0000-000073560000}"/>
    <cellStyle name="Normal 3 3 3 14 3 2" xfId="30478" xr:uid="{00000000-0005-0000-0000-000074560000}"/>
    <cellStyle name="Normal 3 3 3 14 4" xfId="12959" xr:uid="{00000000-0005-0000-0000-000075560000}"/>
    <cellStyle name="Normal 3 3 3 14 4 2" xfId="30479" xr:uid="{00000000-0005-0000-0000-000076560000}"/>
    <cellStyle name="Normal 3 3 3 14 5" xfId="12960" xr:uid="{00000000-0005-0000-0000-000077560000}"/>
    <cellStyle name="Normal 3 3 3 14 5 2" xfId="30480" xr:uid="{00000000-0005-0000-0000-000078560000}"/>
    <cellStyle name="Normal 3 3 3 14 6" xfId="12961" xr:uid="{00000000-0005-0000-0000-000079560000}"/>
    <cellStyle name="Normal 3 3 3 14 6 2" xfId="30481" xr:uid="{00000000-0005-0000-0000-00007A560000}"/>
    <cellStyle name="Normal 3 3 3 14 7" xfId="12962" xr:uid="{00000000-0005-0000-0000-00007B560000}"/>
    <cellStyle name="Normal 3 3 3 14 7 2" xfId="30482" xr:uid="{00000000-0005-0000-0000-00007C560000}"/>
    <cellStyle name="Normal 3 3 3 14 8" xfId="12963" xr:uid="{00000000-0005-0000-0000-00007D560000}"/>
    <cellStyle name="Normal 3 3 3 14 8 2" xfId="30483" xr:uid="{00000000-0005-0000-0000-00007E560000}"/>
    <cellStyle name="Normal 3 3 3 14 9" xfId="12964" xr:uid="{00000000-0005-0000-0000-00007F560000}"/>
    <cellStyle name="Normal 3 3 3 14 9 2" xfId="30484" xr:uid="{00000000-0005-0000-0000-000080560000}"/>
    <cellStyle name="Normal 3 3 3 15" xfId="12965" xr:uid="{00000000-0005-0000-0000-000081560000}"/>
    <cellStyle name="Normal 3 3 3 15 2" xfId="30485" xr:uid="{00000000-0005-0000-0000-000082560000}"/>
    <cellStyle name="Normal 3 3 3 16" xfId="12966" xr:uid="{00000000-0005-0000-0000-000083560000}"/>
    <cellStyle name="Normal 3 3 3 16 2" xfId="30486" xr:uid="{00000000-0005-0000-0000-000084560000}"/>
    <cellStyle name="Normal 3 3 3 17" xfId="12967" xr:uid="{00000000-0005-0000-0000-000085560000}"/>
    <cellStyle name="Normal 3 3 3 17 2" xfId="30487" xr:uid="{00000000-0005-0000-0000-000086560000}"/>
    <cellStyle name="Normal 3 3 3 18" xfId="12968" xr:uid="{00000000-0005-0000-0000-000087560000}"/>
    <cellStyle name="Normal 3 3 3 18 2" xfId="30488" xr:uid="{00000000-0005-0000-0000-000088560000}"/>
    <cellStyle name="Normal 3 3 3 19" xfId="12969" xr:uid="{00000000-0005-0000-0000-000089560000}"/>
    <cellStyle name="Normal 3 3 3 19 2" xfId="30489" xr:uid="{00000000-0005-0000-0000-00008A560000}"/>
    <cellStyle name="Normal 3 3 3 2" xfId="12970" xr:uid="{00000000-0005-0000-0000-00008B560000}"/>
    <cellStyle name="Normal 3 3 3 20" xfId="12971" xr:uid="{00000000-0005-0000-0000-00008C560000}"/>
    <cellStyle name="Normal 3 3 3 20 2" xfId="30490" xr:uid="{00000000-0005-0000-0000-00008D560000}"/>
    <cellStyle name="Normal 3 3 3 21" xfId="12972" xr:uid="{00000000-0005-0000-0000-00008E560000}"/>
    <cellStyle name="Normal 3 3 3 21 2" xfId="30491" xr:uid="{00000000-0005-0000-0000-00008F560000}"/>
    <cellStyle name="Normal 3 3 3 22" xfId="12973" xr:uid="{00000000-0005-0000-0000-000090560000}"/>
    <cellStyle name="Normal 3 3 3 22 2" xfId="30492" xr:uid="{00000000-0005-0000-0000-000091560000}"/>
    <cellStyle name="Normal 3 3 3 23" xfId="12974" xr:uid="{00000000-0005-0000-0000-000092560000}"/>
    <cellStyle name="Normal 3 3 3 23 2" xfId="30493" xr:uid="{00000000-0005-0000-0000-000093560000}"/>
    <cellStyle name="Normal 3 3 3 24" xfId="12975" xr:uid="{00000000-0005-0000-0000-000094560000}"/>
    <cellStyle name="Normal 3 3 3 24 2" xfId="30494" xr:uid="{00000000-0005-0000-0000-000095560000}"/>
    <cellStyle name="Normal 3 3 3 25" xfId="12976" xr:uid="{00000000-0005-0000-0000-000096560000}"/>
    <cellStyle name="Normal 3 3 3 25 2" xfId="30495" xr:uid="{00000000-0005-0000-0000-000097560000}"/>
    <cellStyle name="Normal 3 3 3 26" xfId="12977" xr:uid="{00000000-0005-0000-0000-000098560000}"/>
    <cellStyle name="Normal 3 3 3 26 2" xfId="30496" xr:uid="{00000000-0005-0000-0000-000099560000}"/>
    <cellStyle name="Normal 3 3 3 27" xfId="12978" xr:uid="{00000000-0005-0000-0000-00009A560000}"/>
    <cellStyle name="Normal 3 3 3 27 2" xfId="30497" xr:uid="{00000000-0005-0000-0000-00009B560000}"/>
    <cellStyle name="Normal 3 3 3 28" xfId="12894" xr:uid="{00000000-0005-0000-0000-00009C560000}"/>
    <cellStyle name="Normal 3 3 3 29" xfId="30414" xr:uid="{00000000-0005-0000-0000-00009D560000}"/>
    <cellStyle name="Normal 3 3 3 3" xfId="12979" xr:uid="{00000000-0005-0000-0000-00009E560000}"/>
    <cellStyle name="Normal 3 3 3 4" xfId="12980" xr:uid="{00000000-0005-0000-0000-00009F560000}"/>
    <cellStyle name="Normal 3 3 3 5" xfId="12981" xr:uid="{00000000-0005-0000-0000-0000A0560000}"/>
    <cellStyle name="Normal 3 3 3 6" xfId="12982" xr:uid="{00000000-0005-0000-0000-0000A1560000}"/>
    <cellStyle name="Normal 3 3 3 6 10" xfId="12983" xr:uid="{00000000-0005-0000-0000-0000A2560000}"/>
    <cellStyle name="Normal 3 3 3 6 10 2" xfId="30499" xr:uid="{00000000-0005-0000-0000-0000A3560000}"/>
    <cellStyle name="Normal 3 3 3 6 11" xfId="12984" xr:uid="{00000000-0005-0000-0000-0000A4560000}"/>
    <cellStyle name="Normal 3 3 3 6 11 2" xfId="30500" xr:uid="{00000000-0005-0000-0000-0000A5560000}"/>
    <cellStyle name="Normal 3 3 3 6 12" xfId="12985" xr:uid="{00000000-0005-0000-0000-0000A6560000}"/>
    <cellStyle name="Normal 3 3 3 6 12 2" xfId="30501" xr:uid="{00000000-0005-0000-0000-0000A7560000}"/>
    <cellStyle name="Normal 3 3 3 6 13" xfId="12986" xr:uid="{00000000-0005-0000-0000-0000A8560000}"/>
    <cellStyle name="Normal 3 3 3 6 13 2" xfId="30502" xr:uid="{00000000-0005-0000-0000-0000A9560000}"/>
    <cellStyle name="Normal 3 3 3 6 14" xfId="12987" xr:uid="{00000000-0005-0000-0000-0000AA560000}"/>
    <cellStyle name="Normal 3 3 3 6 14 2" xfId="30503" xr:uid="{00000000-0005-0000-0000-0000AB560000}"/>
    <cellStyle name="Normal 3 3 3 6 15" xfId="12988" xr:uid="{00000000-0005-0000-0000-0000AC560000}"/>
    <cellStyle name="Normal 3 3 3 6 15 2" xfId="30504" xr:uid="{00000000-0005-0000-0000-0000AD560000}"/>
    <cellStyle name="Normal 3 3 3 6 16" xfId="30498" xr:uid="{00000000-0005-0000-0000-0000AE560000}"/>
    <cellStyle name="Normal 3 3 3 6 2" xfId="12989" xr:uid="{00000000-0005-0000-0000-0000AF560000}"/>
    <cellStyle name="Normal 3 3 3 6 2 10" xfId="12990" xr:uid="{00000000-0005-0000-0000-0000B0560000}"/>
    <cellStyle name="Normal 3 3 3 6 2 10 2" xfId="30506" xr:uid="{00000000-0005-0000-0000-0000B1560000}"/>
    <cellStyle name="Normal 3 3 3 6 2 11" xfId="12991" xr:uid="{00000000-0005-0000-0000-0000B2560000}"/>
    <cellStyle name="Normal 3 3 3 6 2 11 2" xfId="30507" xr:uid="{00000000-0005-0000-0000-0000B3560000}"/>
    <cellStyle name="Normal 3 3 3 6 2 12" xfId="12992" xr:uid="{00000000-0005-0000-0000-0000B4560000}"/>
    <cellStyle name="Normal 3 3 3 6 2 12 2" xfId="30508" xr:uid="{00000000-0005-0000-0000-0000B5560000}"/>
    <cellStyle name="Normal 3 3 3 6 2 13" xfId="12993" xr:uid="{00000000-0005-0000-0000-0000B6560000}"/>
    <cellStyle name="Normal 3 3 3 6 2 13 2" xfId="30509" xr:uid="{00000000-0005-0000-0000-0000B7560000}"/>
    <cellStyle name="Normal 3 3 3 6 2 14" xfId="12994" xr:uid="{00000000-0005-0000-0000-0000B8560000}"/>
    <cellStyle name="Normal 3 3 3 6 2 14 2" xfId="30510" xr:uid="{00000000-0005-0000-0000-0000B9560000}"/>
    <cellStyle name="Normal 3 3 3 6 2 15" xfId="30505" xr:uid="{00000000-0005-0000-0000-0000BA560000}"/>
    <cellStyle name="Normal 3 3 3 6 2 2" xfId="12995" xr:uid="{00000000-0005-0000-0000-0000BB560000}"/>
    <cellStyle name="Normal 3 3 3 6 2 2 2" xfId="30511" xr:uid="{00000000-0005-0000-0000-0000BC560000}"/>
    <cellStyle name="Normal 3 3 3 6 2 3" xfId="12996" xr:uid="{00000000-0005-0000-0000-0000BD560000}"/>
    <cellStyle name="Normal 3 3 3 6 2 3 2" xfId="30512" xr:uid="{00000000-0005-0000-0000-0000BE560000}"/>
    <cellStyle name="Normal 3 3 3 6 2 4" xfId="12997" xr:uid="{00000000-0005-0000-0000-0000BF560000}"/>
    <cellStyle name="Normal 3 3 3 6 2 4 2" xfId="30513" xr:uid="{00000000-0005-0000-0000-0000C0560000}"/>
    <cellStyle name="Normal 3 3 3 6 2 5" xfId="12998" xr:uid="{00000000-0005-0000-0000-0000C1560000}"/>
    <cellStyle name="Normal 3 3 3 6 2 5 2" xfId="30514" xr:uid="{00000000-0005-0000-0000-0000C2560000}"/>
    <cellStyle name="Normal 3 3 3 6 2 6" xfId="12999" xr:uid="{00000000-0005-0000-0000-0000C3560000}"/>
    <cellStyle name="Normal 3 3 3 6 2 6 2" xfId="30515" xr:uid="{00000000-0005-0000-0000-0000C4560000}"/>
    <cellStyle name="Normal 3 3 3 6 2 7" xfId="13000" xr:uid="{00000000-0005-0000-0000-0000C5560000}"/>
    <cellStyle name="Normal 3 3 3 6 2 7 2" xfId="30516" xr:uid="{00000000-0005-0000-0000-0000C6560000}"/>
    <cellStyle name="Normal 3 3 3 6 2 8" xfId="13001" xr:uid="{00000000-0005-0000-0000-0000C7560000}"/>
    <cellStyle name="Normal 3 3 3 6 2 8 2" xfId="30517" xr:uid="{00000000-0005-0000-0000-0000C8560000}"/>
    <cellStyle name="Normal 3 3 3 6 2 9" xfId="13002" xr:uid="{00000000-0005-0000-0000-0000C9560000}"/>
    <cellStyle name="Normal 3 3 3 6 2 9 2" xfId="30518" xr:uid="{00000000-0005-0000-0000-0000CA560000}"/>
    <cellStyle name="Normal 3 3 3 6 3" xfId="13003" xr:uid="{00000000-0005-0000-0000-0000CB560000}"/>
    <cellStyle name="Normal 3 3 3 6 3 2" xfId="30519" xr:uid="{00000000-0005-0000-0000-0000CC560000}"/>
    <cellStyle name="Normal 3 3 3 6 4" xfId="13004" xr:uid="{00000000-0005-0000-0000-0000CD560000}"/>
    <cellStyle name="Normal 3 3 3 6 4 2" xfId="30520" xr:uid="{00000000-0005-0000-0000-0000CE560000}"/>
    <cellStyle name="Normal 3 3 3 6 5" xfId="13005" xr:uid="{00000000-0005-0000-0000-0000CF560000}"/>
    <cellStyle name="Normal 3 3 3 6 5 2" xfId="30521" xr:uid="{00000000-0005-0000-0000-0000D0560000}"/>
    <cellStyle name="Normal 3 3 3 6 6" xfId="13006" xr:uid="{00000000-0005-0000-0000-0000D1560000}"/>
    <cellStyle name="Normal 3 3 3 6 6 2" xfId="30522" xr:uid="{00000000-0005-0000-0000-0000D2560000}"/>
    <cellStyle name="Normal 3 3 3 6 7" xfId="13007" xr:uid="{00000000-0005-0000-0000-0000D3560000}"/>
    <cellStyle name="Normal 3 3 3 6 7 2" xfId="30523" xr:uid="{00000000-0005-0000-0000-0000D4560000}"/>
    <cellStyle name="Normal 3 3 3 6 8" xfId="13008" xr:uid="{00000000-0005-0000-0000-0000D5560000}"/>
    <cellStyle name="Normal 3 3 3 6 8 2" xfId="30524" xr:uid="{00000000-0005-0000-0000-0000D6560000}"/>
    <cellStyle name="Normal 3 3 3 6 9" xfId="13009" xr:uid="{00000000-0005-0000-0000-0000D7560000}"/>
    <cellStyle name="Normal 3 3 3 6 9 2" xfId="30525" xr:uid="{00000000-0005-0000-0000-0000D8560000}"/>
    <cellStyle name="Normal 3 3 3 7" xfId="13010" xr:uid="{00000000-0005-0000-0000-0000D9560000}"/>
    <cellStyle name="Normal 3 3 3 7 10" xfId="13011" xr:uid="{00000000-0005-0000-0000-0000DA560000}"/>
    <cellStyle name="Normal 3 3 3 7 10 2" xfId="30527" xr:uid="{00000000-0005-0000-0000-0000DB560000}"/>
    <cellStyle name="Normal 3 3 3 7 11" xfId="13012" xr:uid="{00000000-0005-0000-0000-0000DC560000}"/>
    <cellStyle name="Normal 3 3 3 7 11 2" xfId="30528" xr:uid="{00000000-0005-0000-0000-0000DD560000}"/>
    <cellStyle name="Normal 3 3 3 7 12" xfId="13013" xr:uid="{00000000-0005-0000-0000-0000DE560000}"/>
    <cellStyle name="Normal 3 3 3 7 12 2" xfId="30529" xr:uid="{00000000-0005-0000-0000-0000DF560000}"/>
    <cellStyle name="Normal 3 3 3 7 13" xfId="13014" xr:uid="{00000000-0005-0000-0000-0000E0560000}"/>
    <cellStyle name="Normal 3 3 3 7 13 2" xfId="30530" xr:uid="{00000000-0005-0000-0000-0000E1560000}"/>
    <cellStyle name="Normal 3 3 3 7 14" xfId="13015" xr:uid="{00000000-0005-0000-0000-0000E2560000}"/>
    <cellStyle name="Normal 3 3 3 7 14 2" xfId="30531" xr:uid="{00000000-0005-0000-0000-0000E3560000}"/>
    <cellStyle name="Normal 3 3 3 7 15" xfId="13016" xr:uid="{00000000-0005-0000-0000-0000E4560000}"/>
    <cellStyle name="Normal 3 3 3 7 15 2" xfId="30532" xr:uid="{00000000-0005-0000-0000-0000E5560000}"/>
    <cellStyle name="Normal 3 3 3 7 16" xfId="30526" xr:uid="{00000000-0005-0000-0000-0000E6560000}"/>
    <cellStyle name="Normal 3 3 3 7 2" xfId="13017" xr:uid="{00000000-0005-0000-0000-0000E7560000}"/>
    <cellStyle name="Normal 3 3 3 7 2 10" xfId="13018" xr:uid="{00000000-0005-0000-0000-0000E8560000}"/>
    <cellStyle name="Normal 3 3 3 7 2 10 2" xfId="30534" xr:uid="{00000000-0005-0000-0000-0000E9560000}"/>
    <cellStyle name="Normal 3 3 3 7 2 11" xfId="13019" xr:uid="{00000000-0005-0000-0000-0000EA560000}"/>
    <cellStyle name="Normal 3 3 3 7 2 11 2" xfId="30535" xr:uid="{00000000-0005-0000-0000-0000EB560000}"/>
    <cellStyle name="Normal 3 3 3 7 2 12" xfId="13020" xr:uid="{00000000-0005-0000-0000-0000EC560000}"/>
    <cellStyle name="Normal 3 3 3 7 2 12 2" xfId="30536" xr:uid="{00000000-0005-0000-0000-0000ED560000}"/>
    <cellStyle name="Normal 3 3 3 7 2 13" xfId="13021" xr:uid="{00000000-0005-0000-0000-0000EE560000}"/>
    <cellStyle name="Normal 3 3 3 7 2 13 2" xfId="30537" xr:uid="{00000000-0005-0000-0000-0000EF560000}"/>
    <cellStyle name="Normal 3 3 3 7 2 14" xfId="13022" xr:uid="{00000000-0005-0000-0000-0000F0560000}"/>
    <cellStyle name="Normal 3 3 3 7 2 14 2" xfId="30538" xr:uid="{00000000-0005-0000-0000-0000F1560000}"/>
    <cellStyle name="Normal 3 3 3 7 2 15" xfId="30533" xr:uid="{00000000-0005-0000-0000-0000F2560000}"/>
    <cellStyle name="Normal 3 3 3 7 2 2" xfId="13023" xr:uid="{00000000-0005-0000-0000-0000F3560000}"/>
    <cellStyle name="Normal 3 3 3 7 2 2 2" xfId="30539" xr:uid="{00000000-0005-0000-0000-0000F4560000}"/>
    <cellStyle name="Normal 3 3 3 7 2 3" xfId="13024" xr:uid="{00000000-0005-0000-0000-0000F5560000}"/>
    <cellStyle name="Normal 3 3 3 7 2 3 2" xfId="30540" xr:uid="{00000000-0005-0000-0000-0000F6560000}"/>
    <cellStyle name="Normal 3 3 3 7 2 4" xfId="13025" xr:uid="{00000000-0005-0000-0000-0000F7560000}"/>
    <cellStyle name="Normal 3 3 3 7 2 4 2" xfId="30541" xr:uid="{00000000-0005-0000-0000-0000F8560000}"/>
    <cellStyle name="Normal 3 3 3 7 2 5" xfId="13026" xr:uid="{00000000-0005-0000-0000-0000F9560000}"/>
    <cellStyle name="Normal 3 3 3 7 2 5 2" xfId="30542" xr:uid="{00000000-0005-0000-0000-0000FA560000}"/>
    <cellStyle name="Normal 3 3 3 7 2 6" xfId="13027" xr:uid="{00000000-0005-0000-0000-0000FB560000}"/>
    <cellStyle name="Normal 3 3 3 7 2 6 2" xfId="30543" xr:uid="{00000000-0005-0000-0000-0000FC560000}"/>
    <cellStyle name="Normal 3 3 3 7 2 7" xfId="13028" xr:uid="{00000000-0005-0000-0000-0000FD560000}"/>
    <cellStyle name="Normal 3 3 3 7 2 7 2" xfId="30544" xr:uid="{00000000-0005-0000-0000-0000FE560000}"/>
    <cellStyle name="Normal 3 3 3 7 2 8" xfId="13029" xr:uid="{00000000-0005-0000-0000-0000FF560000}"/>
    <cellStyle name="Normal 3 3 3 7 2 8 2" xfId="30545" xr:uid="{00000000-0005-0000-0000-000000570000}"/>
    <cellStyle name="Normal 3 3 3 7 2 9" xfId="13030" xr:uid="{00000000-0005-0000-0000-000001570000}"/>
    <cellStyle name="Normal 3 3 3 7 2 9 2" xfId="30546" xr:uid="{00000000-0005-0000-0000-000002570000}"/>
    <cellStyle name="Normal 3 3 3 7 3" xfId="13031" xr:uid="{00000000-0005-0000-0000-000003570000}"/>
    <cellStyle name="Normal 3 3 3 7 3 2" xfId="30547" xr:uid="{00000000-0005-0000-0000-000004570000}"/>
    <cellStyle name="Normal 3 3 3 7 4" xfId="13032" xr:uid="{00000000-0005-0000-0000-000005570000}"/>
    <cellStyle name="Normal 3 3 3 7 4 2" xfId="30548" xr:uid="{00000000-0005-0000-0000-000006570000}"/>
    <cellStyle name="Normal 3 3 3 7 5" xfId="13033" xr:uid="{00000000-0005-0000-0000-000007570000}"/>
    <cellStyle name="Normal 3 3 3 7 5 2" xfId="30549" xr:uid="{00000000-0005-0000-0000-000008570000}"/>
    <cellStyle name="Normal 3 3 3 7 6" xfId="13034" xr:uid="{00000000-0005-0000-0000-000009570000}"/>
    <cellStyle name="Normal 3 3 3 7 6 2" xfId="30550" xr:uid="{00000000-0005-0000-0000-00000A570000}"/>
    <cellStyle name="Normal 3 3 3 7 7" xfId="13035" xr:uid="{00000000-0005-0000-0000-00000B570000}"/>
    <cellStyle name="Normal 3 3 3 7 7 2" xfId="30551" xr:uid="{00000000-0005-0000-0000-00000C570000}"/>
    <cellStyle name="Normal 3 3 3 7 8" xfId="13036" xr:uid="{00000000-0005-0000-0000-00000D570000}"/>
    <cellStyle name="Normal 3 3 3 7 8 2" xfId="30552" xr:uid="{00000000-0005-0000-0000-00000E570000}"/>
    <cellStyle name="Normal 3 3 3 7 9" xfId="13037" xr:uid="{00000000-0005-0000-0000-00000F570000}"/>
    <cellStyle name="Normal 3 3 3 7 9 2" xfId="30553" xr:uid="{00000000-0005-0000-0000-000010570000}"/>
    <cellStyle name="Normal 3 3 3 8" xfId="13038" xr:uid="{00000000-0005-0000-0000-000011570000}"/>
    <cellStyle name="Normal 3 3 3 8 10" xfId="13039" xr:uid="{00000000-0005-0000-0000-000012570000}"/>
    <cellStyle name="Normal 3 3 3 8 10 2" xfId="30555" xr:uid="{00000000-0005-0000-0000-000013570000}"/>
    <cellStyle name="Normal 3 3 3 8 11" xfId="13040" xr:uid="{00000000-0005-0000-0000-000014570000}"/>
    <cellStyle name="Normal 3 3 3 8 11 2" xfId="30556" xr:uid="{00000000-0005-0000-0000-000015570000}"/>
    <cellStyle name="Normal 3 3 3 8 12" xfId="13041" xr:uid="{00000000-0005-0000-0000-000016570000}"/>
    <cellStyle name="Normal 3 3 3 8 12 2" xfId="30557" xr:uid="{00000000-0005-0000-0000-000017570000}"/>
    <cellStyle name="Normal 3 3 3 8 13" xfId="13042" xr:uid="{00000000-0005-0000-0000-000018570000}"/>
    <cellStyle name="Normal 3 3 3 8 13 2" xfId="30558" xr:uid="{00000000-0005-0000-0000-000019570000}"/>
    <cellStyle name="Normal 3 3 3 8 14" xfId="13043" xr:uid="{00000000-0005-0000-0000-00001A570000}"/>
    <cellStyle name="Normal 3 3 3 8 14 2" xfId="30559" xr:uid="{00000000-0005-0000-0000-00001B570000}"/>
    <cellStyle name="Normal 3 3 3 8 15" xfId="13044" xr:uid="{00000000-0005-0000-0000-00001C570000}"/>
    <cellStyle name="Normal 3 3 3 8 15 2" xfId="30560" xr:uid="{00000000-0005-0000-0000-00001D570000}"/>
    <cellStyle name="Normal 3 3 3 8 16" xfId="30554" xr:uid="{00000000-0005-0000-0000-00001E570000}"/>
    <cellStyle name="Normal 3 3 3 8 2" xfId="13045" xr:uid="{00000000-0005-0000-0000-00001F570000}"/>
    <cellStyle name="Normal 3 3 3 8 2 10" xfId="13046" xr:uid="{00000000-0005-0000-0000-000020570000}"/>
    <cellStyle name="Normal 3 3 3 8 2 10 2" xfId="30562" xr:uid="{00000000-0005-0000-0000-000021570000}"/>
    <cellStyle name="Normal 3 3 3 8 2 11" xfId="13047" xr:uid="{00000000-0005-0000-0000-000022570000}"/>
    <cellStyle name="Normal 3 3 3 8 2 11 2" xfId="30563" xr:uid="{00000000-0005-0000-0000-000023570000}"/>
    <cellStyle name="Normal 3 3 3 8 2 12" xfId="13048" xr:uid="{00000000-0005-0000-0000-000024570000}"/>
    <cellStyle name="Normal 3 3 3 8 2 12 2" xfId="30564" xr:uid="{00000000-0005-0000-0000-000025570000}"/>
    <cellStyle name="Normal 3 3 3 8 2 13" xfId="13049" xr:uid="{00000000-0005-0000-0000-000026570000}"/>
    <cellStyle name="Normal 3 3 3 8 2 13 2" xfId="30565" xr:uid="{00000000-0005-0000-0000-000027570000}"/>
    <cellStyle name="Normal 3 3 3 8 2 14" xfId="13050" xr:uid="{00000000-0005-0000-0000-000028570000}"/>
    <cellStyle name="Normal 3 3 3 8 2 14 2" xfId="30566" xr:uid="{00000000-0005-0000-0000-000029570000}"/>
    <cellStyle name="Normal 3 3 3 8 2 15" xfId="30561" xr:uid="{00000000-0005-0000-0000-00002A570000}"/>
    <cellStyle name="Normal 3 3 3 8 2 2" xfId="13051" xr:uid="{00000000-0005-0000-0000-00002B570000}"/>
    <cellStyle name="Normal 3 3 3 8 2 2 2" xfId="30567" xr:uid="{00000000-0005-0000-0000-00002C570000}"/>
    <cellStyle name="Normal 3 3 3 8 2 3" xfId="13052" xr:uid="{00000000-0005-0000-0000-00002D570000}"/>
    <cellStyle name="Normal 3 3 3 8 2 3 2" xfId="30568" xr:uid="{00000000-0005-0000-0000-00002E570000}"/>
    <cellStyle name="Normal 3 3 3 8 2 4" xfId="13053" xr:uid="{00000000-0005-0000-0000-00002F570000}"/>
    <cellStyle name="Normal 3 3 3 8 2 4 2" xfId="30569" xr:uid="{00000000-0005-0000-0000-000030570000}"/>
    <cellStyle name="Normal 3 3 3 8 2 5" xfId="13054" xr:uid="{00000000-0005-0000-0000-000031570000}"/>
    <cellStyle name="Normal 3 3 3 8 2 5 2" xfId="30570" xr:uid="{00000000-0005-0000-0000-000032570000}"/>
    <cellStyle name="Normal 3 3 3 8 2 6" xfId="13055" xr:uid="{00000000-0005-0000-0000-000033570000}"/>
    <cellStyle name="Normal 3 3 3 8 2 6 2" xfId="30571" xr:uid="{00000000-0005-0000-0000-000034570000}"/>
    <cellStyle name="Normal 3 3 3 8 2 7" xfId="13056" xr:uid="{00000000-0005-0000-0000-000035570000}"/>
    <cellStyle name="Normal 3 3 3 8 2 7 2" xfId="30572" xr:uid="{00000000-0005-0000-0000-000036570000}"/>
    <cellStyle name="Normal 3 3 3 8 2 8" xfId="13057" xr:uid="{00000000-0005-0000-0000-000037570000}"/>
    <cellStyle name="Normal 3 3 3 8 2 8 2" xfId="30573" xr:uid="{00000000-0005-0000-0000-000038570000}"/>
    <cellStyle name="Normal 3 3 3 8 2 9" xfId="13058" xr:uid="{00000000-0005-0000-0000-000039570000}"/>
    <cellStyle name="Normal 3 3 3 8 2 9 2" xfId="30574" xr:uid="{00000000-0005-0000-0000-00003A570000}"/>
    <cellStyle name="Normal 3 3 3 8 3" xfId="13059" xr:uid="{00000000-0005-0000-0000-00003B570000}"/>
    <cellStyle name="Normal 3 3 3 8 3 2" xfId="30575" xr:uid="{00000000-0005-0000-0000-00003C570000}"/>
    <cellStyle name="Normal 3 3 3 8 4" xfId="13060" xr:uid="{00000000-0005-0000-0000-00003D570000}"/>
    <cellStyle name="Normal 3 3 3 8 4 2" xfId="30576" xr:uid="{00000000-0005-0000-0000-00003E570000}"/>
    <cellStyle name="Normal 3 3 3 8 5" xfId="13061" xr:uid="{00000000-0005-0000-0000-00003F570000}"/>
    <cellStyle name="Normal 3 3 3 8 5 2" xfId="30577" xr:uid="{00000000-0005-0000-0000-000040570000}"/>
    <cellStyle name="Normal 3 3 3 8 6" xfId="13062" xr:uid="{00000000-0005-0000-0000-000041570000}"/>
    <cellStyle name="Normal 3 3 3 8 6 2" xfId="30578" xr:uid="{00000000-0005-0000-0000-000042570000}"/>
    <cellStyle name="Normal 3 3 3 8 7" xfId="13063" xr:uid="{00000000-0005-0000-0000-000043570000}"/>
    <cellStyle name="Normal 3 3 3 8 7 2" xfId="30579" xr:uid="{00000000-0005-0000-0000-000044570000}"/>
    <cellStyle name="Normal 3 3 3 8 8" xfId="13064" xr:uid="{00000000-0005-0000-0000-000045570000}"/>
    <cellStyle name="Normal 3 3 3 8 8 2" xfId="30580" xr:uid="{00000000-0005-0000-0000-000046570000}"/>
    <cellStyle name="Normal 3 3 3 8 9" xfId="13065" xr:uid="{00000000-0005-0000-0000-000047570000}"/>
    <cellStyle name="Normal 3 3 3 8 9 2" xfId="30581" xr:uid="{00000000-0005-0000-0000-000048570000}"/>
    <cellStyle name="Normal 3 3 3 9" xfId="13066" xr:uid="{00000000-0005-0000-0000-000049570000}"/>
    <cellStyle name="Normal 3 3 3 9 10" xfId="13067" xr:uid="{00000000-0005-0000-0000-00004A570000}"/>
    <cellStyle name="Normal 3 3 3 9 10 2" xfId="30583" xr:uid="{00000000-0005-0000-0000-00004B570000}"/>
    <cellStyle name="Normal 3 3 3 9 11" xfId="13068" xr:uid="{00000000-0005-0000-0000-00004C570000}"/>
    <cellStyle name="Normal 3 3 3 9 11 2" xfId="30584" xr:uid="{00000000-0005-0000-0000-00004D570000}"/>
    <cellStyle name="Normal 3 3 3 9 12" xfId="13069" xr:uid="{00000000-0005-0000-0000-00004E570000}"/>
    <cellStyle name="Normal 3 3 3 9 12 2" xfId="30585" xr:uid="{00000000-0005-0000-0000-00004F570000}"/>
    <cellStyle name="Normal 3 3 3 9 13" xfId="13070" xr:uid="{00000000-0005-0000-0000-000050570000}"/>
    <cellStyle name="Normal 3 3 3 9 13 2" xfId="30586" xr:uid="{00000000-0005-0000-0000-000051570000}"/>
    <cellStyle name="Normal 3 3 3 9 14" xfId="13071" xr:uid="{00000000-0005-0000-0000-000052570000}"/>
    <cellStyle name="Normal 3 3 3 9 14 2" xfId="30587" xr:uid="{00000000-0005-0000-0000-000053570000}"/>
    <cellStyle name="Normal 3 3 3 9 15" xfId="30582" xr:uid="{00000000-0005-0000-0000-000054570000}"/>
    <cellStyle name="Normal 3 3 3 9 2" xfId="13072" xr:uid="{00000000-0005-0000-0000-000055570000}"/>
    <cellStyle name="Normal 3 3 3 9 2 2" xfId="30588" xr:uid="{00000000-0005-0000-0000-000056570000}"/>
    <cellStyle name="Normal 3 3 3 9 3" xfId="13073" xr:uid="{00000000-0005-0000-0000-000057570000}"/>
    <cellStyle name="Normal 3 3 3 9 3 2" xfId="30589" xr:uid="{00000000-0005-0000-0000-000058570000}"/>
    <cellStyle name="Normal 3 3 3 9 4" xfId="13074" xr:uid="{00000000-0005-0000-0000-000059570000}"/>
    <cellStyle name="Normal 3 3 3 9 4 2" xfId="30590" xr:uid="{00000000-0005-0000-0000-00005A570000}"/>
    <cellStyle name="Normal 3 3 3 9 5" xfId="13075" xr:uid="{00000000-0005-0000-0000-00005B570000}"/>
    <cellStyle name="Normal 3 3 3 9 5 2" xfId="30591" xr:uid="{00000000-0005-0000-0000-00005C570000}"/>
    <cellStyle name="Normal 3 3 3 9 6" xfId="13076" xr:uid="{00000000-0005-0000-0000-00005D570000}"/>
    <cellStyle name="Normal 3 3 3 9 6 2" xfId="30592" xr:uid="{00000000-0005-0000-0000-00005E570000}"/>
    <cellStyle name="Normal 3 3 3 9 7" xfId="13077" xr:uid="{00000000-0005-0000-0000-00005F570000}"/>
    <cellStyle name="Normal 3 3 3 9 7 2" xfId="30593" xr:uid="{00000000-0005-0000-0000-000060570000}"/>
    <cellStyle name="Normal 3 3 3 9 8" xfId="13078" xr:uid="{00000000-0005-0000-0000-000061570000}"/>
    <cellStyle name="Normal 3 3 3 9 8 2" xfId="30594" xr:uid="{00000000-0005-0000-0000-000062570000}"/>
    <cellStyle name="Normal 3 3 3 9 9" xfId="13079" xr:uid="{00000000-0005-0000-0000-000063570000}"/>
    <cellStyle name="Normal 3 3 3 9 9 2" xfId="30595" xr:uid="{00000000-0005-0000-0000-000064570000}"/>
    <cellStyle name="Normal 3 3 30" xfId="13080" xr:uid="{00000000-0005-0000-0000-000065570000}"/>
    <cellStyle name="Normal 3 3 30 10" xfId="13081" xr:uid="{00000000-0005-0000-0000-000066570000}"/>
    <cellStyle name="Normal 3 3 30 10 2" xfId="30597" xr:uid="{00000000-0005-0000-0000-000067570000}"/>
    <cellStyle name="Normal 3 3 30 11" xfId="13082" xr:uid="{00000000-0005-0000-0000-000068570000}"/>
    <cellStyle name="Normal 3 3 30 11 2" xfId="30598" xr:uid="{00000000-0005-0000-0000-000069570000}"/>
    <cellStyle name="Normal 3 3 30 12" xfId="13083" xr:uid="{00000000-0005-0000-0000-00006A570000}"/>
    <cellStyle name="Normal 3 3 30 12 2" xfId="30599" xr:uid="{00000000-0005-0000-0000-00006B570000}"/>
    <cellStyle name="Normal 3 3 30 13" xfId="13084" xr:uid="{00000000-0005-0000-0000-00006C570000}"/>
    <cellStyle name="Normal 3 3 30 13 2" xfId="30600" xr:uid="{00000000-0005-0000-0000-00006D570000}"/>
    <cellStyle name="Normal 3 3 30 14" xfId="13085" xr:uid="{00000000-0005-0000-0000-00006E570000}"/>
    <cellStyle name="Normal 3 3 30 14 2" xfId="30601" xr:uid="{00000000-0005-0000-0000-00006F570000}"/>
    <cellStyle name="Normal 3 3 30 15" xfId="30596" xr:uid="{00000000-0005-0000-0000-000070570000}"/>
    <cellStyle name="Normal 3 3 30 2" xfId="13086" xr:uid="{00000000-0005-0000-0000-000071570000}"/>
    <cellStyle name="Normal 3 3 30 2 2" xfId="30602" xr:uid="{00000000-0005-0000-0000-000072570000}"/>
    <cellStyle name="Normal 3 3 30 3" xfId="13087" xr:uid="{00000000-0005-0000-0000-000073570000}"/>
    <cellStyle name="Normal 3 3 30 3 2" xfId="30603" xr:uid="{00000000-0005-0000-0000-000074570000}"/>
    <cellStyle name="Normal 3 3 30 4" xfId="13088" xr:uid="{00000000-0005-0000-0000-000075570000}"/>
    <cellStyle name="Normal 3 3 30 4 2" xfId="30604" xr:uid="{00000000-0005-0000-0000-000076570000}"/>
    <cellStyle name="Normal 3 3 30 5" xfId="13089" xr:uid="{00000000-0005-0000-0000-000077570000}"/>
    <cellStyle name="Normal 3 3 30 5 2" xfId="30605" xr:uid="{00000000-0005-0000-0000-000078570000}"/>
    <cellStyle name="Normal 3 3 30 6" xfId="13090" xr:uid="{00000000-0005-0000-0000-000079570000}"/>
    <cellStyle name="Normal 3 3 30 6 2" xfId="30606" xr:uid="{00000000-0005-0000-0000-00007A570000}"/>
    <cellStyle name="Normal 3 3 30 7" xfId="13091" xr:uid="{00000000-0005-0000-0000-00007B570000}"/>
    <cellStyle name="Normal 3 3 30 7 2" xfId="30607" xr:uid="{00000000-0005-0000-0000-00007C570000}"/>
    <cellStyle name="Normal 3 3 30 8" xfId="13092" xr:uid="{00000000-0005-0000-0000-00007D570000}"/>
    <cellStyle name="Normal 3 3 30 8 2" xfId="30608" xr:uid="{00000000-0005-0000-0000-00007E570000}"/>
    <cellStyle name="Normal 3 3 30 9" xfId="13093" xr:uid="{00000000-0005-0000-0000-00007F570000}"/>
    <cellStyle name="Normal 3 3 30 9 2" xfId="30609" xr:uid="{00000000-0005-0000-0000-000080570000}"/>
    <cellStyle name="Normal 3 3 31" xfId="13094" xr:uid="{00000000-0005-0000-0000-000081570000}"/>
    <cellStyle name="Normal 3 3 31 10" xfId="13095" xr:uid="{00000000-0005-0000-0000-000082570000}"/>
    <cellStyle name="Normal 3 3 31 10 2" xfId="30611" xr:uid="{00000000-0005-0000-0000-000083570000}"/>
    <cellStyle name="Normal 3 3 31 11" xfId="13096" xr:uid="{00000000-0005-0000-0000-000084570000}"/>
    <cellStyle name="Normal 3 3 31 11 2" xfId="30612" xr:uid="{00000000-0005-0000-0000-000085570000}"/>
    <cellStyle name="Normal 3 3 31 12" xfId="13097" xr:uid="{00000000-0005-0000-0000-000086570000}"/>
    <cellStyle name="Normal 3 3 31 12 2" xfId="30613" xr:uid="{00000000-0005-0000-0000-000087570000}"/>
    <cellStyle name="Normal 3 3 31 13" xfId="13098" xr:uid="{00000000-0005-0000-0000-000088570000}"/>
    <cellStyle name="Normal 3 3 31 13 2" xfId="30614" xr:uid="{00000000-0005-0000-0000-000089570000}"/>
    <cellStyle name="Normal 3 3 31 14" xfId="13099" xr:uid="{00000000-0005-0000-0000-00008A570000}"/>
    <cellStyle name="Normal 3 3 31 14 2" xfId="30615" xr:uid="{00000000-0005-0000-0000-00008B570000}"/>
    <cellStyle name="Normal 3 3 31 15" xfId="30610" xr:uid="{00000000-0005-0000-0000-00008C570000}"/>
    <cellStyle name="Normal 3 3 31 2" xfId="13100" xr:uid="{00000000-0005-0000-0000-00008D570000}"/>
    <cellStyle name="Normal 3 3 31 2 2" xfId="30616" xr:uid="{00000000-0005-0000-0000-00008E570000}"/>
    <cellStyle name="Normal 3 3 31 3" xfId="13101" xr:uid="{00000000-0005-0000-0000-00008F570000}"/>
    <cellStyle name="Normal 3 3 31 3 2" xfId="30617" xr:uid="{00000000-0005-0000-0000-000090570000}"/>
    <cellStyle name="Normal 3 3 31 4" xfId="13102" xr:uid="{00000000-0005-0000-0000-000091570000}"/>
    <cellStyle name="Normal 3 3 31 4 2" xfId="30618" xr:uid="{00000000-0005-0000-0000-000092570000}"/>
    <cellStyle name="Normal 3 3 31 5" xfId="13103" xr:uid="{00000000-0005-0000-0000-000093570000}"/>
    <cellStyle name="Normal 3 3 31 5 2" xfId="30619" xr:uid="{00000000-0005-0000-0000-000094570000}"/>
    <cellStyle name="Normal 3 3 31 6" xfId="13104" xr:uid="{00000000-0005-0000-0000-000095570000}"/>
    <cellStyle name="Normal 3 3 31 6 2" xfId="30620" xr:uid="{00000000-0005-0000-0000-000096570000}"/>
    <cellStyle name="Normal 3 3 31 7" xfId="13105" xr:uid="{00000000-0005-0000-0000-000097570000}"/>
    <cellStyle name="Normal 3 3 31 7 2" xfId="30621" xr:uid="{00000000-0005-0000-0000-000098570000}"/>
    <cellStyle name="Normal 3 3 31 8" xfId="13106" xr:uid="{00000000-0005-0000-0000-000099570000}"/>
    <cellStyle name="Normal 3 3 31 8 2" xfId="30622" xr:uid="{00000000-0005-0000-0000-00009A570000}"/>
    <cellStyle name="Normal 3 3 31 9" xfId="13107" xr:uid="{00000000-0005-0000-0000-00009B570000}"/>
    <cellStyle name="Normal 3 3 31 9 2" xfId="30623" xr:uid="{00000000-0005-0000-0000-00009C570000}"/>
    <cellStyle name="Normal 3 3 32" xfId="10866" xr:uid="{00000000-0005-0000-0000-00009D570000}"/>
    <cellStyle name="Normal 3 3 4" xfId="13108" xr:uid="{00000000-0005-0000-0000-00009E570000}"/>
    <cellStyle name="Normal 3 3 4 10" xfId="13109" xr:uid="{00000000-0005-0000-0000-00009F570000}"/>
    <cellStyle name="Normal 3 3 4 10 10" xfId="13110" xr:uid="{00000000-0005-0000-0000-0000A0570000}"/>
    <cellStyle name="Normal 3 3 4 10 10 2" xfId="30626" xr:uid="{00000000-0005-0000-0000-0000A1570000}"/>
    <cellStyle name="Normal 3 3 4 10 11" xfId="13111" xr:uid="{00000000-0005-0000-0000-0000A2570000}"/>
    <cellStyle name="Normal 3 3 4 10 11 2" xfId="30627" xr:uid="{00000000-0005-0000-0000-0000A3570000}"/>
    <cellStyle name="Normal 3 3 4 10 12" xfId="13112" xr:uid="{00000000-0005-0000-0000-0000A4570000}"/>
    <cellStyle name="Normal 3 3 4 10 12 2" xfId="30628" xr:uid="{00000000-0005-0000-0000-0000A5570000}"/>
    <cellStyle name="Normal 3 3 4 10 13" xfId="13113" xr:uid="{00000000-0005-0000-0000-0000A6570000}"/>
    <cellStyle name="Normal 3 3 4 10 13 2" xfId="30629" xr:uid="{00000000-0005-0000-0000-0000A7570000}"/>
    <cellStyle name="Normal 3 3 4 10 14" xfId="13114" xr:uid="{00000000-0005-0000-0000-0000A8570000}"/>
    <cellStyle name="Normal 3 3 4 10 14 2" xfId="30630" xr:uid="{00000000-0005-0000-0000-0000A9570000}"/>
    <cellStyle name="Normal 3 3 4 10 15" xfId="30625" xr:uid="{00000000-0005-0000-0000-0000AA570000}"/>
    <cellStyle name="Normal 3 3 4 10 2" xfId="13115" xr:uid="{00000000-0005-0000-0000-0000AB570000}"/>
    <cellStyle name="Normal 3 3 4 10 2 2" xfId="30631" xr:uid="{00000000-0005-0000-0000-0000AC570000}"/>
    <cellStyle name="Normal 3 3 4 10 3" xfId="13116" xr:uid="{00000000-0005-0000-0000-0000AD570000}"/>
    <cellStyle name="Normal 3 3 4 10 3 2" xfId="30632" xr:uid="{00000000-0005-0000-0000-0000AE570000}"/>
    <cellStyle name="Normal 3 3 4 10 4" xfId="13117" xr:uid="{00000000-0005-0000-0000-0000AF570000}"/>
    <cellStyle name="Normal 3 3 4 10 4 2" xfId="30633" xr:uid="{00000000-0005-0000-0000-0000B0570000}"/>
    <cellStyle name="Normal 3 3 4 10 5" xfId="13118" xr:uid="{00000000-0005-0000-0000-0000B1570000}"/>
    <cellStyle name="Normal 3 3 4 10 5 2" xfId="30634" xr:uid="{00000000-0005-0000-0000-0000B2570000}"/>
    <cellStyle name="Normal 3 3 4 10 6" xfId="13119" xr:uid="{00000000-0005-0000-0000-0000B3570000}"/>
    <cellStyle name="Normal 3 3 4 10 6 2" xfId="30635" xr:uid="{00000000-0005-0000-0000-0000B4570000}"/>
    <cellStyle name="Normal 3 3 4 10 7" xfId="13120" xr:uid="{00000000-0005-0000-0000-0000B5570000}"/>
    <cellStyle name="Normal 3 3 4 10 7 2" xfId="30636" xr:uid="{00000000-0005-0000-0000-0000B6570000}"/>
    <cellStyle name="Normal 3 3 4 10 8" xfId="13121" xr:uid="{00000000-0005-0000-0000-0000B7570000}"/>
    <cellStyle name="Normal 3 3 4 10 8 2" xfId="30637" xr:uid="{00000000-0005-0000-0000-0000B8570000}"/>
    <cellStyle name="Normal 3 3 4 10 9" xfId="13122" xr:uid="{00000000-0005-0000-0000-0000B9570000}"/>
    <cellStyle name="Normal 3 3 4 10 9 2" xfId="30638" xr:uid="{00000000-0005-0000-0000-0000BA570000}"/>
    <cellStyle name="Normal 3 3 4 11" xfId="13123" xr:uid="{00000000-0005-0000-0000-0000BB570000}"/>
    <cellStyle name="Normal 3 3 4 11 10" xfId="13124" xr:uid="{00000000-0005-0000-0000-0000BC570000}"/>
    <cellStyle name="Normal 3 3 4 11 10 2" xfId="30640" xr:uid="{00000000-0005-0000-0000-0000BD570000}"/>
    <cellStyle name="Normal 3 3 4 11 11" xfId="13125" xr:uid="{00000000-0005-0000-0000-0000BE570000}"/>
    <cellStyle name="Normal 3 3 4 11 11 2" xfId="30641" xr:uid="{00000000-0005-0000-0000-0000BF570000}"/>
    <cellStyle name="Normal 3 3 4 11 12" xfId="13126" xr:uid="{00000000-0005-0000-0000-0000C0570000}"/>
    <cellStyle name="Normal 3 3 4 11 12 2" xfId="30642" xr:uid="{00000000-0005-0000-0000-0000C1570000}"/>
    <cellStyle name="Normal 3 3 4 11 13" xfId="13127" xr:uid="{00000000-0005-0000-0000-0000C2570000}"/>
    <cellStyle name="Normal 3 3 4 11 13 2" xfId="30643" xr:uid="{00000000-0005-0000-0000-0000C3570000}"/>
    <cellStyle name="Normal 3 3 4 11 14" xfId="13128" xr:uid="{00000000-0005-0000-0000-0000C4570000}"/>
    <cellStyle name="Normal 3 3 4 11 14 2" xfId="30644" xr:uid="{00000000-0005-0000-0000-0000C5570000}"/>
    <cellStyle name="Normal 3 3 4 11 15" xfId="30639" xr:uid="{00000000-0005-0000-0000-0000C6570000}"/>
    <cellStyle name="Normal 3 3 4 11 2" xfId="13129" xr:uid="{00000000-0005-0000-0000-0000C7570000}"/>
    <cellStyle name="Normal 3 3 4 11 2 2" xfId="30645" xr:uid="{00000000-0005-0000-0000-0000C8570000}"/>
    <cellStyle name="Normal 3 3 4 11 3" xfId="13130" xr:uid="{00000000-0005-0000-0000-0000C9570000}"/>
    <cellStyle name="Normal 3 3 4 11 3 2" xfId="30646" xr:uid="{00000000-0005-0000-0000-0000CA570000}"/>
    <cellStyle name="Normal 3 3 4 11 4" xfId="13131" xr:uid="{00000000-0005-0000-0000-0000CB570000}"/>
    <cellStyle name="Normal 3 3 4 11 4 2" xfId="30647" xr:uid="{00000000-0005-0000-0000-0000CC570000}"/>
    <cellStyle name="Normal 3 3 4 11 5" xfId="13132" xr:uid="{00000000-0005-0000-0000-0000CD570000}"/>
    <cellStyle name="Normal 3 3 4 11 5 2" xfId="30648" xr:uid="{00000000-0005-0000-0000-0000CE570000}"/>
    <cellStyle name="Normal 3 3 4 11 6" xfId="13133" xr:uid="{00000000-0005-0000-0000-0000CF570000}"/>
    <cellStyle name="Normal 3 3 4 11 6 2" xfId="30649" xr:uid="{00000000-0005-0000-0000-0000D0570000}"/>
    <cellStyle name="Normal 3 3 4 11 7" xfId="13134" xr:uid="{00000000-0005-0000-0000-0000D1570000}"/>
    <cellStyle name="Normal 3 3 4 11 7 2" xfId="30650" xr:uid="{00000000-0005-0000-0000-0000D2570000}"/>
    <cellStyle name="Normal 3 3 4 11 8" xfId="13135" xr:uid="{00000000-0005-0000-0000-0000D3570000}"/>
    <cellStyle name="Normal 3 3 4 11 8 2" xfId="30651" xr:uid="{00000000-0005-0000-0000-0000D4570000}"/>
    <cellStyle name="Normal 3 3 4 11 9" xfId="13136" xr:uid="{00000000-0005-0000-0000-0000D5570000}"/>
    <cellStyle name="Normal 3 3 4 11 9 2" xfId="30652" xr:uid="{00000000-0005-0000-0000-0000D6570000}"/>
    <cellStyle name="Normal 3 3 4 12" xfId="13137" xr:uid="{00000000-0005-0000-0000-0000D7570000}"/>
    <cellStyle name="Normal 3 3 4 12 10" xfId="13138" xr:uid="{00000000-0005-0000-0000-0000D8570000}"/>
    <cellStyle name="Normal 3 3 4 12 10 2" xfId="30654" xr:uid="{00000000-0005-0000-0000-0000D9570000}"/>
    <cellStyle name="Normal 3 3 4 12 11" xfId="13139" xr:uid="{00000000-0005-0000-0000-0000DA570000}"/>
    <cellStyle name="Normal 3 3 4 12 11 2" xfId="30655" xr:uid="{00000000-0005-0000-0000-0000DB570000}"/>
    <cellStyle name="Normal 3 3 4 12 12" xfId="13140" xr:uid="{00000000-0005-0000-0000-0000DC570000}"/>
    <cellStyle name="Normal 3 3 4 12 12 2" xfId="30656" xr:uid="{00000000-0005-0000-0000-0000DD570000}"/>
    <cellStyle name="Normal 3 3 4 12 13" xfId="13141" xr:uid="{00000000-0005-0000-0000-0000DE570000}"/>
    <cellStyle name="Normal 3 3 4 12 13 2" xfId="30657" xr:uid="{00000000-0005-0000-0000-0000DF570000}"/>
    <cellStyle name="Normal 3 3 4 12 14" xfId="13142" xr:uid="{00000000-0005-0000-0000-0000E0570000}"/>
    <cellStyle name="Normal 3 3 4 12 14 2" xfId="30658" xr:uid="{00000000-0005-0000-0000-0000E1570000}"/>
    <cellStyle name="Normal 3 3 4 12 15" xfId="30653" xr:uid="{00000000-0005-0000-0000-0000E2570000}"/>
    <cellStyle name="Normal 3 3 4 12 2" xfId="13143" xr:uid="{00000000-0005-0000-0000-0000E3570000}"/>
    <cellStyle name="Normal 3 3 4 12 2 2" xfId="30659" xr:uid="{00000000-0005-0000-0000-0000E4570000}"/>
    <cellStyle name="Normal 3 3 4 12 3" xfId="13144" xr:uid="{00000000-0005-0000-0000-0000E5570000}"/>
    <cellStyle name="Normal 3 3 4 12 3 2" xfId="30660" xr:uid="{00000000-0005-0000-0000-0000E6570000}"/>
    <cellStyle name="Normal 3 3 4 12 4" xfId="13145" xr:uid="{00000000-0005-0000-0000-0000E7570000}"/>
    <cellStyle name="Normal 3 3 4 12 4 2" xfId="30661" xr:uid="{00000000-0005-0000-0000-0000E8570000}"/>
    <cellStyle name="Normal 3 3 4 12 5" xfId="13146" xr:uid="{00000000-0005-0000-0000-0000E9570000}"/>
    <cellStyle name="Normal 3 3 4 12 5 2" xfId="30662" xr:uid="{00000000-0005-0000-0000-0000EA570000}"/>
    <cellStyle name="Normal 3 3 4 12 6" xfId="13147" xr:uid="{00000000-0005-0000-0000-0000EB570000}"/>
    <cellStyle name="Normal 3 3 4 12 6 2" xfId="30663" xr:uid="{00000000-0005-0000-0000-0000EC570000}"/>
    <cellStyle name="Normal 3 3 4 12 7" xfId="13148" xr:uid="{00000000-0005-0000-0000-0000ED570000}"/>
    <cellStyle name="Normal 3 3 4 12 7 2" xfId="30664" xr:uid="{00000000-0005-0000-0000-0000EE570000}"/>
    <cellStyle name="Normal 3 3 4 12 8" xfId="13149" xr:uid="{00000000-0005-0000-0000-0000EF570000}"/>
    <cellStyle name="Normal 3 3 4 12 8 2" xfId="30665" xr:uid="{00000000-0005-0000-0000-0000F0570000}"/>
    <cellStyle name="Normal 3 3 4 12 9" xfId="13150" xr:uid="{00000000-0005-0000-0000-0000F1570000}"/>
    <cellStyle name="Normal 3 3 4 12 9 2" xfId="30666" xr:uid="{00000000-0005-0000-0000-0000F2570000}"/>
    <cellStyle name="Normal 3 3 4 13" xfId="13151" xr:uid="{00000000-0005-0000-0000-0000F3570000}"/>
    <cellStyle name="Normal 3 3 4 13 10" xfId="13152" xr:uid="{00000000-0005-0000-0000-0000F4570000}"/>
    <cellStyle name="Normal 3 3 4 13 10 2" xfId="30668" xr:uid="{00000000-0005-0000-0000-0000F5570000}"/>
    <cellStyle name="Normal 3 3 4 13 11" xfId="13153" xr:uid="{00000000-0005-0000-0000-0000F6570000}"/>
    <cellStyle name="Normal 3 3 4 13 11 2" xfId="30669" xr:uid="{00000000-0005-0000-0000-0000F7570000}"/>
    <cellStyle name="Normal 3 3 4 13 12" xfId="13154" xr:uid="{00000000-0005-0000-0000-0000F8570000}"/>
    <cellStyle name="Normal 3 3 4 13 12 2" xfId="30670" xr:uid="{00000000-0005-0000-0000-0000F9570000}"/>
    <cellStyle name="Normal 3 3 4 13 13" xfId="13155" xr:uid="{00000000-0005-0000-0000-0000FA570000}"/>
    <cellStyle name="Normal 3 3 4 13 13 2" xfId="30671" xr:uid="{00000000-0005-0000-0000-0000FB570000}"/>
    <cellStyle name="Normal 3 3 4 13 14" xfId="13156" xr:uid="{00000000-0005-0000-0000-0000FC570000}"/>
    <cellStyle name="Normal 3 3 4 13 14 2" xfId="30672" xr:uid="{00000000-0005-0000-0000-0000FD570000}"/>
    <cellStyle name="Normal 3 3 4 13 15" xfId="30667" xr:uid="{00000000-0005-0000-0000-0000FE570000}"/>
    <cellStyle name="Normal 3 3 4 13 2" xfId="13157" xr:uid="{00000000-0005-0000-0000-0000FF570000}"/>
    <cellStyle name="Normal 3 3 4 13 2 2" xfId="30673" xr:uid="{00000000-0005-0000-0000-000000580000}"/>
    <cellStyle name="Normal 3 3 4 13 3" xfId="13158" xr:uid="{00000000-0005-0000-0000-000001580000}"/>
    <cellStyle name="Normal 3 3 4 13 3 2" xfId="30674" xr:uid="{00000000-0005-0000-0000-000002580000}"/>
    <cellStyle name="Normal 3 3 4 13 4" xfId="13159" xr:uid="{00000000-0005-0000-0000-000003580000}"/>
    <cellStyle name="Normal 3 3 4 13 4 2" xfId="30675" xr:uid="{00000000-0005-0000-0000-000004580000}"/>
    <cellStyle name="Normal 3 3 4 13 5" xfId="13160" xr:uid="{00000000-0005-0000-0000-000005580000}"/>
    <cellStyle name="Normal 3 3 4 13 5 2" xfId="30676" xr:uid="{00000000-0005-0000-0000-000006580000}"/>
    <cellStyle name="Normal 3 3 4 13 6" xfId="13161" xr:uid="{00000000-0005-0000-0000-000007580000}"/>
    <cellStyle name="Normal 3 3 4 13 6 2" xfId="30677" xr:uid="{00000000-0005-0000-0000-000008580000}"/>
    <cellStyle name="Normal 3 3 4 13 7" xfId="13162" xr:uid="{00000000-0005-0000-0000-000009580000}"/>
    <cellStyle name="Normal 3 3 4 13 7 2" xfId="30678" xr:uid="{00000000-0005-0000-0000-00000A580000}"/>
    <cellStyle name="Normal 3 3 4 13 8" xfId="13163" xr:uid="{00000000-0005-0000-0000-00000B580000}"/>
    <cellStyle name="Normal 3 3 4 13 8 2" xfId="30679" xr:uid="{00000000-0005-0000-0000-00000C580000}"/>
    <cellStyle name="Normal 3 3 4 13 9" xfId="13164" xr:uid="{00000000-0005-0000-0000-00000D580000}"/>
    <cellStyle name="Normal 3 3 4 13 9 2" xfId="30680" xr:uid="{00000000-0005-0000-0000-00000E580000}"/>
    <cellStyle name="Normal 3 3 4 14" xfId="13165" xr:uid="{00000000-0005-0000-0000-00000F580000}"/>
    <cellStyle name="Normal 3 3 4 14 10" xfId="13166" xr:uid="{00000000-0005-0000-0000-000010580000}"/>
    <cellStyle name="Normal 3 3 4 14 10 2" xfId="30682" xr:uid="{00000000-0005-0000-0000-000011580000}"/>
    <cellStyle name="Normal 3 3 4 14 11" xfId="13167" xr:uid="{00000000-0005-0000-0000-000012580000}"/>
    <cellStyle name="Normal 3 3 4 14 11 2" xfId="30683" xr:uid="{00000000-0005-0000-0000-000013580000}"/>
    <cellStyle name="Normal 3 3 4 14 12" xfId="13168" xr:uid="{00000000-0005-0000-0000-000014580000}"/>
    <cellStyle name="Normal 3 3 4 14 12 2" xfId="30684" xr:uid="{00000000-0005-0000-0000-000015580000}"/>
    <cellStyle name="Normal 3 3 4 14 13" xfId="13169" xr:uid="{00000000-0005-0000-0000-000016580000}"/>
    <cellStyle name="Normal 3 3 4 14 13 2" xfId="30685" xr:uid="{00000000-0005-0000-0000-000017580000}"/>
    <cellStyle name="Normal 3 3 4 14 14" xfId="13170" xr:uid="{00000000-0005-0000-0000-000018580000}"/>
    <cellStyle name="Normal 3 3 4 14 14 2" xfId="30686" xr:uid="{00000000-0005-0000-0000-000019580000}"/>
    <cellStyle name="Normal 3 3 4 14 15" xfId="30681" xr:uid="{00000000-0005-0000-0000-00001A580000}"/>
    <cellStyle name="Normal 3 3 4 14 2" xfId="13171" xr:uid="{00000000-0005-0000-0000-00001B580000}"/>
    <cellStyle name="Normal 3 3 4 14 2 2" xfId="30687" xr:uid="{00000000-0005-0000-0000-00001C580000}"/>
    <cellStyle name="Normal 3 3 4 14 3" xfId="13172" xr:uid="{00000000-0005-0000-0000-00001D580000}"/>
    <cellStyle name="Normal 3 3 4 14 3 2" xfId="30688" xr:uid="{00000000-0005-0000-0000-00001E580000}"/>
    <cellStyle name="Normal 3 3 4 14 4" xfId="13173" xr:uid="{00000000-0005-0000-0000-00001F580000}"/>
    <cellStyle name="Normal 3 3 4 14 4 2" xfId="30689" xr:uid="{00000000-0005-0000-0000-000020580000}"/>
    <cellStyle name="Normal 3 3 4 14 5" xfId="13174" xr:uid="{00000000-0005-0000-0000-000021580000}"/>
    <cellStyle name="Normal 3 3 4 14 5 2" xfId="30690" xr:uid="{00000000-0005-0000-0000-000022580000}"/>
    <cellStyle name="Normal 3 3 4 14 6" xfId="13175" xr:uid="{00000000-0005-0000-0000-000023580000}"/>
    <cellStyle name="Normal 3 3 4 14 6 2" xfId="30691" xr:uid="{00000000-0005-0000-0000-000024580000}"/>
    <cellStyle name="Normal 3 3 4 14 7" xfId="13176" xr:uid="{00000000-0005-0000-0000-000025580000}"/>
    <cellStyle name="Normal 3 3 4 14 7 2" xfId="30692" xr:uid="{00000000-0005-0000-0000-000026580000}"/>
    <cellStyle name="Normal 3 3 4 14 8" xfId="13177" xr:uid="{00000000-0005-0000-0000-000027580000}"/>
    <cellStyle name="Normal 3 3 4 14 8 2" xfId="30693" xr:uid="{00000000-0005-0000-0000-000028580000}"/>
    <cellStyle name="Normal 3 3 4 14 9" xfId="13178" xr:uid="{00000000-0005-0000-0000-000029580000}"/>
    <cellStyle name="Normal 3 3 4 14 9 2" xfId="30694" xr:uid="{00000000-0005-0000-0000-00002A580000}"/>
    <cellStyle name="Normal 3 3 4 15" xfId="13179" xr:uid="{00000000-0005-0000-0000-00002B580000}"/>
    <cellStyle name="Normal 3 3 4 15 2" xfId="30695" xr:uid="{00000000-0005-0000-0000-00002C580000}"/>
    <cellStyle name="Normal 3 3 4 16" xfId="13180" xr:uid="{00000000-0005-0000-0000-00002D580000}"/>
    <cellStyle name="Normal 3 3 4 16 2" xfId="30696" xr:uid="{00000000-0005-0000-0000-00002E580000}"/>
    <cellStyle name="Normal 3 3 4 17" xfId="13181" xr:uid="{00000000-0005-0000-0000-00002F580000}"/>
    <cellStyle name="Normal 3 3 4 17 2" xfId="30697" xr:uid="{00000000-0005-0000-0000-000030580000}"/>
    <cellStyle name="Normal 3 3 4 18" xfId="13182" xr:uid="{00000000-0005-0000-0000-000031580000}"/>
    <cellStyle name="Normal 3 3 4 18 2" xfId="30698" xr:uid="{00000000-0005-0000-0000-000032580000}"/>
    <cellStyle name="Normal 3 3 4 19" xfId="13183" xr:uid="{00000000-0005-0000-0000-000033580000}"/>
    <cellStyle name="Normal 3 3 4 19 2" xfId="30699" xr:uid="{00000000-0005-0000-0000-000034580000}"/>
    <cellStyle name="Normal 3 3 4 2" xfId="13184" xr:uid="{00000000-0005-0000-0000-000035580000}"/>
    <cellStyle name="Normal 3 3 4 20" xfId="13185" xr:uid="{00000000-0005-0000-0000-000036580000}"/>
    <cellStyle name="Normal 3 3 4 20 2" xfId="30700" xr:uid="{00000000-0005-0000-0000-000037580000}"/>
    <cellStyle name="Normal 3 3 4 21" xfId="13186" xr:uid="{00000000-0005-0000-0000-000038580000}"/>
    <cellStyle name="Normal 3 3 4 21 2" xfId="30701" xr:uid="{00000000-0005-0000-0000-000039580000}"/>
    <cellStyle name="Normal 3 3 4 22" xfId="13187" xr:uid="{00000000-0005-0000-0000-00003A580000}"/>
    <cellStyle name="Normal 3 3 4 22 2" xfId="30702" xr:uid="{00000000-0005-0000-0000-00003B580000}"/>
    <cellStyle name="Normal 3 3 4 23" xfId="13188" xr:uid="{00000000-0005-0000-0000-00003C580000}"/>
    <cellStyle name="Normal 3 3 4 23 2" xfId="30703" xr:uid="{00000000-0005-0000-0000-00003D580000}"/>
    <cellStyle name="Normal 3 3 4 24" xfId="13189" xr:uid="{00000000-0005-0000-0000-00003E580000}"/>
    <cellStyle name="Normal 3 3 4 24 2" xfId="30704" xr:uid="{00000000-0005-0000-0000-00003F580000}"/>
    <cellStyle name="Normal 3 3 4 25" xfId="13190" xr:uid="{00000000-0005-0000-0000-000040580000}"/>
    <cellStyle name="Normal 3 3 4 25 2" xfId="30705" xr:uid="{00000000-0005-0000-0000-000041580000}"/>
    <cellStyle name="Normal 3 3 4 26" xfId="13191" xr:uid="{00000000-0005-0000-0000-000042580000}"/>
    <cellStyle name="Normal 3 3 4 26 2" xfId="30706" xr:uid="{00000000-0005-0000-0000-000043580000}"/>
    <cellStyle name="Normal 3 3 4 27" xfId="13192" xr:uid="{00000000-0005-0000-0000-000044580000}"/>
    <cellStyle name="Normal 3 3 4 27 2" xfId="30707" xr:uid="{00000000-0005-0000-0000-000045580000}"/>
    <cellStyle name="Normal 3 3 4 28" xfId="30624" xr:uid="{00000000-0005-0000-0000-000046580000}"/>
    <cellStyle name="Normal 3 3 4 3" xfId="13193" xr:uid="{00000000-0005-0000-0000-000047580000}"/>
    <cellStyle name="Normal 3 3 4 4" xfId="13194" xr:uid="{00000000-0005-0000-0000-000048580000}"/>
    <cellStyle name="Normal 3 3 4 5" xfId="13195" xr:uid="{00000000-0005-0000-0000-000049580000}"/>
    <cellStyle name="Normal 3 3 4 6" xfId="13196" xr:uid="{00000000-0005-0000-0000-00004A580000}"/>
    <cellStyle name="Normal 3 3 4 6 10" xfId="13197" xr:uid="{00000000-0005-0000-0000-00004B580000}"/>
    <cellStyle name="Normal 3 3 4 6 10 2" xfId="30709" xr:uid="{00000000-0005-0000-0000-00004C580000}"/>
    <cellStyle name="Normal 3 3 4 6 11" xfId="13198" xr:uid="{00000000-0005-0000-0000-00004D580000}"/>
    <cellStyle name="Normal 3 3 4 6 11 2" xfId="30710" xr:uid="{00000000-0005-0000-0000-00004E580000}"/>
    <cellStyle name="Normal 3 3 4 6 12" xfId="13199" xr:uid="{00000000-0005-0000-0000-00004F580000}"/>
    <cellStyle name="Normal 3 3 4 6 12 2" xfId="30711" xr:uid="{00000000-0005-0000-0000-000050580000}"/>
    <cellStyle name="Normal 3 3 4 6 13" xfId="13200" xr:uid="{00000000-0005-0000-0000-000051580000}"/>
    <cellStyle name="Normal 3 3 4 6 13 2" xfId="30712" xr:uid="{00000000-0005-0000-0000-000052580000}"/>
    <cellStyle name="Normal 3 3 4 6 14" xfId="13201" xr:uid="{00000000-0005-0000-0000-000053580000}"/>
    <cellStyle name="Normal 3 3 4 6 14 2" xfId="30713" xr:uid="{00000000-0005-0000-0000-000054580000}"/>
    <cellStyle name="Normal 3 3 4 6 15" xfId="13202" xr:uid="{00000000-0005-0000-0000-000055580000}"/>
    <cellStyle name="Normal 3 3 4 6 15 2" xfId="30714" xr:uid="{00000000-0005-0000-0000-000056580000}"/>
    <cellStyle name="Normal 3 3 4 6 16" xfId="30708" xr:uid="{00000000-0005-0000-0000-000057580000}"/>
    <cellStyle name="Normal 3 3 4 6 2" xfId="13203" xr:uid="{00000000-0005-0000-0000-000058580000}"/>
    <cellStyle name="Normal 3 3 4 6 2 10" xfId="13204" xr:uid="{00000000-0005-0000-0000-000059580000}"/>
    <cellStyle name="Normal 3 3 4 6 2 10 2" xfId="30716" xr:uid="{00000000-0005-0000-0000-00005A580000}"/>
    <cellStyle name="Normal 3 3 4 6 2 11" xfId="13205" xr:uid="{00000000-0005-0000-0000-00005B580000}"/>
    <cellStyle name="Normal 3 3 4 6 2 11 2" xfId="30717" xr:uid="{00000000-0005-0000-0000-00005C580000}"/>
    <cellStyle name="Normal 3 3 4 6 2 12" xfId="13206" xr:uid="{00000000-0005-0000-0000-00005D580000}"/>
    <cellStyle name="Normal 3 3 4 6 2 12 2" xfId="30718" xr:uid="{00000000-0005-0000-0000-00005E580000}"/>
    <cellStyle name="Normal 3 3 4 6 2 13" xfId="13207" xr:uid="{00000000-0005-0000-0000-00005F580000}"/>
    <cellStyle name="Normal 3 3 4 6 2 13 2" xfId="30719" xr:uid="{00000000-0005-0000-0000-000060580000}"/>
    <cellStyle name="Normal 3 3 4 6 2 14" xfId="13208" xr:uid="{00000000-0005-0000-0000-000061580000}"/>
    <cellStyle name="Normal 3 3 4 6 2 14 2" xfId="30720" xr:uid="{00000000-0005-0000-0000-000062580000}"/>
    <cellStyle name="Normal 3 3 4 6 2 15" xfId="30715" xr:uid="{00000000-0005-0000-0000-000063580000}"/>
    <cellStyle name="Normal 3 3 4 6 2 2" xfId="13209" xr:uid="{00000000-0005-0000-0000-000064580000}"/>
    <cellStyle name="Normal 3 3 4 6 2 2 2" xfId="30721" xr:uid="{00000000-0005-0000-0000-000065580000}"/>
    <cellStyle name="Normal 3 3 4 6 2 3" xfId="13210" xr:uid="{00000000-0005-0000-0000-000066580000}"/>
    <cellStyle name="Normal 3 3 4 6 2 3 2" xfId="30722" xr:uid="{00000000-0005-0000-0000-000067580000}"/>
    <cellStyle name="Normal 3 3 4 6 2 4" xfId="13211" xr:uid="{00000000-0005-0000-0000-000068580000}"/>
    <cellStyle name="Normal 3 3 4 6 2 4 2" xfId="30723" xr:uid="{00000000-0005-0000-0000-000069580000}"/>
    <cellStyle name="Normal 3 3 4 6 2 5" xfId="13212" xr:uid="{00000000-0005-0000-0000-00006A580000}"/>
    <cellStyle name="Normal 3 3 4 6 2 5 2" xfId="30724" xr:uid="{00000000-0005-0000-0000-00006B580000}"/>
    <cellStyle name="Normal 3 3 4 6 2 6" xfId="13213" xr:uid="{00000000-0005-0000-0000-00006C580000}"/>
    <cellStyle name="Normal 3 3 4 6 2 6 2" xfId="30725" xr:uid="{00000000-0005-0000-0000-00006D580000}"/>
    <cellStyle name="Normal 3 3 4 6 2 7" xfId="13214" xr:uid="{00000000-0005-0000-0000-00006E580000}"/>
    <cellStyle name="Normal 3 3 4 6 2 7 2" xfId="30726" xr:uid="{00000000-0005-0000-0000-00006F580000}"/>
    <cellStyle name="Normal 3 3 4 6 2 8" xfId="13215" xr:uid="{00000000-0005-0000-0000-000070580000}"/>
    <cellStyle name="Normal 3 3 4 6 2 8 2" xfId="30727" xr:uid="{00000000-0005-0000-0000-000071580000}"/>
    <cellStyle name="Normal 3 3 4 6 2 9" xfId="13216" xr:uid="{00000000-0005-0000-0000-000072580000}"/>
    <cellStyle name="Normal 3 3 4 6 2 9 2" xfId="30728" xr:uid="{00000000-0005-0000-0000-000073580000}"/>
    <cellStyle name="Normal 3 3 4 6 3" xfId="13217" xr:uid="{00000000-0005-0000-0000-000074580000}"/>
    <cellStyle name="Normal 3 3 4 6 3 2" xfId="30729" xr:uid="{00000000-0005-0000-0000-000075580000}"/>
    <cellStyle name="Normal 3 3 4 6 4" xfId="13218" xr:uid="{00000000-0005-0000-0000-000076580000}"/>
    <cellStyle name="Normal 3 3 4 6 4 2" xfId="30730" xr:uid="{00000000-0005-0000-0000-000077580000}"/>
    <cellStyle name="Normal 3 3 4 6 5" xfId="13219" xr:uid="{00000000-0005-0000-0000-000078580000}"/>
    <cellStyle name="Normal 3 3 4 6 5 2" xfId="30731" xr:uid="{00000000-0005-0000-0000-000079580000}"/>
    <cellStyle name="Normal 3 3 4 6 6" xfId="13220" xr:uid="{00000000-0005-0000-0000-00007A580000}"/>
    <cellStyle name="Normal 3 3 4 6 6 2" xfId="30732" xr:uid="{00000000-0005-0000-0000-00007B580000}"/>
    <cellStyle name="Normal 3 3 4 6 7" xfId="13221" xr:uid="{00000000-0005-0000-0000-00007C580000}"/>
    <cellStyle name="Normal 3 3 4 6 7 2" xfId="30733" xr:uid="{00000000-0005-0000-0000-00007D580000}"/>
    <cellStyle name="Normal 3 3 4 6 8" xfId="13222" xr:uid="{00000000-0005-0000-0000-00007E580000}"/>
    <cellStyle name="Normal 3 3 4 6 8 2" xfId="30734" xr:uid="{00000000-0005-0000-0000-00007F580000}"/>
    <cellStyle name="Normal 3 3 4 6 9" xfId="13223" xr:uid="{00000000-0005-0000-0000-000080580000}"/>
    <cellStyle name="Normal 3 3 4 6 9 2" xfId="30735" xr:uid="{00000000-0005-0000-0000-000081580000}"/>
    <cellStyle name="Normal 3 3 4 7" xfId="13224" xr:uid="{00000000-0005-0000-0000-000082580000}"/>
    <cellStyle name="Normal 3 3 4 7 10" xfId="13225" xr:uid="{00000000-0005-0000-0000-000083580000}"/>
    <cellStyle name="Normal 3 3 4 7 10 2" xfId="30737" xr:uid="{00000000-0005-0000-0000-000084580000}"/>
    <cellStyle name="Normal 3 3 4 7 11" xfId="13226" xr:uid="{00000000-0005-0000-0000-000085580000}"/>
    <cellStyle name="Normal 3 3 4 7 11 2" xfId="30738" xr:uid="{00000000-0005-0000-0000-000086580000}"/>
    <cellStyle name="Normal 3 3 4 7 12" xfId="13227" xr:uid="{00000000-0005-0000-0000-000087580000}"/>
    <cellStyle name="Normal 3 3 4 7 12 2" xfId="30739" xr:uid="{00000000-0005-0000-0000-000088580000}"/>
    <cellStyle name="Normal 3 3 4 7 13" xfId="13228" xr:uid="{00000000-0005-0000-0000-000089580000}"/>
    <cellStyle name="Normal 3 3 4 7 13 2" xfId="30740" xr:uid="{00000000-0005-0000-0000-00008A580000}"/>
    <cellStyle name="Normal 3 3 4 7 14" xfId="13229" xr:uid="{00000000-0005-0000-0000-00008B580000}"/>
    <cellStyle name="Normal 3 3 4 7 14 2" xfId="30741" xr:uid="{00000000-0005-0000-0000-00008C580000}"/>
    <cellStyle name="Normal 3 3 4 7 15" xfId="13230" xr:uid="{00000000-0005-0000-0000-00008D580000}"/>
    <cellStyle name="Normal 3 3 4 7 15 2" xfId="30742" xr:uid="{00000000-0005-0000-0000-00008E580000}"/>
    <cellStyle name="Normal 3 3 4 7 16" xfId="30736" xr:uid="{00000000-0005-0000-0000-00008F580000}"/>
    <cellStyle name="Normal 3 3 4 7 2" xfId="13231" xr:uid="{00000000-0005-0000-0000-000090580000}"/>
    <cellStyle name="Normal 3 3 4 7 2 10" xfId="13232" xr:uid="{00000000-0005-0000-0000-000091580000}"/>
    <cellStyle name="Normal 3 3 4 7 2 10 2" xfId="30744" xr:uid="{00000000-0005-0000-0000-000092580000}"/>
    <cellStyle name="Normal 3 3 4 7 2 11" xfId="13233" xr:uid="{00000000-0005-0000-0000-000093580000}"/>
    <cellStyle name="Normal 3 3 4 7 2 11 2" xfId="30745" xr:uid="{00000000-0005-0000-0000-000094580000}"/>
    <cellStyle name="Normal 3 3 4 7 2 12" xfId="13234" xr:uid="{00000000-0005-0000-0000-000095580000}"/>
    <cellStyle name="Normal 3 3 4 7 2 12 2" xfId="30746" xr:uid="{00000000-0005-0000-0000-000096580000}"/>
    <cellStyle name="Normal 3 3 4 7 2 13" xfId="13235" xr:uid="{00000000-0005-0000-0000-000097580000}"/>
    <cellStyle name="Normal 3 3 4 7 2 13 2" xfId="30747" xr:uid="{00000000-0005-0000-0000-000098580000}"/>
    <cellStyle name="Normal 3 3 4 7 2 14" xfId="13236" xr:uid="{00000000-0005-0000-0000-000099580000}"/>
    <cellStyle name="Normal 3 3 4 7 2 14 2" xfId="30748" xr:uid="{00000000-0005-0000-0000-00009A580000}"/>
    <cellStyle name="Normal 3 3 4 7 2 15" xfId="30743" xr:uid="{00000000-0005-0000-0000-00009B580000}"/>
    <cellStyle name="Normal 3 3 4 7 2 2" xfId="13237" xr:uid="{00000000-0005-0000-0000-00009C580000}"/>
    <cellStyle name="Normal 3 3 4 7 2 2 2" xfId="30749" xr:uid="{00000000-0005-0000-0000-00009D580000}"/>
    <cellStyle name="Normal 3 3 4 7 2 3" xfId="13238" xr:uid="{00000000-0005-0000-0000-00009E580000}"/>
    <cellStyle name="Normal 3 3 4 7 2 3 2" xfId="30750" xr:uid="{00000000-0005-0000-0000-00009F580000}"/>
    <cellStyle name="Normal 3 3 4 7 2 4" xfId="13239" xr:uid="{00000000-0005-0000-0000-0000A0580000}"/>
    <cellStyle name="Normal 3 3 4 7 2 4 2" xfId="30751" xr:uid="{00000000-0005-0000-0000-0000A1580000}"/>
    <cellStyle name="Normal 3 3 4 7 2 5" xfId="13240" xr:uid="{00000000-0005-0000-0000-0000A2580000}"/>
    <cellStyle name="Normal 3 3 4 7 2 5 2" xfId="30752" xr:uid="{00000000-0005-0000-0000-0000A3580000}"/>
    <cellStyle name="Normal 3 3 4 7 2 6" xfId="13241" xr:uid="{00000000-0005-0000-0000-0000A4580000}"/>
    <cellStyle name="Normal 3 3 4 7 2 6 2" xfId="30753" xr:uid="{00000000-0005-0000-0000-0000A5580000}"/>
    <cellStyle name="Normal 3 3 4 7 2 7" xfId="13242" xr:uid="{00000000-0005-0000-0000-0000A6580000}"/>
    <cellStyle name="Normal 3 3 4 7 2 7 2" xfId="30754" xr:uid="{00000000-0005-0000-0000-0000A7580000}"/>
    <cellStyle name="Normal 3 3 4 7 2 8" xfId="13243" xr:uid="{00000000-0005-0000-0000-0000A8580000}"/>
    <cellStyle name="Normal 3 3 4 7 2 8 2" xfId="30755" xr:uid="{00000000-0005-0000-0000-0000A9580000}"/>
    <cellStyle name="Normal 3 3 4 7 2 9" xfId="13244" xr:uid="{00000000-0005-0000-0000-0000AA580000}"/>
    <cellStyle name="Normal 3 3 4 7 2 9 2" xfId="30756" xr:uid="{00000000-0005-0000-0000-0000AB580000}"/>
    <cellStyle name="Normal 3 3 4 7 3" xfId="13245" xr:uid="{00000000-0005-0000-0000-0000AC580000}"/>
    <cellStyle name="Normal 3 3 4 7 3 2" xfId="30757" xr:uid="{00000000-0005-0000-0000-0000AD580000}"/>
    <cellStyle name="Normal 3 3 4 7 4" xfId="13246" xr:uid="{00000000-0005-0000-0000-0000AE580000}"/>
    <cellStyle name="Normal 3 3 4 7 4 2" xfId="30758" xr:uid="{00000000-0005-0000-0000-0000AF580000}"/>
    <cellStyle name="Normal 3 3 4 7 5" xfId="13247" xr:uid="{00000000-0005-0000-0000-0000B0580000}"/>
    <cellStyle name="Normal 3 3 4 7 5 2" xfId="30759" xr:uid="{00000000-0005-0000-0000-0000B1580000}"/>
    <cellStyle name="Normal 3 3 4 7 6" xfId="13248" xr:uid="{00000000-0005-0000-0000-0000B2580000}"/>
    <cellStyle name="Normal 3 3 4 7 6 2" xfId="30760" xr:uid="{00000000-0005-0000-0000-0000B3580000}"/>
    <cellStyle name="Normal 3 3 4 7 7" xfId="13249" xr:uid="{00000000-0005-0000-0000-0000B4580000}"/>
    <cellStyle name="Normal 3 3 4 7 7 2" xfId="30761" xr:uid="{00000000-0005-0000-0000-0000B5580000}"/>
    <cellStyle name="Normal 3 3 4 7 8" xfId="13250" xr:uid="{00000000-0005-0000-0000-0000B6580000}"/>
    <cellStyle name="Normal 3 3 4 7 8 2" xfId="30762" xr:uid="{00000000-0005-0000-0000-0000B7580000}"/>
    <cellStyle name="Normal 3 3 4 7 9" xfId="13251" xr:uid="{00000000-0005-0000-0000-0000B8580000}"/>
    <cellStyle name="Normal 3 3 4 7 9 2" xfId="30763" xr:uid="{00000000-0005-0000-0000-0000B9580000}"/>
    <cellStyle name="Normal 3 3 4 8" xfId="13252" xr:uid="{00000000-0005-0000-0000-0000BA580000}"/>
    <cellStyle name="Normal 3 3 4 8 10" xfId="13253" xr:uid="{00000000-0005-0000-0000-0000BB580000}"/>
    <cellStyle name="Normal 3 3 4 8 10 2" xfId="30765" xr:uid="{00000000-0005-0000-0000-0000BC580000}"/>
    <cellStyle name="Normal 3 3 4 8 11" xfId="13254" xr:uid="{00000000-0005-0000-0000-0000BD580000}"/>
    <cellStyle name="Normal 3 3 4 8 11 2" xfId="30766" xr:uid="{00000000-0005-0000-0000-0000BE580000}"/>
    <cellStyle name="Normal 3 3 4 8 12" xfId="13255" xr:uid="{00000000-0005-0000-0000-0000BF580000}"/>
    <cellStyle name="Normal 3 3 4 8 12 2" xfId="30767" xr:uid="{00000000-0005-0000-0000-0000C0580000}"/>
    <cellStyle name="Normal 3 3 4 8 13" xfId="13256" xr:uid="{00000000-0005-0000-0000-0000C1580000}"/>
    <cellStyle name="Normal 3 3 4 8 13 2" xfId="30768" xr:uid="{00000000-0005-0000-0000-0000C2580000}"/>
    <cellStyle name="Normal 3 3 4 8 14" xfId="13257" xr:uid="{00000000-0005-0000-0000-0000C3580000}"/>
    <cellStyle name="Normal 3 3 4 8 14 2" xfId="30769" xr:uid="{00000000-0005-0000-0000-0000C4580000}"/>
    <cellStyle name="Normal 3 3 4 8 15" xfId="13258" xr:uid="{00000000-0005-0000-0000-0000C5580000}"/>
    <cellStyle name="Normal 3 3 4 8 15 2" xfId="30770" xr:uid="{00000000-0005-0000-0000-0000C6580000}"/>
    <cellStyle name="Normal 3 3 4 8 16" xfId="30764" xr:uid="{00000000-0005-0000-0000-0000C7580000}"/>
    <cellStyle name="Normal 3 3 4 8 2" xfId="13259" xr:uid="{00000000-0005-0000-0000-0000C8580000}"/>
    <cellStyle name="Normal 3 3 4 8 2 10" xfId="13260" xr:uid="{00000000-0005-0000-0000-0000C9580000}"/>
    <cellStyle name="Normal 3 3 4 8 2 10 2" xfId="30772" xr:uid="{00000000-0005-0000-0000-0000CA580000}"/>
    <cellStyle name="Normal 3 3 4 8 2 11" xfId="13261" xr:uid="{00000000-0005-0000-0000-0000CB580000}"/>
    <cellStyle name="Normal 3 3 4 8 2 11 2" xfId="30773" xr:uid="{00000000-0005-0000-0000-0000CC580000}"/>
    <cellStyle name="Normal 3 3 4 8 2 12" xfId="13262" xr:uid="{00000000-0005-0000-0000-0000CD580000}"/>
    <cellStyle name="Normal 3 3 4 8 2 12 2" xfId="30774" xr:uid="{00000000-0005-0000-0000-0000CE580000}"/>
    <cellStyle name="Normal 3 3 4 8 2 13" xfId="13263" xr:uid="{00000000-0005-0000-0000-0000CF580000}"/>
    <cellStyle name="Normal 3 3 4 8 2 13 2" xfId="30775" xr:uid="{00000000-0005-0000-0000-0000D0580000}"/>
    <cellStyle name="Normal 3 3 4 8 2 14" xfId="13264" xr:uid="{00000000-0005-0000-0000-0000D1580000}"/>
    <cellStyle name="Normal 3 3 4 8 2 14 2" xfId="30776" xr:uid="{00000000-0005-0000-0000-0000D2580000}"/>
    <cellStyle name="Normal 3 3 4 8 2 15" xfId="30771" xr:uid="{00000000-0005-0000-0000-0000D3580000}"/>
    <cellStyle name="Normal 3 3 4 8 2 2" xfId="13265" xr:uid="{00000000-0005-0000-0000-0000D4580000}"/>
    <cellStyle name="Normal 3 3 4 8 2 2 2" xfId="30777" xr:uid="{00000000-0005-0000-0000-0000D5580000}"/>
    <cellStyle name="Normal 3 3 4 8 2 3" xfId="13266" xr:uid="{00000000-0005-0000-0000-0000D6580000}"/>
    <cellStyle name="Normal 3 3 4 8 2 3 2" xfId="30778" xr:uid="{00000000-0005-0000-0000-0000D7580000}"/>
    <cellStyle name="Normal 3 3 4 8 2 4" xfId="13267" xr:uid="{00000000-0005-0000-0000-0000D8580000}"/>
    <cellStyle name="Normal 3 3 4 8 2 4 2" xfId="30779" xr:uid="{00000000-0005-0000-0000-0000D9580000}"/>
    <cellStyle name="Normal 3 3 4 8 2 5" xfId="13268" xr:uid="{00000000-0005-0000-0000-0000DA580000}"/>
    <cellStyle name="Normal 3 3 4 8 2 5 2" xfId="30780" xr:uid="{00000000-0005-0000-0000-0000DB580000}"/>
    <cellStyle name="Normal 3 3 4 8 2 6" xfId="13269" xr:uid="{00000000-0005-0000-0000-0000DC580000}"/>
    <cellStyle name="Normal 3 3 4 8 2 6 2" xfId="30781" xr:uid="{00000000-0005-0000-0000-0000DD580000}"/>
    <cellStyle name="Normal 3 3 4 8 2 7" xfId="13270" xr:uid="{00000000-0005-0000-0000-0000DE580000}"/>
    <cellStyle name="Normal 3 3 4 8 2 7 2" xfId="30782" xr:uid="{00000000-0005-0000-0000-0000DF580000}"/>
    <cellStyle name="Normal 3 3 4 8 2 8" xfId="13271" xr:uid="{00000000-0005-0000-0000-0000E0580000}"/>
    <cellStyle name="Normal 3 3 4 8 2 8 2" xfId="30783" xr:uid="{00000000-0005-0000-0000-0000E1580000}"/>
    <cellStyle name="Normal 3 3 4 8 2 9" xfId="13272" xr:uid="{00000000-0005-0000-0000-0000E2580000}"/>
    <cellStyle name="Normal 3 3 4 8 2 9 2" xfId="30784" xr:uid="{00000000-0005-0000-0000-0000E3580000}"/>
    <cellStyle name="Normal 3 3 4 8 3" xfId="13273" xr:uid="{00000000-0005-0000-0000-0000E4580000}"/>
    <cellStyle name="Normal 3 3 4 8 3 2" xfId="30785" xr:uid="{00000000-0005-0000-0000-0000E5580000}"/>
    <cellStyle name="Normal 3 3 4 8 4" xfId="13274" xr:uid="{00000000-0005-0000-0000-0000E6580000}"/>
    <cellStyle name="Normal 3 3 4 8 4 2" xfId="30786" xr:uid="{00000000-0005-0000-0000-0000E7580000}"/>
    <cellStyle name="Normal 3 3 4 8 5" xfId="13275" xr:uid="{00000000-0005-0000-0000-0000E8580000}"/>
    <cellStyle name="Normal 3 3 4 8 5 2" xfId="30787" xr:uid="{00000000-0005-0000-0000-0000E9580000}"/>
    <cellStyle name="Normal 3 3 4 8 6" xfId="13276" xr:uid="{00000000-0005-0000-0000-0000EA580000}"/>
    <cellStyle name="Normal 3 3 4 8 6 2" xfId="30788" xr:uid="{00000000-0005-0000-0000-0000EB580000}"/>
    <cellStyle name="Normal 3 3 4 8 7" xfId="13277" xr:uid="{00000000-0005-0000-0000-0000EC580000}"/>
    <cellStyle name="Normal 3 3 4 8 7 2" xfId="30789" xr:uid="{00000000-0005-0000-0000-0000ED580000}"/>
    <cellStyle name="Normal 3 3 4 8 8" xfId="13278" xr:uid="{00000000-0005-0000-0000-0000EE580000}"/>
    <cellStyle name="Normal 3 3 4 8 8 2" xfId="30790" xr:uid="{00000000-0005-0000-0000-0000EF580000}"/>
    <cellStyle name="Normal 3 3 4 8 9" xfId="13279" xr:uid="{00000000-0005-0000-0000-0000F0580000}"/>
    <cellStyle name="Normal 3 3 4 8 9 2" xfId="30791" xr:uid="{00000000-0005-0000-0000-0000F1580000}"/>
    <cellStyle name="Normal 3 3 4 9" xfId="13280" xr:uid="{00000000-0005-0000-0000-0000F2580000}"/>
    <cellStyle name="Normal 3 3 4 9 10" xfId="13281" xr:uid="{00000000-0005-0000-0000-0000F3580000}"/>
    <cellStyle name="Normal 3 3 4 9 10 2" xfId="30793" xr:uid="{00000000-0005-0000-0000-0000F4580000}"/>
    <cellStyle name="Normal 3 3 4 9 11" xfId="13282" xr:uid="{00000000-0005-0000-0000-0000F5580000}"/>
    <cellStyle name="Normal 3 3 4 9 11 2" xfId="30794" xr:uid="{00000000-0005-0000-0000-0000F6580000}"/>
    <cellStyle name="Normal 3 3 4 9 12" xfId="13283" xr:uid="{00000000-0005-0000-0000-0000F7580000}"/>
    <cellStyle name="Normal 3 3 4 9 12 2" xfId="30795" xr:uid="{00000000-0005-0000-0000-0000F8580000}"/>
    <cellStyle name="Normal 3 3 4 9 13" xfId="13284" xr:uid="{00000000-0005-0000-0000-0000F9580000}"/>
    <cellStyle name="Normal 3 3 4 9 13 2" xfId="30796" xr:uid="{00000000-0005-0000-0000-0000FA580000}"/>
    <cellStyle name="Normal 3 3 4 9 14" xfId="13285" xr:uid="{00000000-0005-0000-0000-0000FB580000}"/>
    <cellStyle name="Normal 3 3 4 9 14 2" xfId="30797" xr:uid="{00000000-0005-0000-0000-0000FC580000}"/>
    <cellStyle name="Normal 3 3 4 9 15" xfId="30792" xr:uid="{00000000-0005-0000-0000-0000FD580000}"/>
    <cellStyle name="Normal 3 3 4 9 2" xfId="13286" xr:uid="{00000000-0005-0000-0000-0000FE580000}"/>
    <cellStyle name="Normal 3 3 4 9 2 2" xfId="30798" xr:uid="{00000000-0005-0000-0000-0000FF580000}"/>
    <cellStyle name="Normal 3 3 4 9 3" xfId="13287" xr:uid="{00000000-0005-0000-0000-000000590000}"/>
    <cellStyle name="Normal 3 3 4 9 3 2" xfId="30799" xr:uid="{00000000-0005-0000-0000-000001590000}"/>
    <cellStyle name="Normal 3 3 4 9 4" xfId="13288" xr:uid="{00000000-0005-0000-0000-000002590000}"/>
    <cellStyle name="Normal 3 3 4 9 4 2" xfId="30800" xr:uid="{00000000-0005-0000-0000-000003590000}"/>
    <cellStyle name="Normal 3 3 4 9 5" xfId="13289" xr:uid="{00000000-0005-0000-0000-000004590000}"/>
    <cellStyle name="Normal 3 3 4 9 5 2" xfId="30801" xr:uid="{00000000-0005-0000-0000-000005590000}"/>
    <cellStyle name="Normal 3 3 4 9 6" xfId="13290" xr:uid="{00000000-0005-0000-0000-000006590000}"/>
    <cellStyle name="Normal 3 3 4 9 6 2" xfId="30802" xr:uid="{00000000-0005-0000-0000-000007590000}"/>
    <cellStyle name="Normal 3 3 4 9 7" xfId="13291" xr:uid="{00000000-0005-0000-0000-000008590000}"/>
    <cellStyle name="Normal 3 3 4 9 7 2" xfId="30803" xr:uid="{00000000-0005-0000-0000-000009590000}"/>
    <cellStyle name="Normal 3 3 4 9 8" xfId="13292" xr:uid="{00000000-0005-0000-0000-00000A590000}"/>
    <cellStyle name="Normal 3 3 4 9 8 2" xfId="30804" xr:uid="{00000000-0005-0000-0000-00000B590000}"/>
    <cellStyle name="Normal 3 3 4 9 9" xfId="13293" xr:uid="{00000000-0005-0000-0000-00000C590000}"/>
    <cellStyle name="Normal 3 3 4 9 9 2" xfId="30805" xr:uid="{00000000-0005-0000-0000-00000D590000}"/>
    <cellStyle name="Normal 3 3 5" xfId="13294" xr:uid="{00000000-0005-0000-0000-00000E590000}"/>
    <cellStyle name="Normal 3 3 5 10" xfId="13295" xr:uid="{00000000-0005-0000-0000-00000F590000}"/>
    <cellStyle name="Normal 3 3 5 10 10" xfId="13296" xr:uid="{00000000-0005-0000-0000-000010590000}"/>
    <cellStyle name="Normal 3 3 5 10 10 2" xfId="30808" xr:uid="{00000000-0005-0000-0000-000011590000}"/>
    <cellStyle name="Normal 3 3 5 10 11" xfId="13297" xr:uid="{00000000-0005-0000-0000-000012590000}"/>
    <cellStyle name="Normal 3 3 5 10 11 2" xfId="30809" xr:uid="{00000000-0005-0000-0000-000013590000}"/>
    <cellStyle name="Normal 3 3 5 10 12" xfId="13298" xr:uid="{00000000-0005-0000-0000-000014590000}"/>
    <cellStyle name="Normal 3 3 5 10 12 2" xfId="30810" xr:uid="{00000000-0005-0000-0000-000015590000}"/>
    <cellStyle name="Normal 3 3 5 10 13" xfId="13299" xr:uid="{00000000-0005-0000-0000-000016590000}"/>
    <cellStyle name="Normal 3 3 5 10 13 2" xfId="30811" xr:uid="{00000000-0005-0000-0000-000017590000}"/>
    <cellStyle name="Normal 3 3 5 10 14" xfId="13300" xr:uid="{00000000-0005-0000-0000-000018590000}"/>
    <cellStyle name="Normal 3 3 5 10 14 2" xfId="30812" xr:uid="{00000000-0005-0000-0000-000019590000}"/>
    <cellStyle name="Normal 3 3 5 10 15" xfId="30807" xr:uid="{00000000-0005-0000-0000-00001A590000}"/>
    <cellStyle name="Normal 3 3 5 10 2" xfId="13301" xr:uid="{00000000-0005-0000-0000-00001B590000}"/>
    <cellStyle name="Normal 3 3 5 10 2 2" xfId="30813" xr:uid="{00000000-0005-0000-0000-00001C590000}"/>
    <cellStyle name="Normal 3 3 5 10 3" xfId="13302" xr:uid="{00000000-0005-0000-0000-00001D590000}"/>
    <cellStyle name="Normal 3 3 5 10 3 2" xfId="30814" xr:uid="{00000000-0005-0000-0000-00001E590000}"/>
    <cellStyle name="Normal 3 3 5 10 4" xfId="13303" xr:uid="{00000000-0005-0000-0000-00001F590000}"/>
    <cellStyle name="Normal 3 3 5 10 4 2" xfId="30815" xr:uid="{00000000-0005-0000-0000-000020590000}"/>
    <cellStyle name="Normal 3 3 5 10 5" xfId="13304" xr:uid="{00000000-0005-0000-0000-000021590000}"/>
    <cellStyle name="Normal 3 3 5 10 5 2" xfId="30816" xr:uid="{00000000-0005-0000-0000-000022590000}"/>
    <cellStyle name="Normal 3 3 5 10 6" xfId="13305" xr:uid="{00000000-0005-0000-0000-000023590000}"/>
    <cellStyle name="Normal 3 3 5 10 6 2" xfId="30817" xr:uid="{00000000-0005-0000-0000-000024590000}"/>
    <cellStyle name="Normal 3 3 5 10 7" xfId="13306" xr:uid="{00000000-0005-0000-0000-000025590000}"/>
    <cellStyle name="Normal 3 3 5 10 7 2" xfId="30818" xr:uid="{00000000-0005-0000-0000-000026590000}"/>
    <cellStyle name="Normal 3 3 5 10 8" xfId="13307" xr:uid="{00000000-0005-0000-0000-000027590000}"/>
    <cellStyle name="Normal 3 3 5 10 8 2" xfId="30819" xr:uid="{00000000-0005-0000-0000-000028590000}"/>
    <cellStyle name="Normal 3 3 5 10 9" xfId="13308" xr:uid="{00000000-0005-0000-0000-000029590000}"/>
    <cellStyle name="Normal 3 3 5 10 9 2" xfId="30820" xr:uid="{00000000-0005-0000-0000-00002A590000}"/>
    <cellStyle name="Normal 3 3 5 11" xfId="13309" xr:uid="{00000000-0005-0000-0000-00002B590000}"/>
    <cellStyle name="Normal 3 3 5 11 10" xfId="13310" xr:uid="{00000000-0005-0000-0000-00002C590000}"/>
    <cellStyle name="Normal 3 3 5 11 10 2" xfId="30822" xr:uid="{00000000-0005-0000-0000-00002D590000}"/>
    <cellStyle name="Normal 3 3 5 11 11" xfId="13311" xr:uid="{00000000-0005-0000-0000-00002E590000}"/>
    <cellStyle name="Normal 3 3 5 11 11 2" xfId="30823" xr:uid="{00000000-0005-0000-0000-00002F590000}"/>
    <cellStyle name="Normal 3 3 5 11 12" xfId="13312" xr:uid="{00000000-0005-0000-0000-000030590000}"/>
    <cellStyle name="Normal 3 3 5 11 12 2" xfId="30824" xr:uid="{00000000-0005-0000-0000-000031590000}"/>
    <cellStyle name="Normal 3 3 5 11 13" xfId="13313" xr:uid="{00000000-0005-0000-0000-000032590000}"/>
    <cellStyle name="Normal 3 3 5 11 13 2" xfId="30825" xr:uid="{00000000-0005-0000-0000-000033590000}"/>
    <cellStyle name="Normal 3 3 5 11 14" xfId="13314" xr:uid="{00000000-0005-0000-0000-000034590000}"/>
    <cellStyle name="Normal 3 3 5 11 14 2" xfId="30826" xr:uid="{00000000-0005-0000-0000-000035590000}"/>
    <cellStyle name="Normal 3 3 5 11 15" xfId="30821" xr:uid="{00000000-0005-0000-0000-000036590000}"/>
    <cellStyle name="Normal 3 3 5 11 2" xfId="13315" xr:uid="{00000000-0005-0000-0000-000037590000}"/>
    <cellStyle name="Normal 3 3 5 11 2 2" xfId="30827" xr:uid="{00000000-0005-0000-0000-000038590000}"/>
    <cellStyle name="Normal 3 3 5 11 3" xfId="13316" xr:uid="{00000000-0005-0000-0000-000039590000}"/>
    <cellStyle name="Normal 3 3 5 11 3 2" xfId="30828" xr:uid="{00000000-0005-0000-0000-00003A590000}"/>
    <cellStyle name="Normal 3 3 5 11 4" xfId="13317" xr:uid="{00000000-0005-0000-0000-00003B590000}"/>
    <cellStyle name="Normal 3 3 5 11 4 2" xfId="30829" xr:uid="{00000000-0005-0000-0000-00003C590000}"/>
    <cellStyle name="Normal 3 3 5 11 5" xfId="13318" xr:uid="{00000000-0005-0000-0000-00003D590000}"/>
    <cellStyle name="Normal 3 3 5 11 5 2" xfId="30830" xr:uid="{00000000-0005-0000-0000-00003E590000}"/>
    <cellStyle name="Normal 3 3 5 11 6" xfId="13319" xr:uid="{00000000-0005-0000-0000-00003F590000}"/>
    <cellStyle name="Normal 3 3 5 11 6 2" xfId="30831" xr:uid="{00000000-0005-0000-0000-000040590000}"/>
    <cellStyle name="Normal 3 3 5 11 7" xfId="13320" xr:uid="{00000000-0005-0000-0000-000041590000}"/>
    <cellStyle name="Normal 3 3 5 11 7 2" xfId="30832" xr:uid="{00000000-0005-0000-0000-000042590000}"/>
    <cellStyle name="Normal 3 3 5 11 8" xfId="13321" xr:uid="{00000000-0005-0000-0000-000043590000}"/>
    <cellStyle name="Normal 3 3 5 11 8 2" xfId="30833" xr:uid="{00000000-0005-0000-0000-000044590000}"/>
    <cellStyle name="Normal 3 3 5 11 9" xfId="13322" xr:uid="{00000000-0005-0000-0000-000045590000}"/>
    <cellStyle name="Normal 3 3 5 11 9 2" xfId="30834" xr:uid="{00000000-0005-0000-0000-000046590000}"/>
    <cellStyle name="Normal 3 3 5 12" xfId="13323" xr:uid="{00000000-0005-0000-0000-000047590000}"/>
    <cellStyle name="Normal 3 3 5 12 10" xfId="13324" xr:uid="{00000000-0005-0000-0000-000048590000}"/>
    <cellStyle name="Normal 3 3 5 12 10 2" xfId="30836" xr:uid="{00000000-0005-0000-0000-000049590000}"/>
    <cellStyle name="Normal 3 3 5 12 11" xfId="13325" xr:uid="{00000000-0005-0000-0000-00004A590000}"/>
    <cellStyle name="Normal 3 3 5 12 11 2" xfId="30837" xr:uid="{00000000-0005-0000-0000-00004B590000}"/>
    <cellStyle name="Normal 3 3 5 12 12" xfId="13326" xr:uid="{00000000-0005-0000-0000-00004C590000}"/>
    <cellStyle name="Normal 3 3 5 12 12 2" xfId="30838" xr:uid="{00000000-0005-0000-0000-00004D590000}"/>
    <cellStyle name="Normal 3 3 5 12 13" xfId="13327" xr:uid="{00000000-0005-0000-0000-00004E590000}"/>
    <cellStyle name="Normal 3 3 5 12 13 2" xfId="30839" xr:uid="{00000000-0005-0000-0000-00004F590000}"/>
    <cellStyle name="Normal 3 3 5 12 14" xfId="13328" xr:uid="{00000000-0005-0000-0000-000050590000}"/>
    <cellStyle name="Normal 3 3 5 12 14 2" xfId="30840" xr:uid="{00000000-0005-0000-0000-000051590000}"/>
    <cellStyle name="Normal 3 3 5 12 15" xfId="30835" xr:uid="{00000000-0005-0000-0000-000052590000}"/>
    <cellStyle name="Normal 3 3 5 12 2" xfId="13329" xr:uid="{00000000-0005-0000-0000-000053590000}"/>
    <cellStyle name="Normal 3 3 5 12 2 2" xfId="30841" xr:uid="{00000000-0005-0000-0000-000054590000}"/>
    <cellStyle name="Normal 3 3 5 12 3" xfId="13330" xr:uid="{00000000-0005-0000-0000-000055590000}"/>
    <cellStyle name="Normal 3 3 5 12 3 2" xfId="30842" xr:uid="{00000000-0005-0000-0000-000056590000}"/>
    <cellStyle name="Normal 3 3 5 12 4" xfId="13331" xr:uid="{00000000-0005-0000-0000-000057590000}"/>
    <cellStyle name="Normal 3 3 5 12 4 2" xfId="30843" xr:uid="{00000000-0005-0000-0000-000058590000}"/>
    <cellStyle name="Normal 3 3 5 12 5" xfId="13332" xr:uid="{00000000-0005-0000-0000-000059590000}"/>
    <cellStyle name="Normal 3 3 5 12 5 2" xfId="30844" xr:uid="{00000000-0005-0000-0000-00005A590000}"/>
    <cellStyle name="Normal 3 3 5 12 6" xfId="13333" xr:uid="{00000000-0005-0000-0000-00005B590000}"/>
    <cellStyle name="Normal 3 3 5 12 6 2" xfId="30845" xr:uid="{00000000-0005-0000-0000-00005C590000}"/>
    <cellStyle name="Normal 3 3 5 12 7" xfId="13334" xr:uid="{00000000-0005-0000-0000-00005D590000}"/>
    <cellStyle name="Normal 3 3 5 12 7 2" xfId="30846" xr:uid="{00000000-0005-0000-0000-00005E590000}"/>
    <cellStyle name="Normal 3 3 5 12 8" xfId="13335" xr:uid="{00000000-0005-0000-0000-00005F590000}"/>
    <cellStyle name="Normal 3 3 5 12 8 2" xfId="30847" xr:uid="{00000000-0005-0000-0000-000060590000}"/>
    <cellStyle name="Normal 3 3 5 12 9" xfId="13336" xr:uid="{00000000-0005-0000-0000-000061590000}"/>
    <cellStyle name="Normal 3 3 5 12 9 2" xfId="30848" xr:uid="{00000000-0005-0000-0000-000062590000}"/>
    <cellStyle name="Normal 3 3 5 13" xfId="13337" xr:uid="{00000000-0005-0000-0000-000063590000}"/>
    <cellStyle name="Normal 3 3 5 13 10" xfId="13338" xr:uid="{00000000-0005-0000-0000-000064590000}"/>
    <cellStyle name="Normal 3 3 5 13 10 2" xfId="30850" xr:uid="{00000000-0005-0000-0000-000065590000}"/>
    <cellStyle name="Normal 3 3 5 13 11" xfId="13339" xr:uid="{00000000-0005-0000-0000-000066590000}"/>
    <cellStyle name="Normal 3 3 5 13 11 2" xfId="30851" xr:uid="{00000000-0005-0000-0000-000067590000}"/>
    <cellStyle name="Normal 3 3 5 13 12" xfId="13340" xr:uid="{00000000-0005-0000-0000-000068590000}"/>
    <cellStyle name="Normal 3 3 5 13 12 2" xfId="30852" xr:uid="{00000000-0005-0000-0000-000069590000}"/>
    <cellStyle name="Normal 3 3 5 13 13" xfId="13341" xr:uid="{00000000-0005-0000-0000-00006A590000}"/>
    <cellStyle name="Normal 3 3 5 13 13 2" xfId="30853" xr:uid="{00000000-0005-0000-0000-00006B590000}"/>
    <cellStyle name="Normal 3 3 5 13 14" xfId="13342" xr:uid="{00000000-0005-0000-0000-00006C590000}"/>
    <cellStyle name="Normal 3 3 5 13 14 2" xfId="30854" xr:uid="{00000000-0005-0000-0000-00006D590000}"/>
    <cellStyle name="Normal 3 3 5 13 15" xfId="30849" xr:uid="{00000000-0005-0000-0000-00006E590000}"/>
    <cellStyle name="Normal 3 3 5 13 2" xfId="13343" xr:uid="{00000000-0005-0000-0000-00006F590000}"/>
    <cellStyle name="Normal 3 3 5 13 2 2" xfId="30855" xr:uid="{00000000-0005-0000-0000-000070590000}"/>
    <cellStyle name="Normal 3 3 5 13 3" xfId="13344" xr:uid="{00000000-0005-0000-0000-000071590000}"/>
    <cellStyle name="Normal 3 3 5 13 3 2" xfId="30856" xr:uid="{00000000-0005-0000-0000-000072590000}"/>
    <cellStyle name="Normal 3 3 5 13 4" xfId="13345" xr:uid="{00000000-0005-0000-0000-000073590000}"/>
    <cellStyle name="Normal 3 3 5 13 4 2" xfId="30857" xr:uid="{00000000-0005-0000-0000-000074590000}"/>
    <cellStyle name="Normal 3 3 5 13 5" xfId="13346" xr:uid="{00000000-0005-0000-0000-000075590000}"/>
    <cellStyle name="Normal 3 3 5 13 5 2" xfId="30858" xr:uid="{00000000-0005-0000-0000-000076590000}"/>
    <cellStyle name="Normal 3 3 5 13 6" xfId="13347" xr:uid="{00000000-0005-0000-0000-000077590000}"/>
    <cellStyle name="Normal 3 3 5 13 6 2" xfId="30859" xr:uid="{00000000-0005-0000-0000-000078590000}"/>
    <cellStyle name="Normal 3 3 5 13 7" xfId="13348" xr:uid="{00000000-0005-0000-0000-000079590000}"/>
    <cellStyle name="Normal 3 3 5 13 7 2" xfId="30860" xr:uid="{00000000-0005-0000-0000-00007A590000}"/>
    <cellStyle name="Normal 3 3 5 13 8" xfId="13349" xr:uid="{00000000-0005-0000-0000-00007B590000}"/>
    <cellStyle name="Normal 3 3 5 13 8 2" xfId="30861" xr:uid="{00000000-0005-0000-0000-00007C590000}"/>
    <cellStyle name="Normal 3 3 5 13 9" xfId="13350" xr:uid="{00000000-0005-0000-0000-00007D590000}"/>
    <cellStyle name="Normal 3 3 5 13 9 2" xfId="30862" xr:uid="{00000000-0005-0000-0000-00007E590000}"/>
    <cellStyle name="Normal 3 3 5 14" xfId="13351" xr:uid="{00000000-0005-0000-0000-00007F590000}"/>
    <cellStyle name="Normal 3 3 5 14 10" xfId="13352" xr:uid="{00000000-0005-0000-0000-000080590000}"/>
    <cellStyle name="Normal 3 3 5 14 10 2" xfId="30864" xr:uid="{00000000-0005-0000-0000-000081590000}"/>
    <cellStyle name="Normal 3 3 5 14 11" xfId="13353" xr:uid="{00000000-0005-0000-0000-000082590000}"/>
    <cellStyle name="Normal 3 3 5 14 11 2" xfId="30865" xr:uid="{00000000-0005-0000-0000-000083590000}"/>
    <cellStyle name="Normal 3 3 5 14 12" xfId="13354" xr:uid="{00000000-0005-0000-0000-000084590000}"/>
    <cellStyle name="Normal 3 3 5 14 12 2" xfId="30866" xr:uid="{00000000-0005-0000-0000-000085590000}"/>
    <cellStyle name="Normal 3 3 5 14 13" xfId="13355" xr:uid="{00000000-0005-0000-0000-000086590000}"/>
    <cellStyle name="Normal 3 3 5 14 13 2" xfId="30867" xr:uid="{00000000-0005-0000-0000-000087590000}"/>
    <cellStyle name="Normal 3 3 5 14 14" xfId="13356" xr:uid="{00000000-0005-0000-0000-000088590000}"/>
    <cellStyle name="Normal 3 3 5 14 14 2" xfId="30868" xr:uid="{00000000-0005-0000-0000-000089590000}"/>
    <cellStyle name="Normal 3 3 5 14 15" xfId="30863" xr:uid="{00000000-0005-0000-0000-00008A590000}"/>
    <cellStyle name="Normal 3 3 5 14 2" xfId="13357" xr:uid="{00000000-0005-0000-0000-00008B590000}"/>
    <cellStyle name="Normal 3 3 5 14 2 2" xfId="30869" xr:uid="{00000000-0005-0000-0000-00008C590000}"/>
    <cellStyle name="Normal 3 3 5 14 3" xfId="13358" xr:uid="{00000000-0005-0000-0000-00008D590000}"/>
    <cellStyle name="Normal 3 3 5 14 3 2" xfId="30870" xr:uid="{00000000-0005-0000-0000-00008E590000}"/>
    <cellStyle name="Normal 3 3 5 14 4" xfId="13359" xr:uid="{00000000-0005-0000-0000-00008F590000}"/>
    <cellStyle name="Normal 3 3 5 14 4 2" xfId="30871" xr:uid="{00000000-0005-0000-0000-000090590000}"/>
    <cellStyle name="Normal 3 3 5 14 5" xfId="13360" xr:uid="{00000000-0005-0000-0000-000091590000}"/>
    <cellStyle name="Normal 3 3 5 14 5 2" xfId="30872" xr:uid="{00000000-0005-0000-0000-000092590000}"/>
    <cellStyle name="Normal 3 3 5 14 6" xfId="13361" xr:uid="{00000000-0005-0000-0000-000093590000}"/>
    <cellStyle name="Normal 3 3 5 14 6 2" xfId="30873" xr:uid="{00000000-0005-0000-0000-000094590000}"/>
    <cellStyle name="Normal 3 3 5 14 7" xfId="13362" xr:uid="{00000000-0005-0000-0000-000095590000}"/>
    <cellStyle name="Normal 3 3 5 14 7 2" xfId="30874" xr:uid="{00000000-0005-0000-0000-000096590000}"/>
    <cellStyle name="Normal 3 3 5 14 8" xfId="13363" xr:uid="{00000000-0005-0000-0000-000097590000}"/>
    <cellStyle name="Normal 3 3 5 14 8 2" xfId="30875" xr:uid="{00000000-0005-0000-0000-000098590000}"/>
    <cellStyle name="Normal 3 3 5 14 9" xfId="13364" xr:uid="{00000000-0005-0000-0000-000099590000}"/>
    <cellStyle name="Normal 3 3 5 14 9 2" xfId="30876" xr:uid="{00000000-0005-0000-0000-00009A590000}"/>
    <cellStyle name="Normal 3 3 5 15" xfId="13365" xr:uid="{00000000-0005-0000-0000-00009B590000}"/>
    <cellStyle name="Normal 3 3 5 15 2" xfId="30877" xr:uid="{00000000-0005-0000-0000-00009C590000}"/>
    <cellStyle name="Normal 3 3 5 16" xfId="13366" xr:uid="{00000000-0005-0000-0000-00009D590000}"/>
    <cellStyle name="Normal 3 3 5 16 2" xfId="30878" xr:uid="{00000000-0005-0000-0000-00009E590000}"/>
    <cellStyle name="Normal 3 3 5 17" xfId="13367" xr:uid="{00000000-0005-0000-0000-00009F590000}"/>
    <cellStyle name="Normal 3 3 5 17 2" xfId="30879" xr:uid="{00000000-0005-0000-0000-0000A0590000}"/>
    <cellStyle name="Normal 3 3 5 18" xfId="13368" xr:uid="{00000000-0005-0000-0000-0000A1590000}"/>
    <cellStyle name="Normal 3 3 5 18 2" xfId="30880" xr:uid="{00000000-0005-0000-0000-0000A2590000}"/>
    <cellStyle name="Normal 3 3 5 19" xfId="13369" xr:uid="{00000000-0005-0000-0000-0000A3590000}"/>
    <cellStyle name="Normal 3 3 5 19 2" xfId="30881" xr:uid="{00000000-0005-0000-0000-0000A4590000}"/>
    <cellStyle name="Normal 3 3 5 2" xfId="13370" xr:uid="{00000000-0005-0000-0000-0000A5590000}"/>
    <cellStyle name="Normal 3 3 5 20" xfId="13371" xr:uid="{00000000-0005-0000-0000-0000A6590000}"/>
    <cellStyle name="Normal 3 3 5 20 2" xfId="30882" xr:uid="{00000000-0005-0000-0000-0000A7590000}"/>
    <cellStyle name="Normal 3 3 5 21" xfId="13372" xr:uid="{00000000-0005-0000-0000-0000A8590000}"/>
    <cellStyle name="Normal 3 3 5 21 2" xfId="30883" xr:uid="{00000000-0005-0000-0000-0000A9590000}"/>
    <cellStyle name="Normal 3 3 5 22" xfId="13373" xr:uid="{00000000-0005-0000-0000-0000AA590000}"/>
    <cellStyle name="Normal 3 3 5 22 2" xfId="30884" xr:uid="{00000000-0005-0000-0000-0000AB590000}"/>
    <cellStyle name="Normal 3 3 5 23" xfId="13374" xr:uid="{00000000-0005-0000-0000-0000AC590000}"/>
    <cellStyle name="Normal 3 3 5 23 2" xfId="30885" xr:uid="{00000000-0005-0000-0000-0000AD590000}"/>
    <cellStyle name="Normal 3 3 5 24" xfId="13375" xr:uid="{00000000-0005-0000-0000-0000AE590000}"/>
    <cellStyle name="Normal 3 3 5 24 2" xfId="30886" xr:uid="{00000000-0005-0000-0000-0000AF590000}"/>
    <cellStyle name="Normal 3 3 5 25" xfId="13376" xr:uid="{00000000-0005-0000-0000-0000B0590000}"/>
    <cellStyle name="Normal 3 3 5 25 2" xfId="30887" xr:uid="{00000000-0005-0000-0000-0000B1590000}"/>
    <cellStyle name="Normal 3 3 5 26" xfId="13377" xr:uid="{00000000-0005-0000-0000-0000B2590000}"/>
    <cellStyle name="Normal 3 3 5 26 2" xfId="30888" xr:uid="{00000000-0005-0000-0000-0000B3590000}"/>
    <cellStyle name="Normal 3 3 5 27" xfId="13378" xr:uid="{00000000-0005-0000-0000-0000B4590000}"/>
    <cellStyle name="Normal 3 3 5 27 2" xfId="30889" xr:uid="{00000000-0005-0000-0000-0000B5590000}"/>
    <cellStyle name="Normal 3 3 5 28" xfId="30806" xr:uid="{00000000-0005-0000-0000-0000B6590000}"/>
    <cellStyle name="Normal 3 3 5 3" xfId="13379" xr:uid="{00000000-0005-0000-0000-0000B7590000}"/>
    <cellStyle name="Normal 3 3 5 4" xfId="13380" xr:uid="{00000000-0005-0000-0000-0000B8590000}"/>
    <cellStyle name="Normal 3 3 5 5" xfId="13381" xr:uid="{00000000-0005-0000-0000-0000B9590000}"/>
    <cellStyle name="Normal 3 3 5 6" xfId="13382" xr:uid="{00000000-0005-0000-0000-0000BA590000}"/>
    <cellStyle name="Normal 3 3 5 6 10" xfId="13383" xr:uid="{00000000-0005-0000-0000-0000BB590000}"/>
    <cellStyle name="Normal 3 3 5 6 10 2" xfId="30891" xr:uid="{00000000-0005-0000-0000-0000BC590000}"/>
    <cellStyle name="Normal 3 3 5 6 11" xfId="13384" xr:uid="{00000000-0005-0000-0000-0000BD590000}"/>
    <cellStyle name="Normal 3 3 5 6 11 2" xfId="30892" xr:uid="{00000000-0005-0000-0000-0000BE590000}"/>
    <cellStyle name="Normal 3 3 5 6 12" xfId="13385" xr:uid="{00000000-0005-0000-0000-0000BF590000}"/>
    <cellStyle name="Normal 3 3 5 6 12 2" xfId="30893" xr:uid="{00000000-0005-0000-0000-0000C0590000}"/>
    <cellStyle name="Normal 3 3 5 6 13" xfId="13386" xr:uid="{00000000-0005-0000-0000-0000C1590000}"/>
    <cellStyle name="Normal 3 3 5 6 13 2" xfId="30894" xr:uid="{00000000-0005-0000-0000-0000C2590000}"/>
    <cellStyle name="Normal 3 3 5 6 14" xfId="13387" xr:uid="{00000000-0005-0000-0000-0000C3590000}"/>
    <cellStyle name="Normal 3 3 5 6 14 2" xfId="30895" xr:uid="{00000000-0005-0000-0000-0000C4590000}"/>
    <cellStyle name="Normal 3 3 5 6 15" xfId="13388" xr:uid="{00000000-0005-0000-0000-0000C5590000}"/>
    <cellStyle name="Normal 3 3 5 6 15 2" xfId="30896" xr:uid="{00000000-0005-0000-0000-0000C6590000}"/>
    <cellStyle name="Normal 3 3 5 6 16" xfId="30890" xr:uid="{00000000-0005-0000-0000-0000C7590000}"/>
    <cellStyle name="Normal 3 3 5 6 2" xfId="13389" xr:uid="{00000000-0005-0000-0000-0000C8590000}"/>
    <cellStyle name="Normal 3 3 5 6 2 10" xfId="13390" xr:uid="{00000000-0005-0000-0000-0000C9590000}"/>
    <cellStyle name="Normal 3 3 5 6 2 10 2" xfId="30898" xr:uid="{00000000-0005-0000-0000-0000CA590000}"/>
    <cellStyle name="Normal 3 3 5 6 2 11" xfId="13391" xr:uid="{00000000-0005-0000-0000-0000CB590000}"/>
    <cellStyle name="Normal 3 3 5 6 2 11 2" xfId="30899" xr:uid="{00000000-0005-0000-0000-0000CC590000}"/>
    <cellStyle name="Normal 3 3 5 6 2 12" xfId="13392" xr:uid="{00000000-0005-0000-0000-0000CD590000}"/>
    <cellStyle name="Normal 3 3 5 6 2 12 2" xfId="30900" xr:uid="{00000000-0005-0000-0000-0000CE590000}"/>
    <cellStyle name="Normal 3 3 5 6 2 13" xfId="13393" xr:uid="{00000000-0005-0000-0000-0000CF590000}"/>
    <cellStyle name="Normal 3 3 5 6 2 13 2" xfId="30901" xr:uid="{00000000-0005-0000-0000-0000D0590000}"/>
    <cellStyle name="Normal 3 3 5 6 2 14" xfId="13394" xr:uid="{00000000-0005-0000-0000-0000D1590000}"/>
    <cellStyle name="Normal 3 3 5 6 2 14 2" xfId="30902" xr:uid="{00000000-0005-0000-0000-0000D2590000}"/>
    <cellStyle name="Normal 3 3 5 6 2 15" xfId="30897" xr:uid="{00000000-0005-0000-0000-0000D3590000}"/>
    <cellStyle name="Normal 3 3 5 6 2 2" xfId="13395" xr:uid="{00000000-0005-0000-0000-0000D4590000}"/>
    <cellStyle name="Normal 3 3 5 6 2 2 2" xfId="30903" xr:uid="{00000000-0005-0000-0000-0000D5590000}"/>
    <cellStyle name="Normal 3 3 5 6 2 3" xfId="13396" xr:uid="{00000000-0005-0000-0000-0000D6590000}"/>
    <cellStyle name="Normal 3 3 5 6 2 3 2" xfId="30904" xr:uid="{00000000-0005-0000-0000-0000D7590000}"/>
    <cellStyle name="Normal 3 3 5 6 2 4" xfId="13397" xr:uid="{00000000-0005-0000-0000-0000D8590000}"/>
    <cellStyle name="Normal 3 3 5 6 2 4 2" xfId="30905" xr:uid="{00000000-0005-0000-0000-0000D9590000}"/>
    <cellStyle name="Normal 3 3 5 6 2 5" xfId="13398" xr:uid="{00000000-0005-0000-0000-0000DA590000}"/>
    <cellStyle name="Normal 3 3 5 6 2 5 2" xfId="30906" xr:uid="{00000000-0005-0000-0000-0000DB590000}"/>
    <cellStyle name="Normal 3 3 5 6 2 6" xfId="13399" xr:uid="{00000000-0005-0000-0000-0000DC590000}"/>
    <cellStyle name="Normal 3 3 5 6 2 6 2" xfId="30907" xr:uid="{00000000-0005-0000-0000-0000DD590000}"/>
    <cellStyle name="Normal 3 3 5 6 2 7" xfId="13400" xr:uid="{00000000-0005-0000-0000-0000DE590000}"/>
    <cellStyle name="Normal 3 3 5 6 2 7 2" xfId="30908" xr:uid="{00000000-0005-0000-0000-0000DF590000}"/>
    <cellStyle name="Normal 3 3 5 6 2 8" xfId="13401" xr:uid="{00000000-0005-0000-0000-0000E0590000}"/>
    <cellStyle name="Normal 3 3 5 6 2 8 2" xfId="30909" xr:uid="{00000000-0005-0000-0000-0000E1590000}"/>
    <cellStyle name="Normal 3 3 5 6 2 9" xfId="13402" xr:uid="{00000000-0005-0000-0000-0000E2590000}"/>
    <cellStyle name="Normal 3 3 5 6 2 9 2" xfId="30910" xr:uid="{00000000-0005-0000-0000-0000E3590000}"/>
    <cellStyle name="Normal 3 3 5 6 3" xfId="13403" xr:uid="{00000000-0005-0000-0000-0000E4590000}"/>
    <cellStyle name="Normal 3 3 5 6 3 2" xfId="30911" xr:uid="{00000000-0005-0000-0000-0000E5590000}"/>
    <cellStyle name="Normal 3 3 5 6 4" xfId="13404" xr:uid="{00000000-0005-0000-0000-0000E6590000}"/>
    <cellStyle name="Normal 3 3 5 6 4 2" xfId="30912" xr:uid="{00000000-0005-0000-0000-0000E7590000}"/>
    <cellStyle name="Normal 3 3 5 6 5" xfId="13405" xr:uid="{00000000-0005-0000-0000-0000E8590000}"/>
    <cellStyle name="Normal 3 3 5 6 5 2" xfId="30913" xr:uid="{00000000-0005-0000-0000-0000E9590000}"/>
    <cellStyle name="Normal 3 3 5 6 6" xfId="13406" xr:uid="{00000000-0005-0000-0000-0000EA590000}"/>
    <cellStyle name="Normal 3 3 5 6 6 2" xfId="30914" xr:uid="{00000000-0005-0000-0000-0000EB590000}"/>
    <cellStyle name="Normal 3 3 5 6 7" xfId="13407" xr:uid="{00000000-0005-0000-0000-0000EC590000}"/>
    <cellStyle name="Normal 3 3 5 6 7 2" xfId="30915" xr:uid="{00000000-0005-0000-0000-0000ED590000}"/>
    <cellStyle name="Normal 3 3 5 6 8" xfId="13408" xr:uid="{00000000-0005-0000-0000-0000EE590000}"/>
    <cellStyle name="Normal 3 3 5 6 8 2" xfId="30916" xr:uid="{00000000-0005-0000-0000-0000EF590000}"/>
    <cellStyle name="Normal 3 3 5 6 9" xfId="13409" xr:uid="{00000000-0005-0000-0000-0000F0590000}"/>
    <cellStyle name="Normal 3 3 5 6 9 2" xfId="30917" xr:uid="{00000000-0005-0000-0000-0000F1590000}"/>
    <cellStyle name="Normal 3 3 5 7" xfId="13410" xr:uid="{00000000-0005-0000-0000-0000F2590000}"/>
    <cellStyle name="Normal 3 3 5 7 10" xfId="13411" xr:uid="{00000000-0005-0000-0000-0000F3590000}"/>
    <cellStyle name="Normal 3 3 5 7 10 2" xfId="30919" xr:uid="{00000000-0005-0000-0000-0000F4590000}"/>
    <cellStyle name="Normal 3 3 5 7 11" xfId="13412" xr:uid="{00000000-0005-0000-0000-0000F5590000}"/>
    <cellStyle name="Normal 3 3 5 7 11 2" xfId="30920" xr:uid="{00000000-0005-0000-0000-0000F6590000}"/>
    <cellStyle name="Normal 3 3 5 7 12" xfId="13413" xr:uid="{00000000-0005-0000-0000-0000F7590000}"/>
    <cellStyle name="Normal 3 3 5 7 12 2" xfId="30921" xr:uid="{00000000-0005-0000-0000-0000F8590000}"/>
    <cellStyle name="Normal 3 3 5 7 13" xfId="13414" xr:uid="{00000000-0005-0000-0000-0000F9590000}"/>
    <cellStyle name="Normal 3 3 5 7 13 2" xfId="30922" xr:uid="{00000000-0005-0000-0000-0000FA590000}"/>
    <cellStyle name="Normal 3 3 5 7 14" xfId="13415" xr:uid="{00000000-0005-0000-0000-0000FB590000}"/>
    <cellStyle name="Normal 3 3 5 7 14 2" xfId="30923" xr:uid="{00000000-0005-0000-0000-0000FC590000}"/>
    <cellStyle name="Normal 3 3 5 7 15" xfId="13416" xr:uid="{00000000-0005-0000-0000-0000FD590000}"/>
    <cellStyle name="Normal 3 3 5 7 15 2" xfId="30924" xr:uid="{00000000-0005-0000-0000-0000FE590000}"/>
    <cellStyle name="Normal 3 3 5 7 16" xfId="30918" xr:uid="{00000000-0005-0000-0000-0000FF590000}"/>
    <cellStyle name="Normal 3 3 5 7 2" xfId="13417" xr:uid="{00000000-0005-0000-0000-0000005A0000}"/>
    <cellStyle name="Normal 3 3 5 7 2 10" xfId="13418" xr:uid="{00000000-0005-0000-0000-0000015A0000}"/>
    <cellStyle name="Normal 3 3 5 7 2 10 2" xfId="30926" xr:uid="{00000000-0005-0000-0000-0000025A0000}"/>
    <cellStyle name="Normal 3 3 5 7 2 11" xfId="13419" xr:uid="{00000000-0005-0000-0000-0000035A0000}"/>
    <cellStyle name="Normal 3 3 5 7 2 11 2" xfId="30927" xr:uid="{00000000-0005-0000-0000-0000045A0000}"/>
    <cellStyle name="Normal 3 3 5 7 2 12" xfId="13420" xr:uid="{00000000-0005-0000-0000-0000055A0000}"/>
    <cellStyle name="Normal 3 3 5 7 2 12 2" xfId="30928" xr:uid="{00000000-0005-0000-0000-0000065A0000}"/>
    <cellStyle name="Normal 3 3 5 7 2 13" xfId="13421" xr:uid="{00000000-0005-0000-0000-0000075A0000}"/>
    <cellStyle name="Normal 3 3 5 7 2 13 2" xfId="30929" xr:uid="{00000000-0005-0000-0000-0000085A0000}"/>
    <cellStyle name="Normal 3 3 5 7 2 14" xfId="13422" xr:uid="{00000000-0005-0000-0000-0000095A0000}"/>
    <cellStyle name="Normal 3 3 5 7 2 14 2" xfId="30930" xr:uid="{00000000-0005-0000-0000-00000A5A0000}"/>
    <cellStyle name="Normal 3 3 5 7 2 15" xfId="30925" xr:uid="{00000000-0005-0000-0000-00000B5A0000}"/>
    <cellStyle name="Normal 3 3 5 7 2 2" xfId="13423" xr:uid="{00000000-0005-0000-0000-00000C5A0000}"/>
    <cellStyle name="Normal 3 3 5 7 2 2 2" xfId="30931" xr:uid="{00000000-0005-0000-0000-00000D5A0000}"/>
    <cellStyle name="Normal 3 3 5 7 2 3" xfId="13424" xr:uid="{00000000-0005-0000-0000-00000E5A0000}"/>
    <cellStyle name="Normal 3 3 5 7 2 3 2" xfId="30932" xr:uid="{00000000-0005-0000-0000-00000F5A0000}"/>
    <cellStyle name="Normal 3 3 5 7 2 4" xfId="13425" xr:uid="{00000000-0005-0000-0000-0000105A0000}"/>
    <cellStyle name="Normal 3 3 5 7 2 4 2" xfId="30933" xr:uid="{00000000-0005-0000-0000-0000115A0000}"/>
    <cellStyle name="Normal 3 3 5 7 2 5" xfId="13426" xr:uid="{00000000-0005-0000-0000-0000125A0000}"/>
    <cellStyle name="Normal 3 3 5 7 2 5 2" xfId="30934" xr:uid="{00000000-0005-0000-0000-0000135A0000}"/>
    <cellStyle name="Normal 3 3 5 7 2 6" xfId="13427" xr:uid="{00000000-0005-0000-0000-0000145A0000}"/>
    <cellStyle name="Normal 3 3 5 7 2 6 2" xfId="30935" xr:uid="{00000000-0005-0000-0000-0000155A0000}"/>
    <cellStyle name="Normal 3 3 5 7 2 7" xfId="13428" xr:uid="{00000000-0005-0000-0000-0000165A0000}"/>
    <cellStyle name="Normal 3 3 5 7 2 7 2" xfId="30936" xr:uid="{00000000-0005-0000-0000-0000175A0000}"/>
    <cellStyle name="Normal 3 3 5 7 2 8" xfId="13429" xr:uid="{00000000-0005-0000-0000-0000185A0000}"/>
    <cellStyle name="Normal 3 3 5 7 2 8 2" xfId="30937" xr:uid="{00000000-0005-0000-0000-0000195A0000}"/>
    <cellStyle name="Normal 3 3 5 7 2 9" xfId="13430" xr:uid="{00000000-0005-0000-0000-00001A5A0000}"/>
    <cellStyle name="Normal 3 3 5 7 2 9 2" xfId="30938" xr:uid="{00000000-0005-0000-0000-00001B5A0000}"/>
    <cellStyle name="Normal 3 3 5 7 3" xfId="13431" xr:uid="{00000000-0005-0000-0000-00001C5A0000}"/>
    <cellStyle name="Normal 3 3 5 7 3 2" xfId="30939" xr:uid="{00000000-0005-0000-0000-00001D5A0000}"/>
    <cellStyle name="Normal 3 3 5 7 4" xfId="13432" xr:uid="{00000000-0005-0000-0000-00001E5A0000}"/>
    <cellStyle name="Normal 3 3 5 7 4 2" xfId="30940" xr:uid="{00000000-0005-0000-0000-00001F5A0000}"/>
    <cellStyle name="Normal 3 3 5 7 5" xfId="13433" xr:uid="{00000000-0005-0000-0000-0000205A0000}"/>
    <cellStyle name="Normal 3 3 5 7 5 2" xfId="30941" xr:uid="{00000000-0005-0000-0000-0000215A0000}"/>
    <cellStyle name="Normal 3 3 5 7 6" xfId="13434" xr:uid="{00000000-0005-0000-0000-0000225A0000}"/>
    <cellStyle name="Normal 3 3 5 7 6 2" xfId="30942" xr:uid="{00000000-0005-0000-0000-0000235A0000}"/>
    <cellStyle name="Normal 3 3 5 7 7" xfId="13435" xr:uid="{00000000-0005-0000-0000-0000245A0000}"/>
    <cellStyle name="Normal 3 3 5 7 7 2" xfId="30943" xr:uid="{00000000-0005-0000-0000-0000255A0000}"/>
    <cellStyle name="Normal 3 3 5 7 8" xfId="13436" xr:uid="{00000000-0005-0000-0000-0000265A0000}"/>
    <cellStyle name="Normal 3 3 5 7 8 2" xfId="30944" xr:uid="{00000000-0005-0000-0000-0000275A0000}"/>
    <cellStyle name="Normal 3 3 5 7 9" xfId="13437" xr:uid="{00000000-0005-0000-0000-0000285A0000}"/>
    <cellStyle name="Normal 3 3 5 7 9 2" xfId="30945" xr:uid="{00000000-0005-0000-0000-0000295A0000}"/>
    <cellStyle name="Normal 3 3 5 8" xfId="13438" xr:uid="{00000000-0005-0000-0000-00002A5A0000}"/>
    <cellStyle name="Normal 3 3 5 8 10" xfId="13439" xr:uid="{00000000-0005-0000-0000-00002B5A0000}"/>
    <cellStyle name="Normal 3 3 5 8 10 2" xfId="30947" xr:uid="{00000000-0005-0000-0000-00002C5A0000}"/>
    <cellStyle name="Normal 3 3 5 8 11" xfId="13440" xr:uid="{00000000-0005-0000-0000-00002D5A0000}"/>
    <cellStyle name="Normal 3 3 5 8 11 2" xfId="30948" xr:uid="{00000000-0005-0000-0000-00002E5A0000}"/>
    <cellStyle name="Normal 3 3 5 8 12" xfId="13441" xr:uid="{00000000-0005-0000-0000-00002F5A0000}"/>
    <cellStyle name="Normal 3 3 5 8 12 2" xfId="30949" xr:uid="{00000000-0005-0000-0000-0000305A0000}"/>
    <cellStyle name="Normal 3 3 5 8 13" xfId="13442" xr:uid="{00000000-0005-0000-0000-0000315A0000}"/>
    <cellStyle name="Normal 3 3 5 8 13 2" xfId="30950" xr:uid="{00000000-0005-0000-0000-0000325A0000}"/>
    <cellStyle name="Normal 3 3 5 8 14" xfId="13443" xr:uid="{00000000-0005-0000-0000-0000335A0000}"/>
    <cellStyle name="Normal 3 3 5 8 14 2" xfId="30951" xr:uid="{00000000-0005-0000-0000-0000345A0000}"/>
    <cellStyle name="Normal 3 3 5 8 15" xfId="13444" xr:uid="{00000000-0005-0000-0000-0000355A0000}"/>
    <cellStyle name="Normal 3 3 5 8 15 2" xfId="30952" xr:uid="{00000000-0005-0000-0000-0000365A0000}"/>
    <cellStyle name="Normal 3 3 5 8 16" xfId="30946" xr:uid="{00000000-0005-0000-0000-0000375A0000}"/>
    <cellStyle name="Normal 3 3 5 8 2" xfId="13445" xr:uid="{00000000-0005-0000-0000-0000385A0000}"/>
    <cellStyle name="Normal 3 3 5 8 2 10" xfId="13446" xr:uid="{00000000-0005-0000-0000-0000395A0000}"/>
    <cellStyle name="Normal 3 3 5 8 2 10 2" xfId="30954" xr:uid="{00000000-0005-0000-0000-00003A5A0000}"/>
    <cellStyle name="Normal 3 3 5 8 2 11" xfId="13447" xr:uid="{00000000-0005-0000-0000-00003B5A0000}"/>
    <cellStyle name="Normal 3 3 5 8 2 11 2" xfId="30955" xr:uid="{00000000-0005-0000-0000-00003C5A0000}"/>
    <cellStyle name="Normal 3 3 5 8 2 12" xfId="13448" xr:uid="{00000000-0005-0000-0000-00003D5A0000}"/>
    <cellStyle name="Normal 3 3 5 8 2 12 2" xfId="30956" xr:uid="{00000000-0005-0000-0000-00003E5A0000}"/>
    <cellStyle name="Normal 3 3 5 8 2 13" xfId="13449" xr:uid="{00000000-0005-0000-0000-00003F5A0000}"/>
    <cellStyle name="Normal 3 3 5 8 2 13 2" xfId="30957" xr:uid="{00000000-0005-0000-0000-0000405A0000}"/>
    <cellStyle name="Normal 3 3 5 8 2 14" xfId="13450" xr:uid="{00000000-0005-0000-0000-0000415A0000}"/>
    <cellStyle name="Normal 3 3 5 8 2 14 2" xfId="30958" xr:uid="{00000000-0005-0000-0000-0000425A0000}"/>
    <cellStyle name="Normal 3 3 5 8 2 15" xfId="30953" xr:uid="{00000000-0005-0000-0000-0000435A0000}"/>
    <cellStyle name="Normal 3 3 5 8 2 2" xfId="13451" xr:uid="{00000000-0005-0000-0000-0000445A0000}"/>
    <cellStyle name="Normal 3 3 5 8 2 2 2" xfId="30959" xr:uid="{00000000-0005-0000-0000-0000455A0000}"/>
    <cellStyle name="Normal 3 3 5 8 2 3" xfId="13452" xr:uid="{00000000-0005-0000-0000-0000465A0000}"/>
    <cellStyle name="Normal 3 3 5 8 2 3 2" xfId="30960" xr:uid="{00000000-0005-0000-0000-0000475A0000}"/>
    <cellStyle name="Normal 3 3 5 8 2 4" xfId="13453" xr:uid="{00000000-0005-0000-0000-0000485A0000}"/>
    <cellStyle name="Normal 3 3 5 8 2 4 2" xfId="30961" xr:uid="{00000000-0005-0000-0000-0000495A0000}"/>
    <cellStyle name="Normal 3 3 5 8 2 5" xfId="13454" xr:uid="{00000000-0005-0000-0000-00004A5A0000}"/>
    <cellStyle name="Normal 3 3 5 8 2 5 2" xfId="30962" xr:uid="{00000000-0005-0000-0000-00004B5A0000}"/>
    <cellStyle name="Normal 3 3 5 8 2 6" xfId="13455" xr:uid="{00000000-0005-0000-0000-00004C5A0000}"/>
    <cellStyle name="Normal 3 3 5 8 2 6 2" xfId="30963" xr:uid="{00000000-0005-0000-0000-00004D5A0000}"/>
    <cellStyle name="Normal 3 3 5 8 2 7" xfId="13456" xr:uid="{00000000-0005-0000-0000-00004E5A0000}"/>
    <cellStyle name="Normal 3 3 5 8 2 7 2" xfId="30964" xr:uid="{00000000-0005-0000-0000-00004F5A0000}"/>
    <cellStyle name="Normal 3 3 5 8 2 8" xfId="13457" xr:uid="{00000000-0005-0000-0000-0000505A0000}"/>
    <cellStyle name="Normal 3 3 5 8 2 8 2" xfId="30965" xr:uid="{00000000-0005-0000-0000-0000515A0000}"/>
    <cellStyle name="Normal 3 3 5 8 2 9" xfId="13458" xr:uid="{00000000-0005-0000-0000-0000525A0000}"/>
    <cellStyle name="Normal 3 3 5 8 2 9 2" xfId="30966" xr:uid="{00000000-0005-0000-0000-0000535A0000}"/>
    <cellStyle name="Normal 3 3 5 8 3" xfId="13459" xr:uid="{00000000-0005-0000-0000-0000545A0000}"/>
    <cellStyle name="Normal 3 3 5 8 3 2" xfId="30967" xr:uid="{00000000-0005-0000-0000-0000555A0000}"/>
    <cellStyle name="Normal 3 3 5 8 4" xfId="13460" xr:uid="{00000000-0005-0000-0000-0000565A0000}"/>
    <cellStyle name="Normal 3 3 5 8 4 2" xfId="30968" xr:uid="{00000000-0005-0000-0000-0000575A0000}"/>
    <cellStyle name="Normal 3 3 5 8 5" xfId="13461" xr:uid="{00000000-0005-0000-0000-0000585A0000}"/>
    <cellStyle name="Normal 3 3 5 8 5 2" xfId="30969" xr:uid="{00000000-0005-0000-0000-0000595A0000}"/>
    <cellStyle name="Normal 3 3 5 8 6" xfId="13462" xr:uid="{00000000-0005-0000-0000-00005A5A0000}"/>
    <cellStyle name="Normal 3 3 5 8 6 2" xfId="30970" xr:uid="{00000000-0005-0000-0000-00005B5A0000}"/>
    <cellStyle name="Normal 3 3 5 8 7" xfId="13463" xr:uid="{00000000-0005-0000-0000-00005C5A0000}"/>
    <cellStyle name="Normal 3 3 5 8 7 2" xfId="30971" xr:uid="{00000000-0005-0000-0000-00005D5A0000}"/>
    <cellStyle name="Normal 3 3 5 8 8" xfId="13464" xr:uid="{00000000-0005-0000-0000-00005E5A0000}"/>
    <cellStyle name="Normal 3 3 5 8 8 2" xfId="30972" xr:uid="{00000000-0005-0000-0000-00005F5A0000}"/>
    <cellStyle name="Normal 3 3 5 8 9" xfId="13465" xr:uid="{00000000-0005-0000-0000-0000605A0000}"/>
    <cellStyle name="Normal 3 3 5 8 9 2" xfId="30973" xr:uid="{00000000-0005-0000-0000-0000615A0000}"/>
    <cellStyle name="Normal 3 3 5 9" xfId="13466" xr:uid="{00000000-0005-0000-0000-0000625A0000}"/>
    <cellStyle name="Normal 3 3 5 9 10" xfId="13467" xr:uid="{00000000-0005-0000-0000-0000635A0000}"/>
    <cellStyle name="Normal 3 3 5 9 10 2" xfId="30975" xr:uid="{00000000-0005-0000-0000-0000645A0000}"/>
    <cellStyle name="Normal 3 3 5 9 11" xfId="13468" xr:uid="{00000000-0005-0000-0000-0000655A0000}"/>
    <cellStyle name="Normal 3 3 5 9 11 2" xfId="30976" xr:uid="{00000000-0005-0000-0000-0000665A0000}"/>
    <cellStyle name="Normal 3 3 5 9 12" xfId="13469" xr:uid="{00000000-0005-0000-0000-0000675A0000}"/>
    <cellStyle name="Normal 3 3 5 9 12 2" xfId="30977" xr:uid="{00000000-0005-0000-0000-0000685A0000}"/>
    <cellStyle name="Normal 3 3 5 9 13" xfId="13470" xr:uid="{00000000-0005-0000-0000-0000695A0000}"/>
    <cellStyle name="Normal 3 3 5 9 13 2" xfId="30978" xr:uid="{00000000-0005-0000-0000-00006A5A0000}"/>
    <cellStyle name="Normal 3 3 5 9 14" xfId="13471" xr:uid="{00000000-0005-0000-0000-00006B5A0000}"/>
    <cellStyle name="Normal 3 3 5 9 14 2" xfId="30979" xr:uid="{00000000-0005-0000-0000-00006C5A0000}"/>
    <cellStyle name="Normal 3 3 5 9 15" xfId="30974" xr:uid="{00000000-0005-0000-0000-00006D5A0000}"/>
    <cellStyle name="Normal 3 3 5 9 2" xfId="13472" xr:uid="{00000000-0005-0000-0000-00006E5A0000}"/>
    <cellStyle name="Normal 3 3 5 9 2 2" xfId="30980" xr:uid="{00000000-0005-0000-0000-00006F5A0000}"/>
    <cellStyle name="Normal 3 3 5 9 3" xfId="13473" xr:uid="{00000000-0005-0000-0000-0000705A0000}"/>
    <cellStyle name="Normal 3 3 5 9 3 2" xfId="30981" xr:uid="{00000000-0005-0000-0000-0000715A0000}"/>
    <cellStyle name="Normal 3 3 5 9 4" xfId="13474" xr:uid="{00000000-0005-0000-0000-0000725A0000}"/>
    <cellStyle name="Normal 3 3 5 9 4 2" xfId="30982" xr:uid="{00000000-0005-0000-0000-0000735A0000}"/>
    <cellStyle name="Normal 3 3 5 9 5" xfId="13475" xr:uid="{00000000-0005-0000-0000-0000745A0000}"/>
    <cellStyle name="Normal 3 3 5 9 5 2" xfId="30983" xr:uid="{00000000-0005-0000-0000-0000755A0000}"/>
    <cellStyle name="Normal 3 3 5 9 6" xfId="13476" xr:uid="{00000000-0005-0000-0000-0000765A0000}"/>
    <cellStyle name="Normal 3 3 5 9 6 2" xfId="30984" xr:uid="{00000000-0005-0000-0000-0000775A0000}"/>
    <cellStyle name="Normal 3 3 5 9 7" xfId="13477" xr:uid="{00000000-0005-0000-0000-0000785A0000}"/>
    <cellStyle name="Normal 3 3 5 9 7 2" xfId="30985" xr:uid="{00000000-0005-0000-0000-0000795A0000}"/>
    <cellStyle name="Normal 3 3 5 9 8" xfId="13478" xr:uid="{00000000-0005-0000-0000-00007A5A0000}"/>
    <cellStyle name="Normal 3 3 5 9 8 2" xfId="30986" xr:uid="{00000000-0005-0000-0000-00007B5A0000}"/>
    <cellStyle name="Normal 3 3 5 9 9" xfId="13479" xr:uid="{00000000-0005-0000-0000-00007C5A0000}"/>
    <cellStyle name="Normal 3 3 5 9 9 2" xfId="30987" xr:uid="{00000000-0005-0000-0000-00007D5A0000}"/>
    <cellStyle name="Normal 3 3 6" xfId="13480" xr:uid="{00000000-0005-0000-0000-00007E5A0000}"/>
    <cellStyle name="Normal 3 3 6 10" xfId="13481" xr:uid="{00000000-0005-0000-0000-00007F5A0000}"/>
    <cellStyle name="Normal 3 3 6 10 10" xfId="13482" xr:uid="{00000000-0005-0000-0000-0000805A0000}"/>
    <cellStyle name="Normal 3 3 6 10 10 2" xfId="30990" xr:uid="{00000000-0005-0000-0000-0000815A0000}"/>
    <cellStyle name="Normal 3 3 6 10 11" xfId="13483" xr:uid="{00000000-0005-0000-0000-0000825A0000}"/>
    <cellStyle name="Normal 3 3 6 10 11 2" xfId="30991" xr:uid="{00000000-0005-0000-0000-0000835A0000}"/>
    <cellStyle name="Normal 3 3 6 10 12" xfId="13484" xr:uid="{00000000-0005-0000-0000-0000845A0000}"/>
    <cellStyle name="Normal 3 3 6 10 12 2" xfId="30992" xr:uid="{00000000-0005-0000-0000-0000855A0000}"/>
    <cellStyle name="Normal 3 3 6 10 13" xfId="13485" xr:uid="{00000000-0005-0000-0000-0000865A0000}"/>
    <cellStyle name="Normal 3 3 6 10 13 2" xfId="30993" xr:uid="{00000000-0005-0000-0000-0000875A0000}"/>
    <cellStyle name="Normal 3 3 6 10 14" xfId="13486" xr:uid="{00000000-0005-0000-0000-0000885A0000}"/>
    <cellStyle name="Normal 3 3 6 10 14 2" xfId="30994" xr:uid="{00000000-0005-0000-0000-0000895A0000}"/>
    <cellStyle name="Normal 3 3 6 10 15" xfId="30989" xr:uid="{00000000-0005-0000-0000-00008A5A0000}"/>
    <cellStyle name="Normal 3 3 6 10 2" xfId="13487" xr:uid="{00000000-0005-0000-0000-00008B5A0000}"/>
    <cellStyle name="Normal 3 3 6 10 2 2" xfId="30995" xr:uid="{00000000-0005-0000-0000-00008C5A0000}"/>
    <cellStyle name="Normal 3 3 6 10 3" xfId="13488" xr:uid="{00000000-0005-0000-0000-00008D5A0000}"/>
    <cellStyle name="Normal 3 3 6 10 3 2" xfId="30996" xr:uid="{00000000-0005-0000-0000-00008E5A0000}"/>
    <cellStyle name="Normal 3 3 6 10 4" xfId="13489" xr:uid="{00000000-0005-0000-0000-00008F5A0000}"/>
    <cellStyle name="Normal 3 3 6 10 4 2" xfId="30997" xr:uid="{00000000-0005-0000-0000-0000905A0000}"/>
    <cellStyle name="Normal 3 3 6 10 5" xfId="13490" xr:uid="{00000000-0005-0000-0000-0000915A0000}"/>
    <cellStyle name="Normal 3 3 6 10 5 2" xfId="30998" xr:uid="{00000000-0005-0000-0000-0000925A0000}"/>
    <cellStyle name="Normal 3 3 6 10 6" xfId="13491" xr:uid="{00000000-0005-0000-0000-0000935A0000}"/>
    <cellStyle name="Normal 3 3 6 10 6 2" xfId="30999" xr:uid="{00000000-0005-0000-0000-0000945A0000}"/>
    <cellStyle name="Normal 3 3 6 10 7" xfId="13492" xr:uid="{00000000-0005-0000-0000-0000955A0000}"/>
    <cellStyle name="Normal 3 3 6 10 7 2" xfId="31000" xr:uid="{00000000-0005-0000-0000-0000965A0000}"/>
    <cellStyle name="Normal 3 3 6 10 8" xfId="13493" xr:uid="{00000000-0005-0000-0000-0000975A0000}"/>
    <cellStyle name="Normal 3 3 6 10 8 2" xfId="31001" xr:uid="{00000000-0005-0000-0000-0000985A0000}"/>
    <cellStyle name="Normal 3 3 6 10 9" xfId="13494" xr:uid="{00000000-0005-0000-0000-0000995A0000}"/>
    <cellStyle name="Normal 3 3 6 10 9 2" xfId="31002" xr:uid="{00000000-0005-0000-0000-00009A5A0000}"/>
    <cellStyle name="Normal 3 3 6 11" xfId="13495" xr:uid="{00000000-0005-0000-0000-00009B5A0000}"/>
    <cellStyle name="Normal 3 3 6 11 10" xfId="13496" xr:uid="{00000000-0005-0000-0000-00009C5A0000}"/>
    <cellStyle name="Normal 3 3 6 11 10 2" xfId="31004" xr:uid="{00000000-0005-0000-0000-00009D5A0000}"/>
    <cellStyle name="Normal 3 3 6 11 11" xfId="13497" xr:uid="{00000000-0005-0000-0000-00009E5A0000}"/>
    <cellStyle name="Normal 3 3 6 11 11 2" xfId="31005" xr:uid="{00000000-0005-0000-0000-00009F5A0000}"/>
    <cellStyle name="Normal 3 3 6 11 12" xfId="13498" xr:uid="{00000000-0005-0000-0000-0000A05A0000}"/>
    <cellStyle name="Normal 3 3 6 11 12 2" xfId="31006" xr:uid="{00000000-0005-0000-0000-0000A15A0000}"/>
    <cellStyle name="Normal 3 3 6 11 13" xfId="13499" xr:uid="{00000000-0005-0000-0000-0000A25A0000}"/>
    <cellStyle name="Normal 3 3 6 11 13 2" xfId="31007" xr:uid="{00000000-0005-0000-0000-0000A35A0000}"/>
    <cellStyle name="Normal 3 3 6 11 14" xfId="13500" xr:uid="{00000000-0005-0000-0000-0000A45A0000}"/>
    <cellStyle name="Normal 3 3 6 11 14 2" xfId="31008" xr:uid="{00000000-0005-0000-0000-0000A55A0000}"/>
    <cellStyle name="Normal 3 3 6 11 15" xfId="31003" xr:uid="{00000000-0005-0000-0000-0000A65A0000}"/>
    <cellStyle name="Normal 3 3 6 11 2" xfId="13501" xr:uid="{00000000-0005-0000-0000-0000A75A0000}"/>
    <cellStyle name="Normal 3 3 6 11 2 2" xfId="31009" xr:uid="{00000000-0005-0000-0000-0000A85A0000}"/>
    <cellStyle name="Normal 3 3 6 11 3" xfId="13502" xr:uid="{00000000-0005-0000-0000-0000A95A0000}"/>
    <cellStyle name="Normal 3 3 6 11 3 2" xfId="31010" xr:uid="{00000000-0005-0000-0000-0000AA5A0000}"/>
    <cellStyle name="Normal 3 3 6 11 4" xfId="13503" xr:uid="{00000000-0005-0000-0000-0000AB5A0000}"/>
    <cellStyle name="Normal 3 3 6 11 4 2" xfId="31011" xr:uid="{00000000-0005-0000-0000-0000AC5A0000}"/>
    <cellStyle name="Normal 3 3 6 11 5" xfId="13504" xr:uid="{00000000-0005-0000-0000-0000AD5A0000}"/>
    <cellStyle name="Normal 3 3 6 11 5 2" xfId="31012" xr:uid="{00000000-0005-0000-0000-0000AE5A0000}"/>
    <cellStyle name="Normal 3 3 6 11 6" xfId="13505" xr:uid="{00000000-0005-0000-0000-0000AF5A0000}"/>
    <cellStyle name="Normal 3 3 6 11 6 2" xfId="31013" xr:uid="{00000000-0005-0000-0000-0000B05A0000}"/>
    <cellStyle name="Normal 3 3 6 11 7" xfId="13506" xr:uid="{00000000-0005-0000-0000-0000B15A0000}"/>
    <cellStyle name="Normal 3 3 6 11 7 2" xfId="31014" xr:uid="{00000000-0005-0000-0000-0000B25A0000}"/>
    <cellStyle name="Normal 3 3 6 11 8" xfId="13507" xr:uid="{00000000-0005-0000-0000-0000B35A0000}"/>
    <cellStyle name="Normal 3 3 6 11 8 2" xfId="31015" xr:uid="{00000000-0005-0000-0000-0000B45A0000}"/>
    <cellStyle name="Normal 3 3 6 11 9" xfId="13508" xr:uid="{00000000-0005-0000-0000-0000B55A0000}"/>
    <cellStyle name="Normal 3 3 6 11 9 2" xfId="31016" xr:uid="{00000000-0005-0000-0000-0000B65A0000}"/>
    <cellStyle name="Normal 3 3 6 12" xfId="13509" xr:uid="{00000000-0005-0000-0000-0000B75A0000}"/>
    <cellStyle name="Normal 3 3 6 12 10" xfId="13510" xr:uid="{00000000-0005-0000-0000-0000B85A0000}"/>
    <cellStyle name="Normal 3 3 6 12 10 2" xfId="31018" xr:uid="{00000000-0005-0000-0000-0000B95A0000}"/>
    <cellStyle name="Normal 3 3 6 12 11" xfId="13511" xr:uid="{00000000-0005-0000-0000-0000BA5A0000}"/>
    <cellStyle name="Normal 3 3 6 12 11 2" xfId="31019" xr:uid="{00000000-0005-0000-0000-0000BB5A0000}"/>
    <cellStyle name="Normal 3 3 6 12 12" xfId="13512" xr:uid="{00000000-0005-0000-0000-0000BC5A0000}"/>
    <cellStyle name="Normal 3 3 6 12 12 2" xfId="31020" xr:uid="{00000000-0005-0000-0000-0000BD5A0000}"/>
    <cellStyle name="Normal 3 3 6 12 13" xfId="13513" xr:uid="{00000000-0005-0000-0000-0000BE5A0000}"/>
    <cellStyle name="Normal 3 3 6 12 13 2" xfId="31021" xr:uid="{00000000-0005-0000-0000-0000BF5A0000}"/>
    <cellStyle name="Normal 3 3 6 12 14" xfId="13514" xr:uid="{00000000-0005-0000-0000-0000C05A0000}"/>
    <cellStyle name="Normal 3 3 6 12 14 2" xfId="31022" xr:uid="{00000000-0005-0000-0000-0000C15A0000}"/>
    <cellStyle name="Normal 3 3 6 12 15" xfId="31017" xr:uid="{00000000-0005-0000-0000-0000C25A0000}"/>
    <cellStyle name="Normal 3 3 6 12 2" xfId="13515" xr:uid="{00000000-0005-0000-0000-0000C35A0000}"/>
    <cellStyle name="Normal 3 3 6 12 2 2" xfId="31023" xr:uid="{00000000-0005-0000-0000-0000C45A0000}"/>
    <cellStyle name="Normal 3 3 6 12 3" xfId="13516" xr:uid="{00000000-0005-0000-0000-0000C55A0000}"/>
    <cellStyle name="Normal 3 3 6 12 3 2" xfId="31024" xr:uid="{00000000-0005-0000-0000-0000C65A0000}"/>
    <cellStyle name="Normal 3 3 6 12 4" xfId="13517" xr:uid="{00000000-0005-0000-0000-0000C75A0000}"/>
    <cellStyle name="Normal 3 3 6 12 4 2" xfId="31025" xr:uid="{00000000-0005-0000-0000-0000C85A0000}"/>
    <cellStyle name="Normal 3 3 6 12 5" xfId="13518" xr:uid="{00000000-0005-0000-0000-0000C95A0000}"/>
    <cellStyle name="Normal 3 3 6 12 5 2" xfId="31026" xr:uid="{00000000-0005-0000-0000-0000CA5A0000}"/>
    <cellStyle name="Normal 3 3 6 12 6" xfId="13519" xr:uid="{00000000-0005-0000-0000-0000CB5A0000}"/>
    <cellStyle name="Normal 3 3 6 12 6 2" xfId="31027" xr:uid="{00000000-0005-0000-0000-0000CC5A0000}"/>
    <cellStyle name="Normal 3 3 6 12 7" xfId="13520" xr:uid="{00000000-0005-0000-0000-0000CD5A0000}"/>
    <cellStyle name="Normal 3 3 6 12 7 2" xfId="31028" xr:uid="{00000000-0005-0000-0000-0000CE5A0000}"/>
    <cellStyle name="Normal 3 3 6 12 8" xfId="13521" xr:uid="{00000000-0005-0000-0000-0000CF5A0000}"/>
    <cellStyle name="Normal 3 3 6 12 8 2" xfId="31029" xr:uid="{00000000-0005-0000-0000-0000D05A0000}"/>
    <cellStyle name="Normal 3 3 6 12 9" xfId="13522" xr:uid="{00000000-0005-0000-0000-0000D15A0000}"/>
    <cellStyle name="Normal 3 3 6 12 9 2" xfId="31030" xr:uid="{00000000-0005-0000-0000-0000D25A0000}"/>
    <cellStyle name="Normal 3 3 6 13" xfId="13523" xr:uid="{00000000-0005-0000-0000-0000D35A0000}"/>
    <cellStyle name="Normal 3 3 6 13 10" xfId="13524" xr:uid="{00000000-0005-0000-0000-0000D45A0000}"/>
    <cellStyle name="Normal 3 3 6 13 10 2" xfId="31032" xr:uid="{00000000-0005-0000-0000-0000D55A0000}"/>
    <cellStyle name="Normal 3 3 6 13 11" xfId="13525" xr:uid="{00000000-0005-0000-0000-0000D65A0000}"/>
    <cellStyle name="Normal 3 3 6 13 11 2" xfId="31033" xr:uid="{00000000-0005-0000-0000-0000D75A0000}"/>
    <cellStyle name="Normal 3 3 6 13 12" xfId="13526" xr:uid="{00000000-0005-0000-0000-0000D85A0000}"/>
    <cellStyle name="Normal 3 3 6 13 12 2" xfId="31034" xr:uid="{00000000-0005-0000-0000-0000D95A0000}"/>
    <cellStyle name="Normal 3 3 6 13 13" xfId="13527" xr:uid="{00000000-0005-0000-0000-0000DA5A0000}"/>
    <cellStyle name="Normal 3 3 6 13 13 2" xfId="31035" xr:uid="{00000000-0005-0000-0000-0000DB5A0000}"/>
    <cellStyle name="Normal 3 3 6 13 14" xfId="13528" xr:uid="{00000000-0005-0000-0000-0000DC5A0000}"/>
    <cellStyle name="Normal 3 3 6 13 14 2" xfId="31036" xr:uid="{00000000-0005-0000-0000-0000DD5A0000}"/>
    <cellStyle name="Normal 3 3 6 13 15" xfId="31031" xr:uid="{00000000-0005-0000-0000-0000DE5A0000}"/>
    <cellStyle name="Normal 3 3 6 13 2" xfId="13529" xr:uid="{00000000-0005-0000-0000-0000DF5A0000}"/>
    <cellStyle name="Normal 3 3 6 13 2 2" xfId="31037" xr:uid="{00000000-0005-0000-0000-0000E05A0000}"/>
    <cellStyle name="Normal 3 3 6 13 3" xfId="13530" xr:uid="{00000000-0005-0000-0000-0000E15A0000}"/>
    <cellStyle name="Normal 3 3 6 13 3 2" xfId="31038" xr:uid="{00000000-0005-0000-0000-0000E25A0000}"/>
    <cellStyle name="Normal 3 3 6 13 4" xfId="13531" xr:uid="{00000000-0005-0000-0000-0000E35A0000}"/>
    <cellStyle name="Normal 3 3 6 13 4 2" xfId="31039" xr:uid="{00000000-0005-0000-0000-0000E45A0000}"/>
    <cellStyle name="Normal 3 3 6 13 5" xfId="13532" xr:uid="{00000000-0005-0000-0000-0000E55A0000}"/>
    <cellStyle name="Normal 3 3 6 13 5 2" xfId="31040" xr:uid="{00000000-0005-0000-0000-0000E65A0000}"/>
    <cellStyle name="Normal 3 3 6 13 6" xfId="13533" xr:uid="{00000000-0005-0000-0000-0000E75A0000}"/>
    <cellStyle name="Normal 3 3 6 13 6 2" xfId="31041" xr:uid="{00000000-0005-0000-0000-0000E85A0000}"/>
    <cellStyle name="Normal 3 3 6 13 7" xfId="13534" xr:uid="{00000000-0005-0000-0000-0000E95A0000}"/>
    <cellStyle name="Normal 3 3 6 13 7 2" xfId="31042" xr:uid="{00000000-0005-0000-0000-0000EA5A0000}"/>
    <cellStyle name="Normal 3 3 6 13 8" xfId="13535" xr:uid="{00000000-0005-0000-0000-0000EB5A0000}"/>
    <cellStyle name="Normal 3 3 6 13 8 2" xfId="31043" xr:uid="{00000000-0005-0000-0000-0000EC5A0000}"/>
    <cellStyle name="Normal 3 3 6 13 9" xfId="13536" xr:uid="{00000000-0005-0000-0000-0000ED5A0000}"/>
    <cellStyle name="Normal 3 3 6 13 9 2" xfId="31044" xr:uid="{00000000-0005-0000-0000-0000EE5A0000}"/>
    <cellStyle name="Normal 3 3 6 14" xfId="13537" xr:uid="{00000000-0005-0000-0000-0000EF5A0000}"/>
    <cellStyle name="Normal 3 3 6 14 10" xfId="13538" xr:uid="{00000000-0005-0000-0000-0000F05A0000}"/>
    <cellStyle name="Normal 3 3 6 14 10 2" xfId="31046" xr:uid="{00000000-0005-0000-0000-0000F15A0000}"/>
    <cellStyle name="Normal 3 3 6 14 11" xfId="13539" xr:uid="{00000000-0005-0000-0000-0000F25A0000}"/>
    <cellStyle name="Normal 3 3 6 14 11 2" xfId="31047" xr:uid="{00000000-0005-0000-0000-0000F35A0000}"/>
    <cellStyle name="Normal 3 3 6 14 12" xfId="13540" xr:uid="{00000000-0005-0000-0000-0000F45A0000}"/>
    <cellStyle name="Normal 3 3 6 14 12 2" xfId="31048" xr:uid="{00000000-0005-0000-0000-0000F55A0000}"/>
    <cellStyle name="Normal 3 3 6 14 13" xfId="13541" xr:uid="{00000000-0005-0000-0000-0000F65A0000}"/>
    <cellStyle name="Normal 3 3 6 14 13 2" xfId="31049" xr:uid="{00000000-0005-0000-0000-0000F75A0000}"/>
    <cellStyle name="Normal 3 3 6 14 14" xfId="13542" xr:uid="{00000000-0005-0000-0000-0000F85A0000}"/>
    <cellStyle name="Normal 3 3 6 14 14 2" xfId="31050" xr:uid="{00000000-0005-0000-0000-0000F95A0000}"/>
    <cellStyle name="Normal 3 3 6 14 15" xfId="31045" xr:uid="{00000000-0005-0000-0000-0000FA5A0000}"/>
    <cellStyle name="Normal 3 3 6 14 2" xfId="13543" xr:uid="{00000000-0005-0000-0000-0000FB5A0000}"/>
    <cellStyle name="Normal 3 3 6 14 2 2" xfId="31051" xr:uid="{00000000-0005-0000-0000-0000FC5A0000}"/>
    <cellStyle name="Normal 3 3 6 14 3" xfId="13544" xr:uid="{00000000-0005-0000-0000-0000FD5A0000}"/>
    <cellStyle name="Normal 3 3 6 14 3 2" xfId="31052" xr:uid="{00000000-0005-0000-0000-0000FE5A0000}"/>
    <cellStyle name="Normal 3 3 6 14 4" xfId="13545" xr:uid="{00000000-0005-0000-0000-0000FF5A0000}"/>
    <cellStyle name="Normal 3 3 6 14 4 2" xfId="31053" xr:uid="{00000000-0005-0000-0000-0000005B0000}"/>
    <cellStyle name="Normal 3 3 6 14 5" xfId="13546" xr:uid="{00000000-0005-0000-0000-0000015B0000}"/>
    <cellStyle name="Normal 3 3 6 14 5 2" xfId="31054" xr:uid="{00000000-0005-0000-0000-0000025B0000}"/>
    <cellStyle name="Normal 3 3 6 14 6" xfId="13547" xr:uid="{00000000-0005-0000-0000-0000035B0000}"/>
    <cellStyle name="Normal 3 3 6 14 6 2" xfId="31055" xr:uid="{00000000-0005-0000-0000-0000045B0000}"/>
    <cellStyle name="Normal 3 3 6 14 7" xfId="13548" xr:uid="{00000000-0005-0000-0000-0000055B0000}"/>
    <cellStyle name="Normal 3 3 6 14 7 2" xfId="31056" xr:uid="{00000000-0005-0000-0000-0000065B0000}"/>
    <cellStyle name="Normal 3 3 6 14 8" xfId="13549" xr:uid="{00000000-0005-0000-0000-0000075B0000}"/>
    <cellStyle name="Normal 3 3 6 14 8 2" xfId="31057" xr:uid="{00000000-0005-0000-0000-0000085B0000}"/>
    <cellStyle name="Normal 3 3 6 14 9" xfId="13550" xr:uid="{00000000-0005-0000-0000-0000095B0000}"/>
    <cellStyle name="Normal 3 3 6 14 9 2" xfId="31058" xr:uid="{00000000-0005-0000-0000-00000A5B0000}"/>
    <cellStyle name="Normal 3 3 6 15" xfId="13551" xr:uid="{00000000-0005-0000-0000-00000B5B0000}"/>
    <cellStyle name="Normal 3 3 6 15 2" xfId="31059" xr:uid="{00000000-0005-0000-0000-00000C5B0000}"/>
    <cellStyle name="Normal 3 3 6 16" xfId="13552" xr:uid="{00000000-0005-0000-0000-00000D5B0000}"/>
    <cellStyle name="Normal 3 3 6 16 2" xfId="31060" xr:uid="{00000000-0005-0000-0000-00000E5B0000}"/>
    <cellStyle name="Normal 3 3 6 17" xfId="13553" xr:uid="{00000000-0005-0000-0000-00000F5B0000}"/>
    <cellStyle name="Normal 3 3 6 17 2" xfId="31061" xr:uid="{00000000-0005-0000-0000-0000105B0000}"/>
    <cellStyle name="Normal 3 3 6 18" xfId="13554" xr:uid="{00000000-0005-0000-0000-0000115B0000}"/>
    <cellStyle name="Normal 3 3 6 18 2" xfId="31062" xr:uid="{00000000-0005-0000-0000-0000125B0000}"/>
    <cellStyle name="Normal 3 3 6 19" xfId="13555" xr:uid="{00000000-0005-0000-0000-0000135B0000}"/>
    <cellStyle name="Normal 3 3 6 19 2" xfId="31063" xr:uid="{00000000-0005-0000-0000-0000145B0000}"/>
    <cellStyle name="Normal 3 3 6 2" xfId="13556" xr:uid="{00000000-0005-0000-0000-0000155B0000}"/>
    <cellStyle name="Normal 3 3 6 20" xfId="13557" xr:uid="{00000000-0005-0000-0000-0000165B0000}"/>
    <cellStyle name="Normal 3 3 6 20 2" xfId="31064" xr:uid="{00000000-0005-0000-0000-0000175B0000}"/>
    <cellStyle name="Normal 3 3 6 21" xfId="13558" xr:uid="{00000000-0005-0000-0000-0000185B0000}"/>
    <cellStyle name="Normal 3 3 6 21 2" xfId="31065" xr:uid="{00000000-0005-0000-0000-0000195B0000}"/>
    <cellStyle name="Normal 3 3 6 22" xfId="13559" xr:uid="{00000000-0005-0000-0000-00001A5B0000}"/>
    <cellStyle name="Normal 3 3 6 22 2" xfId="31066" xr:uid="{00000000-0005-0000-0000-00001B5B0000}"/>
    <cellStyle name="Normal 3 3 6 23" xfId="13560" xr:uid="{00000000-0005-0000-0000-00001C5B0000}"/>
    <cellStyle name="Normal 3 3 6 23 2" xfId="31067" xr:uid="{00000000-0005-0000-0000-00001D5B0000}"/>
    <cellStyle name="Normal 3 3 6 24" xfId="13561" xr:uid="{00000000-0005-0000-0000-00001E5B0000}"/>
    <cellStyle name="Normal 3 3 6 24 2" xfId="31068" xr:uid="{00000000-0005-0000-0000-00001F5B0000}"/>
    <cellStyle name="Normal 3 3 6 25" xfId="13562" xr:uid="{00000000-0005-0000-0000-0000205B0000}"/>
    <cellStyle name="Normal 3 3 6 25 2" xfId="31069" xr:uid="{00000000-0005-0000-0000-0000215B0000}"/>
    <cellStyle name="Normal 3 3 6 26" xfId="13563" xr:uid="{00000000-0005-0000-0000-0000225B0000}"/>
    <cellStyle name="Normal 3 3 6 26 2" xfId="31070" xr:uid="{00000000-0005-0000-0000-0000235B0000}"/>
    <cellStyle name="Normal 3 3 6 27" xfId="13564" xr:uid="{00000000-0005-0000-0000-0000245B0000}"/>
    <cellStyle name="Normal 3 3 6 27 2" xfId="31071" xr:uid="{00000000-0005-0000-0000-0000255B0000}"/>
    <cellStyle name="Normal 3 3 6 28" xfId="30988" xr:uid="{00000000-0005-0000-0000-0000265B0000}"/>
    <cellStyle name="Normal 3 3 6 3" xfId="13565" xr:uid="{00000000-0005-0000-0000-0000275B0000}"/>
    <cellStyle name="Normal 3 3 6 4" xfId="13566" xr:uid="{00000000-0005-0000-0000-0000285B0000}"/>
    <cellStyle name="Normal 3 3 6 5" xfId="13567" xr:uid="{00000000-0005-0000-0000-0000295B0000}"/>
    <cellStyle name="Normal 3 3 6 6" xfId="13568" xr:uid="{00000000-0005-0000-0000-00002A5B0000}"/>
    <cellStyle name="Normal 3 3 6 6 10" xfId="13569" xr:uid="{00000000-0005-0000-0000-00002B5B0000}"/>
    <cellStyle name="Normal 3 3 6 6 10 2" xfId="31073" xr:uid="{00000000-0005-0000-0000-00002C5B0000}"/>
    <cellStyle name="Normal 3 3 6 6 11" xfId="13570" xr:uid="{00000000-0005-0000-0000-00002D5B0000}"/>
    <cellStyle name="Normal 3 3 6 6 11 2" xfId="31074" xr:uid="{00000000-0005-0000-0000-00002E5B0000}"/>
    <cellStyle name="Normal 3 3 6 6 12" xfId="13571" xr:uid="{00000000-0005-0000-0000-00002F5B0000}"/>
    <cellStyle name="Normal 3 3 6 6 12 2" xfId="31075" xr:uid="{00000000-0005-0000-0000-0000305B0000}"/>
    <cellStyle name="Normal 3 3 6 6 13" xfId="13572" xr:uid="{00000000-0005-0000-0000-0000315B0000}"/>
    <cellStyle name="Normal 3 3 6 6 13 2" xfId="31076" xr:uid="{00000000-0005-0000-0000-0000325B0000}"/>
    <cellStyle name="Normal 3 3 6 6 14" xfId="13573" xr:uid="{00000000-0005-0000-0000-0000335B0000}"/>
    <cellStyle name="Normal 3 3 6 6 14 2" xfId="31077" xr:uid="{00000000-0005-0000-0000-0000345B0000}"/>
    <cellStyle name="Normal 3 3 6 6 15" xfId="13574" xr:uid="{00000000-0005-0000-0000-0000355B0000}"/>
    <cellStyle name="Normal 3 3 6 6 15 2" xfId="31078" xr:uid="{00000000-0005-0000-0000-0000365B0000}"/>
    <cellStyle name="Normal 3 3 6 6 16" xfId="31072" xr:uid="{00000000-0005-0000-0000-0000375B0000}"/>
    <cellStyle name="Normal 3 3 6 6 2" xfId="13575" xr:uid="{00000000-0005-0000-0000-0000385B0000}"/>
    <cellStyle name="Normal 3 3 6 6 2 10" xfId="13576" xr:uid="{00000000-0005-0000-0000-0000395B0000}"/>
    <cellStyle name="Normal 3 3 6 6 2 10 2" xfId="31080" xr:uid="{00000000-0005-0000-0000-00003A5B0000}"/>
    <cellStyle name="Normal 3 3 6 6 2 11" xfId="13577" xr:uid="{00000000-0005-0000-0000-00003B5B0000}"/>
    <cellStyle name="Normal 3 3 6 6 2 11 2" xfId="31081" xr:uid="{00000000-0005-0000-0000-00003C5B0000}"/>
    <cellStyle name="Normal 3 3 6 6 2 12" xfId="13578" xr:uid="{00000000-0005-0000-0000-00003D5B0000}"/>
    <cellStyle name="Normal 3 3 6 6 2 12 2" xfId="31082" xr:uid="{00000000-0005-0000-0000-00003E5B0000}"/>
    <cellStyle name="Normal 3 3 6 6 2 13" xfId="13579" xr:uid="{00000000-0005-0000-0000-00003F5B0000}"/>
    <cellStyle name="Normal 3 3 6 6 2 13 2" xfId="31083" xr:uid="{00000000-0005-0000-0000-0000405B0000}"/>
    <cellStyle name="Normal 3 3 6 6 2 14" xfId="13580" xr:uid="{00000000-0005-0000-0000-0000415B0000}"/>
    <cellStyle name="Normal 3 3 6 6 2 14 2" xfId="31084" xr:uid="{00000000-0005-0000-0000-0000425B0000}"/>
    <cellStyle name="Normal 3 3 6 6 2 15" xfId="31079" xr:uid="{00000000-0005-0000-0000-0000435B0000}"/>
    <cellStyle name="Normal 3 3 6 6 2 2" xfId="13581" xr:uid="{00000000-0005-0000-0000-0000445B0000}"/>
    <cellStyle name="Normal 3 3 6 6 2 2 2" xfId="31085" xr:uid="{00000000-0005-0000-0000-0000455B0000}"/>
    <cellStyle name="Normal 3 3 6 6 2 3" xfId="13582" xr:uid="{00000000-0005-0000-0000-0000465B0000}"/>
    <cellStyle name="Normal 3 3 6 6 2 3 2" xfId="31086" xr:uid="{00000000-0005-0000-0000-0000475B0000}"/>
    <cellStyle name="Normal 3 3 6 6 2 4" xfId="13583" xr:uid="{00000000-0005-0000-0000-0000485B0000}"/>
    <cellStyle name="Normal 3 3 6 6 2 4 2" xfId="31087" xr:uid="{00000000-0005-0000-0000-0000495B0000}"/>
    <cellStyle name="Normal 3 3 6 6 2 5" xfId="13584" xr:uid="{00000000-0005-0000-0000-00004A5B0000}"/>
    <cellStyle name="Normal 3 3 6 6 2 5 2" xfId="31088" xr:uid="{00000000-0005-0000-0000-00004B5B0000}"/>
    <cellStyle name="Normal 3 3 6 6 2 6" xfId="13585" xr:uid="{00000000-0005-0000-0000-00004C5B0000}"/>
    <cellStyle name="Normal 3 3 6 6 2 6 2" xfId="31089" xr:uid="{00000000-0005-0000-0000-00004D5B0000}"/>
    <cellStyle name="Normal 3 3 6 6 2 7" xfId="13586" xr:uid="{00000000-0005-0000-0000-00004E5B0000}"/>
    <cellStyle name="Normal 3 3 6 6 2 7 2" xfId="31090" xr:uid="{00000000-0005-0000-0000-00004F5B0000}"/>
    <cellStyle name="Normal 3 3 6 6 2 8" xfId="13587" xr:uid="{00000000-0005-0000-0000-0000505B0000}"/>
    <cellStyle name="Normal 3 3 6 6 2 8 2" xfId="31091" xr:uid="{00000000-0005-0000-0000-0000515B0000}"/>
    <cellStyle name="Normal 3 3 6 6 2 9" xfId="13588" xr:uid="{00000000-0005-0000-0000-0000525B0000}"/>
    <cellStyle name="Normal 3 3 6 6 2 9 2" xfId="31092" xr:uid="{00000000-0005-0000-0000-0000535B0000}"/>
    <cellStyle name="Normal 3 3 6 6 3" xfId="13589" xr:uid="{00000000-0005-0000-0000-0000545B0000}"/>
    <cellStyle name="Normal 3 3 6 6 3 2" xfId="31093" xr:uid="{00000000-0005-0000-0000-0000555B0000}"/>
    <cellStyle name="Normal 3 3 6 6 4" xfId="13590" xr:uid="{00000000-0005-0000-0000-0000565B0000}"/>
    <cellStyle name="Normal 3 3 6 6 4 2" xfId="31094" xr:uid="{00000000-0005-0000-0000-0000575B0000}"/>
    <cellStyle name="Normal 3 3 6 6 5" xfId="13591" xr:uid="{00000000-0005-0000-0000-0000585B0000}"/>
    <cellStyle name="Normal 3 3 6 6 5 2" xfId="31095" xr:uid="{00000000-0005-0000-0000-0000595B0000}"/>
    <cellStyle name="Normal 3 3 6 6 6" xfId="13592" xr:uid="{00000000-0005-0000-0000-00005A5B0000}"/>
    <cellStyle name="Normal 3 3 6 6 6 2" xfId="31096" xr:uid="{00000000-0005-0000-0000-00005B5B0000}"/>
    <cellStyle name="Normal 3 3 6 6 7" xfId="13593" xr:uid="{00000000-0005-0000-0000-00005C5B0000}"/>
    <cellStyle name="Normal 3 3 6 6 7 2" xfId="31097" xr:uid="{00000000-0005-0000-0000-00005D5B0000}"/>
    <cellStyle name="Normal 3 3 6 6 8" xfId="13594" xr:uid="{00000000-0005-0000-0000-00005E5B0000}"/>
    <cellStyle name="Normal 3 3 6 6 8 2" xfId="31098" xr:uid="{00000000-0005-0000-0000-00005F5B0000}"/>
    <cellStyle name="Normal 3 3 6 6 9" xfId="13595" xr:uid="{00000000-0005-0000-0000-0000605B0000}"/>
    <cellStyle name="Normal 3 3 6 6 9 2" xfId="31099" xr:uid="{00000000-0005-0000-0000-0000615B0000}"/>
    <cellStyle name="Normal 3 3 6 7" xfId="13596" xr:uid="{00000000-0005-0000-0000-0000625B0000}"/>
    <cellStyle name="Normal 3 3 6 7 10" xfId="13597" xr:uid="{00000000-0005-0000-0000-0000635B0000}"/>
    <cellStyle name="Normal 3 3 6 7 10 2" xfId="31101" xr:uid="{00000000-0005-0000-0000-0000645B0000}"/>
    <cellStyle name="Normal 3 3 6 7 11" xfId="13598" xr:uid="{00000000-0005-0000-0000-0000655B0000}"/>
    <cellStyle name="Normal 3 3 6 7 11 2" xfId="31102" xr:uid="{00000000-0005-0000-0000-0000665B0000}"/>
    <cellStyle name="Normal 3 3 6 7 12" xfId="13599" xr:uid="{00000000-0005-0000-0000-0000675B0000}"/>
    <cellStyle name="Normal 3 3 6 7 12 2" xfId="31103" xr:uid="{00000000-0005-0000-0000-0000685B0000}"/>
    <cellStyle name="Normal 3 3 6 7 13" xfId="13600" xr:uid="{00000000-0005-0000-0000-0000695B0000}"/>
    <cellStyle name="Normal 3 3 6 7 13 2" xfId="31104" xr:uid="{00000000-0005-0000-0000-00006A5B0000}"/>
    <cellStyle name="Normal 3 3 6 7 14" xfId="13601" xr:uid="{00000000-0005-0000-0000-00006B5B0000}"/>
    <cellStyle name="Normal 3 3 6 7 14 2" xfId="31105" xr:uid="{00000000-0005-0000-0000-00006C5B0000}"/>
    <cellStyle name="Normal 3 3 6 7 15" xfId="13602" xr:uid="{00000000-0005-0000-0000-00006D5B0000}"/>
    <cellStyle name="Normal 3 3 6 7 15 2" xfId="31106" xr:uid="{00000000-0005-0000-0000-00006E5B0000}"/>
    <cellStyle name="Normal 3 3 6 7 16" xfId="31100" xr:uid="{00000000-0005-0000-0000-00006F5B0000}"/>
    <cellStyle name="Normal 3 3 6 7 2" xfId="13603" xr:uid="{00000000-0005-0000-0000-0000705B0000}"/>
    <cellStyle name="Normal 3 3 6 7 2 10" xfId="13604" xr:uid="{00000000-0005-0000-0000-0000715B0000}"/>
    <cellStyle name="Normal 3 3 6 7 2 10 2" xfId="31108" xr:uid="{00000000-0005-0000-0000-0000725B0000}"/>
    <cellStyle name="Normal 3 3 6 7 2 11" xfId="13605" xr:uid="{00000000-0005-0000-0000-0000735B0000}"/>
    <cellStyle name="Normal 3 3 6 7 2 11 2" xfId="31109" xr:uid="{00000000-0005-0000-0000-0000745B0000}"/>
    <cellStyle name="Normal 3 3 6 7 2 12" xfId="13606" xr:uid="{00000000-0005-0000-0000-0000755B0000}"/>
    <cellStyle name="Normal 3 3 6 7 2 12 2" xfId="31110" xr:uid="{00000000-0005-0000-0000-0000765B0000}"/>
    <cellStyle name="Normal 3 3 6 7 2 13" xfId="13607" xr:uid="{00000000-0005-0000-0000-0000775B0000}"/>
    <cellStyle name="Normal 3 3 6 7 2 13 2" xfId="31111" xr:uid="{00000000-0005-0000-0000-0000785B0000}"/>
    <cellStyle name="Normal 3 3 6 7 2 14" xfId="13608" xr:uid="{00000000-0005-0000-0000-0000795B0000}"/>
    <cellStyle name="Normal 3 3 6 7 2 14 2" xfId="31112" xr:uid="{00000000-0005-0000-0000-00007A5B0000}"/>
    <cellStyle name="Normal 3 3 6 7 2 15" xfId="31107" xr:uid="{00000000-0005-0000-0000-00007B5B0000}"/>
    <cellStyle name="Normal 3 3 6 7 2 2" xfId="13609" xr:uid="{00000000-0005-0000-0000-00007C5B0000}"/>
    <cellStyle name="Normal 3 3 6 7 2 2 2" xfId="31113" xr:uid="{00000000-0005-0000-0000-00007D5B0000}"/>
    <cellStyle name="Normal 3 3 6 7 2 3" xfId="13610" xr:uid="{00000000-0005-0000-0000-00007E5B0000}"/>
    <cellStyle name="Normal 3 3 6 7 2 3 2" xfId="31114" xr:uid="{00000000-0005-0000-0000-00007F5B0000}"/>
    <cellStyle name="Normal 3 3 6 7 2 4" xfId="13611" xr:uid="{00000000-0005-0000-0000-0000805B0000}"/>
    <cellStyle name="Normal 3 3 6 7 2 4 2" xfId="31115" xr:uid="{00000000-0005-0000-0000-0000815B0000}"/>
    <cellStyle name="Normal 3 3 6 7 2 5" xfId="13612" xr:uid="{00000000-0005-0000-0000-0000825B0000}"/>
    <cellStyle name="Normal 3 3 6 7 2 5 2" xfId="31116" xr:uid="{00000000-0005-0000-0000-0000835B0000}"/>
    <cellStyle name="Normal 3 3 6 7 2 6" xfId="13613" xr:uid="{00000000-0005-0000-0000-0000845B0000}"/>
    <cellStyle name="Normal 3 3 6 7 2 6 2" xfId="31117" xr:uid="{00000000-0005-0000-0000-0000855B0000}"/>
    <cellStyle name="Normal 3 3 6 7 2 7" xfId="13614" xr:uid="{00000000-0005-0000-0000-0000865B0000}"/>
    <cellStyle name="Normal 3 3 6 7 2 7 2" xfId="31118" xr:uid="{00000000-0005-0000-0000-0000875B0000}"/>
    <cellStyle name="Normal 3 3 6 7 2 8" xfId="13615" xr:uid="{00000000-0005-0000-0000-0000885B0000}"/>
    <cellStyle name="Normal 3 3 6 7 2 8 2" xfId="31119" xr:uid="{00000000-0005-0000-0000-0000895B0000}"/>
    <cellStyle name="Normal 3 3 6 7 2 9" xfId="13616" xr:uid="{00000000-0005-0000-0000-00008A5B0000}"/>
    <cellStyle name="Normal 3 3 6 7 2 9 2" xfId="31120" xr:uid="{00000000-0005-0000-0000-00008B5B0000}"/>
    <cellStyle name="Normal 3 3 6 7 3" xfId="13617" xr:uid="{00000000-0005-0000-0000-00008C5B0000}"/>
    <cellStyle name="Normal 3 3 6 7 3 2" xfId="31121" xr:uid="{00000000-0005-0000-0000-00008D5B0000}"/>
    <cellStyle name="Normal 3 3 6 7 4" xfId="13618" xr:uid="{00000000-0005-0000-0000-00008E5B0000}"/>
    <cellStyle name="Normal 3 3 6 7 4 2" xfId="31122" xr:uid="{00000000-0005-0000-0000-00008F5B0000}"/>
    <cellStyle name="Normal 3 3 6 7 5" xfId="13619" xr:uid="{00000000-0005-0000-0000-0000905B0000}"/>
    <cellStyle name="Normal 3 3 6 7 5 2" xfId="31123" xr:uid="{00000000-0005-0000-0000-0000915B0000}"/>
    <cellStyle name="Normal 3 3 6 7 6" xfId="13620" xr:uid="{00000000-0005-0000-0000-0000925B0000}"/>
    <cellStyle name="Normal 3 3 6 7 6 2" xfId="31124" xr:uid="{00000000-0005-0000-0000-0000935B0000}"/>
    <cellStyle name="Normal 3 3 6 7 7" xfId="13621" xr:uid="{00000000-0005-0000-0000-0000945B0000}"/>
    <cellStyle name="Normal 3 3 6 7 7 2" xfId="31125" xr:uid="{00000000-0005-0000-0000-0000955B0000}"/>
    <cellStyle name="Normal 3 3 6 7 8" xfId="13622" xr:uid="{00000000-0005-0000-0000-0000965B0000}"/>
    <cellStyle name="Normal 3 3 6 7 8 2" xfId="31126" xr:uid="{00000000-0005-0000-0000-0000975B0000}"/>
    <cellStyle name="Normal 3 3 6 7 9" xfId="13623" xr:uid="{00000000-0005-0000-0000-0000985B0000}"/>
    <cellStyle name="Normal 3 3 6 7 9 2" xfId="31127" xr:uid="{00000000-0005-0000-0000-0000995B0000}"/>
    <cellStyle name="Normal 3 3 6 8" xfId="13624" xr:uid="{00000000-0005-0000-0000-00009A5B0000}"/>
    <cellStyle name="Normal 3 3 6 8 10" xfId="13625" xr:uid="{00000000-0005-0000-0000-00009B5B0000}"/>
    <cellStyle name="Normal 3 3 6 8 10 2" xfId="31129" xr:uid="{00000000-0005-0000-0000-00009C5B0000}"/>
    <cellStyle name="Normal 3 3 6 8 11" xfId="13626" xr:uid="{00000000-0005-0000-0000-00009D5B0000}"/>
    <cellStyle name="Normal 3 3 6 8 11 2" xfId="31130" xr:uid="{00000000-0005-0000-0000-00009E5B0000}"/>
    <cellStyle name="Normal 3 3 6 8 12" xfId="13627" xr:uid="{00000000-0005-0000-0000-00009F5B0000}"/>
    <cellStyle name="Normal 3 3 6 8 12 2" xfId="31131" xr:uid="{00000000-0005-0000-0000-0000A05B0000}"/>
    <cellStyle name="Normal 3 3 6 8 13" xfId="13628" xr:uid="{00000000-0005-0000-0000-0000A15B0000}"/>
    <cellStyle name="Normal 3 3 6 8 13 2" xfId="31132" xr:uid="{00000000-0005-0000-0000-0000A25B0000}"/>
    <cellStyle name="Normal 3 3 6 8 14" xfId="13629" xr:uid="{00000000-0005-0000-0000-0000A35B0000}"/>
    <cellStyle name="Normal 3 3 6 8 14 2" xfId="31133" xr:uid="{00000000-0005-0000-0000-0000A45B0000}"/>
    <cellStyle name="Normal 3 3 6 8 15" xfId="13630" xr:uid="{00000000-0005-0000-0000-0000A55B0000}"/>
    <cellStyle name="Normal 3 3 6 8 15 2" xfId="31134" xr:uid="{00000000-0005-0000-0000-0000A65B0000}"/>
    <cellStyle name="Normal 3 3 6 8 16" xfId="31128" xr:uid="{00000000-0005-0000-0000-0000A75B0000}"/>
    <cellStyle name="Normal 3 3 6 8 2" xfId="13631" xr:uid="{00000000-0005-0000-0000-0000A85B0000}"/>
    <cellStyle name="Normal 3 3 6 8 2 10" xfId="13632" xr:uid="{00000000-0005-0000-0000-0000A95B0000}"/>
    <cellStyle name="Normal 3 3 6 8 2 10 2" xfId="31136" xr:uid="{00000000-0005-0000-0000-0000AA5B0000}"/>
    <cellStyle name="Normal 3 3 6 8 2 11" xfId="13633" xr:uid="{00000000-0005-0000-0000-0000AB5B0000}"/>
    <cellStyle name="Normal 3 3 6 8 2 11 2" xfId="31137" xr:uid="{00000000-0005-0000-0000-0000AC5B0000}"/>
    <cellStyle name="Normal 3 3 6 8 2 12" xfId="13634" xr:uid="{00000000-0005-0000-0000-0000AD5B0000}"/>
    <cellStyle name="Normal 3 3 6 8 2 12 2" xfId="31138" xr:uid="{00000000-0005-0000-0000-0000AE5B0000}"/>
    <cellStyle name="Normal 3 3 6 8 2 13" xfId="13635" xr:uid="{00000000-0005-0000-0000-0000AF5B0000}"/>
    <cellStyle name="Normal 3 3 6 8 2 13 2" xfId="31139" xr:uid="{00000000-0005-0000-0000-0000B05B0000}"/>
    <cellStyle name="Normal 3 3 6 8 2 14" xfId="13636" xr:uid="{00000000-0005-0000-0000-0000B15B0000}"/>
    <cellStyle name="Normal 3 3 6 8 2 14 2" xfId="31140" xr:uid="{00000000-0005-0000-0000-0000B25B0000}"/>
    <cellStyle name="Normal 3 3 6 8 2 15" xfId="31135" xr:uid="{00000000-0005-0000-0000-0000B35B0000}"/>
    <cellStyle name="Normal 3 3 6 8 2 2" xfId="13637" xr:uid="{00000000-0005-0000-0000-0000B45B0000}"/>
    <cellStyle name="Normal 3 3 6 8 2 2 2" xfId="31141" xr:uid="{00000000-0005-0000-0000-0000B55B0000}"/>
    <cellStyle name="Normal 3 3 6 8 2 3" xfId="13638" xr:uid="{00000000-0005-0000-0000-0000B65B0000}"/>
    <cellStyle name="Normal 3 3 6 8 2 3 2" xfId="31142" xr:uid="{00000000-0005-0000-0000-0000B75B0000}"/>
    <cellStyle name="Normal 3 3 6 8 2 4" xfId="13639" xr:uid="{00000000-0005-0000-0000-0000B85B0000}"/>
    <cellStyle name="Normal 3 3 6 8 2 4 2" xfId="31143" xr:uid="{00000000-0005-0000-0000-0000B95B0000}"/>
    <cellStyle name="Normal 3 3 6 8 2 5" xfId="13640" xr:uid="{00000000-0005-0000-0000-0000BA5B0000}"/>
    <cellStyle name="Normal 3 3 6 8 2 5 2" xfId="31144" xr:uid="{00000000-0005-0000-0000-0000BB5B0000}"/>
    <cellStyle name="Normal 3 3 6 8 2 6" xfId="13641" xr:uid="{00000000-0005-0000-0000-0000BC5B0000}"/>
    <cellStyle name="Normal 3 3 6 8 2 6 2" xfId="31145" xr:uid="{00000000-0005-0000-0000-0000BD5B0000}"/>
    <cellStyle name="Normal 3 3 6 8 2 7" xfId="13642" xr:uid="{00000000-0005-0000-0000-0000BE5B0000}"/>
    <cellStyle name="Normal 3 3 6 8 2 7 2" xfId="31146" xr:uid="{00000000-0005-0000-0000-0000BF5B0000}"/>
    <cellStyle name="Normal 3 3 6 8 2 8" xfId="13643" xr:uid="{00000000-0005-0000-0000-0000C05B0000}"/>
    <cellStyle name="Normal 3 3 6 8 2 8 2" xfId="31147" xr:uid="{00000000-0005-0000-0000-0000C15B0000}"/>
    <cellStyle name="Normal 3 3 6 8 2 9" xfId="13644" xr:uid="{00000000-0005-0000-0000-0000C25B0000}"/>
    <cellStyle name="Normal 3 3 6 8 2 9 2" xfId="31148" xr:uid="{00000000-0005-0000-0000-0000C35B0000}"/>
    <cellStyle name="Normal 3 3 6 8 3" xfId="13645" xr:uid="{00000000-0005-0000-0000-0000C45B0000}"/>
    <cellStyle name="Normal 3 3 6 8 3 2" xfId="31149" xr:uid="{00000000-0005-0000-0000-0000C55B0000}"/>
    <cellStyle name="Normal 3 3 6 8 4" xfId="13646" xr:uid="{00000000-0005-0000-0000-0000C65B0000}"/>
    <cellStyle name="Normal 3 3 6 8 4 2" xfId="31150" xr:uid="{00000000-0005-0000-0000-0000C75B0000}"/>
    <cellStyle name="Normal 3 3 6 8 5" xfId="13647" xr:uid="{00000000-0005-0000-0000-0000C85B0000}"/>
    <cellStyle name="Normal 3 3 6 8 5 2" xfId="31151" xr:uid="{00000000-0005-0000-0000-0000C95B0000}"/>
    <cellStyle name="Normal 3 3 6 8 6" xfId="13648" xr:uid="{00000000-0005-0000-0000-0000CA5B0000}"/>
    <cellStyle name="Normal 3 3 6 8 6 2" xfId="31152" xr:uid="{00000000-0005-0000-0000-0000CB5B0000}"/>
    <cellStyle name="Normal 3 3 6 8 7" xfId="13649" xr:uid="{00000000-0005-0000-0000-0000CC5B0000}"/>
    <cellStyle name="Normal 3 3 6 8 7 2" xfId="31153" xr:uid="{00000000-0005-0000-0000-0000CD5B0000}"/>
    <cellStyle name="Normal 3 3 6 8 8" xfId="13650" xr:uid="{00000000-0005-0000-0000-0000CE5B0000}"/>
    <cellStyle name="Normal 3 3 6 8 8 2" xfId="31154" xr:uid="{00000000-0005-0000-0000-0000CF5B0000}"/>
    <cellStyle name="Normal 3 3 6 8 9" xfId="13651" xr:uid="{00000000-0005-0000-0000-0000D05B0000}"/>
    <cellStyle name="Normal 3 3 6 8 9 2" xfId="31155" xr:uid="{00000000-0005-0000-0000-0000D15B0000}"/>
    <cellStyle name="Normal 3 3 6 9" xfId="13652" xr:uid="{00000000-0005-0000-0000-0000D25B0000}"/>
    <cellStyle name="Normal 3 3 6 9 10" xfId="13653" xr:uid="{00000000-0005-0000-0000-0000D35B0000}"/>
    <cellStyle name="Normal 3 3 6 9 10 2" xfId="31157" xr:uid="{00000000-0005-0000-0000-0000D45B0000}"/>
    <cellStyle name="Normal 3 3 6 9 11" xfId="13654" xr:uid="{00000000-0005-0000-0000-0000D55B0000}"/>
    <cellStyle name="Normal 3 3 6 9 11 2" xfId="31158" xr:uid="{00000000-0005-0000-0000-0000D65B0000}"/>
    <cellStyle name="Normal 3 3 6 9 12" xfId="13655" xr:uid="{00000000-0005-0000-0000-0000D75B0000}"/>
    <cellStyle name="Normal 3 3 6 9 12 2" xfId="31159" xr:uid="{00000000-0005-0000-0000-0000D85B0000}"/>
    <cellStyle name="Normal 3 3 6 9 13" xfId="13656" xr:uid="{00000000-0005-0000-0000-0000D95B0000}"/>
    <cellStyle name="Normal 3 3 6 9 13 2" xfId="31160" xr:uid="{00000000-0005-0000-0000-0000DA5B0000}"/>
    <cellStyle name="Normal 3 3 6 9 14" xfId="13657" xr:uid="{00000000-0005-0000-0000-0000DB5B0000}"/>
    <cellStyle name="Normal 3 3 6 9 14 2" xfId="31161" xr:uid="{00000000-0005-0000-0000-0000DC5B0000}"/>
    <cellStyle name="Normal 3 3 6 9 15" xfId="31156" xr:uid="{00000000-0005-0000-0000-0000DD5B0000}"/>
    <cellStyle name="Normal 3 3 6 9 2" xfId="13658" xr:uid="{00000000-0005-0000-0000-0000DE5B0000}"/>
    <cellStyle name="Normal 3 3 6 9 2 2" xfId="31162" xr:uid="{00000000-0005-0000-0000-0000DF5B0000}"/>
    <cellStyle name="Normal 3 3 6 9 3" xfId="13659" xr:uid="{00000000-0005-0000-0000-0000E05B0000}"/>
    <cellStyle name="Normal 3 3 6 9 3 2" xfId="31163" xr:uid="{00000000-0005-0000-0000-0000E15B0000}"/>
    <cellStyle name="Normal 3 3 6 9 4" xfId="13660" xr:uid="{00000000-0005-0000-0000-0000E25B0000}"/>
    <cellStyle name="Normal 3 3 6 9 4 2" xfId="31164" xr:uid="{00000000-0005-0000-0000-0000E35B0000}"/>
    <cellStyle name="Normal 3 3 6 9 5" xfId="13661" xr:uid="{00000000-0005-0000-0000-0000E45B0000}"/>
    <cellStyle name="Normal 3 3 6 9 5 2" xfId="31165" xr:uid="{00000000-0005-0000-0000-0000E55B0000}"/>
    <cellStyle name="Normal 3 3 6 9 6" xfId="13662" xr:uid="{00000000-0005-0000-0000-0000E65B0000}"/>
    <cellStyle name="Normal 3 3 6 9 6 2" xfId="31166" xr:uid="{00000000-0005-0000-0000-0000E75B0000}"/>
    <cellStyle name="Normal 3 3 6 9 7" xfId="13663" xr:uid="{00000000-0005-0000-0000-0000E85B0000}"/>
    <cellStyle name="Normal 3 3 6 9 7 2" xfId="31167" xr:uid="{00000000-0005-0000-0000-0000E95B0000}"/>
    <cellStyle name="Normal 3 3 6 9 8" xfId="13664" xr:uid="{00000000-0005-0000-0000-0000EA5B0000}"/>
    <cellStyle name="Normal 3 3 6 9 8 2" xfId="31168" xr:uid="{00000000-0005-0000-0000-0000EB5B0000}"/>
    <cellStyle name="Normal 3 3 6 9 9" xfId="13665" xr:uid="{00000000-0005-0000-0000-0000EC5B0000}"/>
    <cellStyle name="Normal 3 3 6 9 9 2" xfId="31169" xr:uid="{00000000-0005-0000-0000-0000ED5B0000}"/>
    <cellStyle name="Normal 3 3 7" xfId="13666" xr:uid="{00000000-0005-0000-0000-0000EE5B0000}"/>
    <cellStyle name="Normal 3 3 7 10" xfId="13667" xr:uid="{00000000-0005-0000-0000-0000EF5B0000}"/>
    <cellStyle name="Normal 3 3 7 10 10" xfId="13668" xr:uid="{00000000-0005-0000-0000-0000F05B0000}"/>
    <cellStyle name="Normal 3 3 7 10 10 2" xfId="31172" xr:uid="{00000000-0005-0000-0000-0000F15B0000}"/>
    <cellStyle name="Normal 3 3 7 10 11" xfId="13669" xr:uid="{00000000-0005-0000-0000-0000F25B0000}"/>
    <cellStyle name="Normal 3 3 7 10 11 2" xfId="31173" xr:uid="{00000000-0005-0000-0000-0000F35B0000}"/>
    <cellStyle name="Normal 3 3 7 10 12" xfId="13670" xr:uid="{00000000-0005-0000-0000-0000F45B0000}"/>
    <cellStyle name="Normal 3 3 7 10 12 2" xfId="31174" xr:uid="{00000000-0005-0000-0000-0000F55B0000}"/>
    <cellStyle name="Normal 3 3 7 10 13" xfId="13671" xr:uid="{00000000-0005-0000-0000-0000F65B0000}"/>
    <cellStyle name="Normal 3 3 7 10 13 2" xfId="31175" xr:uid="{00000000-0005-0000-0000-0000F75B0000}"/>
    <cellStyle name="Normal 3 3 7 10 14" xfId="13672" xr:uid="{00000000-0005-0000-0000-0000F85B0000}"/>
    <cellStyle name="Normal 3 3 7 10 14 2" xfId="31176" xr:uid="{00000000-0005-0000-0000-0000F95B0000}"/>
    <cellStyle name="Normal 3 3 7 10 15" xfId="31171" xr:uid="{00000000-0005-0000-0000-0000FA5B0000}"/>
    <cellStyle name="Normal 3 3 7 10 2" xfId="13673" xr:uid="{00000000-0005-0000-0000-0000FB5B0000}"/>
    <cellStyle name="Normal 3 3 7 10 2 2" xfId="31177" xr:uid="{00000000-0005-0000-0000-0000FC5B0000}"/>
    <cellStyle name="Normal 3 3 7 10 3" xfId="13674" xr:uid="{00000000-0005-0000-0000-0000FD5B0000}"/>
    <cellStyle name="Normal 3 3 7 10 3 2" xfId="31178" xr:uid="{00000000-0005-0000-0000-0000FE5B0000}"/>
    <cellStyle name="Normal 3 3 7 10 4" xfId="13675" xr:uid="{00000000-0005-0000-0000-0000FF5B0000}"/>
    <cellStyle name="Normal 3 3 7 10 4 2" xfId="31179" xr:uid="{00000000-0005-0000-0000-0000005C0000}"/>
    <cellStyle name="Normal 3 3 7 10 5" xfId="13676" xr:uid="{00000000-0005-0000-0000-0000015C0000}"/>
    <cellStyle name="Normal 3 3 7 10 5 2" xfId="31180" xr:uid="{00000000-0005-0000-0000-0000025C0000}"/>
    <cellStyle name="Normal 3 3 7 10 6" xfId="13677" xr:uid="{00000000-0005-0000-0000-0000035C0000}"/>
    <cellStyle name="Normal 3 3 7 10 6 2" xfId="31181" xr:uid="{00000000-0005-0000-0000-0000045C0000}"/>
    <cellStyle name="Normal 3 3 7 10 7" xfId="13678" xr:uid="{00000000-0005-0000-0000-0000055C0000}"/>
    <cellStyle name="Normal 3 3 7 10 7 2" xfId="31182" xr:uid="{00000000-0005-0000-0000-0000065C0000}"/>
    <cellStyle name="Normal 3 3 7 10 8" xfId="13679" xr:uid="{00000000-0005-0000-0000-0000075C0000}"/>
    <cellStyle name="Normal 3 3 7 10 8 2" xfId="31183" xr:uid="{00000000-0005-0000-0000-0000085C0000}"/>
    <cellStyle name="Normal 3 3 7 10 9" xfId="13680" xr:uid="{00000000-0005-0000-0000-0000095C0000}"/>
    <cellStyle name="Normal 3 3 7 10 9 2" xfId="31184" xr:uid="{00000000-0005-0000-0000-00000A5C0000}"/>
    <cellStyle name="Normal 3 3 7 11" xfId="13681" xr:uid="{00000000-0005-0000-0000-00000B5C0000}"/>
    <cellStyle name="Normal 3 3 7 11 2" xfId="31185" xr:uid="{00000000-0005-0000-0000-00000C5C0000}"/>
    <cellStyle name="Normal 3 3 7 12" xfId="13682" xr:uid="{00000000-0005-0000-0000-00000D5C0000}"/>
    <cellStyle name="Normal 3 3 7 12 2" xfId="31186" xr:uid="{00000000-0005-0000-0000-00000E5C0000}"/>
    <cellStyle name="Normal 3 3 7 13" xfId="13683" xr:uid="{00000000-0005-0000-0000-00000F5C0000}"/>
    <cellStyle name="Normal 3 3 7 13 2" xfId="31187" xr:uid="{00000000-0005-0000-0000-0000105C0000}"/>
    <cellStyle name="Normal 3 3 7 14" xfId="13684" xr:uid="{00000000-0005-0000-0000-0000115C0000}"/>
    <cellStyle name="Normal 3 3 7 14 2" xfId="31188" xr:uid="{00000000-0005-0000-0000-0000125C0000}"/>
    <cellStyle name="Normal 3 3 7 15" xfId="13685" xr:uid="{00000000-0005-0000-0000-0000135C0000}"/>
    <cellStyle name="Normal 3 3 7 15 2" xfId="31189" xr:uid="{00000000-0005-0000-0000-0000145C0000}"/>
    <cellStyle name="Normal 3 3 7 16" xfId="13686" xr:uid="{00000000-0005-0000-0000-0000155C0000}"/>
    <cellStyle name="Normal 3 3 7 16 2" xfId="31190" xr:uid="{00000000-0005-0000-0000-0000165C0000}"/>
    <cellStyle name="Normal 3 3 7 17" xfId="13687" xr:uid="{00000000-0005-0000-0000-0000175C0000}"/>
    <cellStyle name="Normal 3 3 7 17 2" xfId="31191" xr:uid="{00000000-0005-0000-0000-0000185C0000}"/>
    <cellStyle name="Normal 3 3 7 18" xfId="13688" xr:uid="{00000000-0005-0000-0000-0000195C0000}"/>
    <cellStyle name="Normal 3 3 7 18 2" xfId="31192" xr:uid="{00000000-0005-0000-0000-00001A5C0000}"/>
    <cellStyle name="Normal 3 3 7 19" xfId="13689" xr:uid="{00000000-0005-0000-0000-00001B5C0000}"/>
    <cellStyle name="Normal 3 3 7 19 2" xfId="31193" xr:uid="{00000000-0005-0000-0000-00001C5C0000}"/>
    <cellStyle name="Normal 3 3 7 2" xfId="13690" xr:uid="{00000000-0005-0000-0000-00001D5C0000}"/>
    <cellStyle name="Normal 3 3 7 2 10" xfId="13691" xr:uid="{00000000-0005-0000-0000-00001E5C0000}"/>
    <cellStyle name="Normal 3 3 7 2 10 2" xfId="31195" xr:uid="{00000000-0005-0000-0000-00001F5C0000}"/>
    <cellStyle name="Normal 3 3 7 2 11" xfId="13692" xr:uid="{00000000-0005-0000-0000-0000205C0000}"/>
    <cellStyle name="Normal 3 3 7 2 11 2" xfId="31196" xr:uid="{00000000-0005-0000-0000-0000215C0000}"/>
    <cellStyle name="Normal 3 3 7 2 12" xfId="13693" xr:uid="{00000000-0005-0000-0000-0000225C0000}"/>
    <cellStyle name="Normal 3 3 7 2 12 2" xfId="31197" xr:uid="{00000000-0005-0000-0000-0000235C0000}"/>
    <cellStyle name="Normal 3 3 7 2 13" xfId="13694" xr:uid="{00000000-0005-0000-0000-0000245C0000}"/>
    <cellStyle name="Normal 3 3 7 2 13 2" xfId="31198" xr:uid="{00000000-0005-0000-0000-0000255C0000}"/>
    <cellStyle name="Normal 3 3 7 2 14" xfId="13695" xr:uid="{00000000-0005-0000-0000-0000265C0000}"/>
    <cellStyle name="Normal 3 3 7 2 14 2" xfId="31199" xr:uid="{00000000-0005-0000-0000-0000275C0000}"/>
    <cellStyle name="Normal 3 3 7 2 15" xfId="13696" xr:uid="{00000000-0005-0000-0000-0000285C0000}"/>
    <cellStyle name="Normal 3 3 7 2 15 2" xfId="31200" xr:uid="{00000000-0005-0000-0000-0000295C0000}"/>
    <cellStyle name="Normal 3 3 7 2 16" xfId="31194" xr:uid="{00000000-0005-0000-0000-00002A5C0000}"/>
    <cellStyle name="Normal 3 3 7 2 2" xfId="13697" xr:uid="{00000000-0005-0000-0000-00002B5C0000}"/>
    <cellStyle name="Normal 3 3 7 2 2 10" xfId="13698" xr:uid="{00000000-0005-0000-0000-00002C5C0000}"/>
    <cellStyle name="Normal 3 3 7 2 2 10 2" xfId="31202" xr:uid="{00000000-0005-0000-0000-00002D5C0000}"/>
    <cellStyle name="Normal 3 3 7 2 2 11" xfId="13699" xr:uid="{00000000-0005-0000-0000-00002E5C0000}"/>
    <cellStyle name="Normal 3 3 7 2 2 11 2" xfId="31203" xr:uid="{00000000-0005-0000-0000-00002F5C0000}"/>
    <cellStyle name="Normal 3 3 7 2 2 12" xfId="13700" xr:uid="{00000000-0005-0000-0000-0000305C0000}"/>
    <cellStyle name="Normal 3 3 7 2 2 12 2" xfId="31204" xr:uid="{00000000-0005-0000-0000-0000315C0000}"/>
    <cellStyle name="Normal 3 3 7 2 2 13" xfId="13701" xr:uid="{00000000-0005-0000-0000-0000325C0000}"/>
    <cellStyle name="Normal 3 3 7 2 2 13 2" xfId="31205" xr:uid="{00000000-0005-0000-0000-0000335C0000}"/>
    <cellStyle name="Normal 3 3 7 2 2 14" xfId="13702" xr:uid="{00000000-0005-0000-0000-0000345C0000}"/>
    <cellStyle name="Normal 3 3 7 2 2 14 2" xfId="31206" xr:uid="{00000000-0005-0000-0000-0000355C0000}"/>
    <cellStyle name="Normal 3 3 7 2 2 15" xfId="31201" xr:uid="{00000000-0005-0000-0000-0000365C0000}"/>
    <cellStyle name="Normal 3 3 7 2 2 2" xfId="13703" xr:uid="{00000000-0005-0000-0000-0000375C0000}"/>
    <cellStyle name="Normal 3 3 7 2 2 2 2" xfId="31207" xr:uid="{00000000-0005-0000-0000-0000385C0000}"/>
    <cellStyle name="Normal 3 3 7 2 2 3" xfId="13704" xr:uid="{00000000-0005-0000-0000-0000395C0000}"/>
    <cellStyle name="Normal 3 3 7 2 2 3 2" xfId="31208" xr:uid="{00000000-0005-0000-0000-00003A5C0000}"/>
    <cellStyle name="Normal 3 3 7 2 2 4" xfId="13705" xr:uid="{00000000-0005-0000-0000-00003B5C0000}"/>
    <cellStyle name="Normal 3 3 7 2 2 4 2" xfId="31209" xr:uid="{00000000-0005-0000-0000-00003C5C0000}"/>
    <cellStyle name="Normal 3 3 7 2 2 5" xfId="13706" xr:uid="{00000000-0005-0000-0000-00003D5C0000}"/>
    <cellStyle name="Normal 3 3 7 2 2 5 2" xfId="31210" xr:uid="{00000000-0005-0000-0000-00003E5C0000}"/>
    <cellStyle name="Normal 3 3 7 2 2 6" xfId="13707" xr:uid="{00000000-0005-0000-0000-00003F5C0000}"/>
    <cellStyle name="Normal 3 3 7 2 2 6 2" xfId="31211" xr:uid="{00000000-0005-0000-0000-0000405C0000}"/>
    <cellStyle name="Normal 3 3 7 2 2 7" xfId="13708" xr:uid="{00000000-0005-0000-0000-0000415C0000}"/>
    <cellStyle name="Normal 3 3 7 2 2 7 2" xfId="31212" xr:uid="{00000000-0005-0000-0000-0000425C0000}"/>
    <cellStyle name="Normal 3 3 7 2 2 8" xfId="13709" xr:uid="{00000000-0005-0000-0000-0000435C0000}"/>
    <cellStyle name="Normal 3 3 7 2 2 8 2" xfId="31213" xr:uid="{00000000-0005-0000-0000-0000445C0000}"/>
    <cellStyle name="Normal 3 3 7 2 2 9" xfId="13710" xr:uid="{00000000-0005-0000-0000-0000455C0000}"/>
    <cellStyle name="Normal 3 3 7 2 2 9 2" xfId="31214" xr:uid="{00000000-0005-0000-0000-0000465C0000}"/>
    <cellStyle name="Normal 3 3 7 2 3" xfId="13711" xr:uid="{00000000-0005-0000-0000-0000475C0000}"/>
    <cellStyle name="Normal 3 3 7 2 3 2" xfId="31215" xr:uid="{00000000-0005-0000-0000-0000485C0000}"/>
    <cellStyle name="Normal 3 3 7 2 4" xfId="13712" xr:uid="{00000000-0005-0000-0000-0000495C0000}"/>
    <cellStyle name="Normal 3 3 7 2 4 2" xfId="31216" xr:uid="{00000000-0005-0000-0000-00004A5C0000}"/>
    <cellStyle name="Normal 3 3 7 2 5" xfId="13713" xr:uid="{00000000-0005-0000-0000-00004B5C0000}"/>
    <cellStyle name="Normal 3 3 7 2 5 2" xfId="31217" xr:uid="{00000000-0005-0000-0000-00004C5C0000}"/>
    <cellStyle name="Normal 3 3 7 2 6" xfId="13714" xr:uid="{00000000-0005-0000-0000-00004D5C0000}"/>
    <cellStyle name="Normal 3 3 7 2 6 2" xfId="31218" xr:uid="{00000000-0005-0000-0000-00004E5C0000}"/>
    <cellStyle name="Normal 3 3 7 2 7" xfId="13715" xr:uid="{00000000-0005-0000-0000-00004F5C0000}"/>
    <cellStyle name="Normal 3 3 7 2 7 2" xfId="31219" xr:uid="{00000000-0005-0000-0000-0000505C0000}"/>
    <cellStyle name="Normal 3 3 7 2 8" xfId="13716" xr:uid="{00000000-0005-0000-0000-0000515C0000}"/>
    <cellStyle name="Normal 3 3 7 2 8 2" xfId="31220" xr:uid="{00000000-0005-0000-0000-0000525C0000}"/>
    <cellStyle name="Normal 3 3 7 2 9" xfId="13717" xr:uid="{00000000-0005-0000-0000-0000535C0000}"/>
    <cellStyle name="Normal 3 3 7 2 9 2" xfId="31221" xr:uid="{00000000-0005-0000-0000-0000545C0000}"/>
    <cellStyle name="Normal 3 3 7 20" xfId="13718" xr:uid="{00000000-0005-0000-0000-0000555C0000}"/>
    <cellStyle name="Normal 3 3 7 20 2" xfId="31222" xr:uid="{00000000-0005-0000-0000-0000565C0000}"/>
    <cellStyle name="Normal 3 3 7 21" xfId="13719" xr:uid="{00000000-0005-0000-0000-0000575C0000}"/>
    <cellStyle name="Normal 3 3 7 21 2" xfId="31223" xr:uid="{00000000-0005-0000-0000-0000585C0000}"/>
    <cellStyle name="Normal 3 3 7 22" xfId="13720" xr:uid="{00000000-0005-0000-0000-0000595C0000}"/>
    <cellStyle name="Normal 3 3 7 22 2" xfId="31224" xr:uid="{00000000-0005-0000-0000-00005A5C0000}"/>
    <cellStyle name="Normal 3 3 7 23" xfId="13721" xr:uid="{00000000-0005-0000-0000-00005B5C0000}"/>
    <cellStyle name="Normal 3 3 7 23 2" xfId="31225" xr:uid="{00000000-0005-0000-0000-00005C5C0000}"/>
    <cellStyle name="Normal 3 3 7 24" xfId="31170" xr:uid="{00000000-0005-0000-0000-00005D5C0000}"/>
    <cellStyle name="Normal 3 3 7 3" xfId="13722" xr:uid="{00000000-0005-0000-0000-00005E5C0000}"/>
    <cellStyle name="Normal 3 3 7 3 10" xfId="13723" xr:uid="{00000000-0005-0000-0000-00005F5C0000}"/>
    <cellStyle name="Normal 3 3 7 3 10 2" xfId="31227" xr:uid="{00000000-0005-0000-0000-0000605C0000}"/>
    <cellStyle name="Normal 3 3 7 3 11" xfId="13724" xr:uid="{00000000-0005-0000-0000-0000615C0000}"/>
    <cellStyle name="Normal 3 3 7 3 11 2" xfId="31228" xr:uid="{00000000-0005-0000-0000-0000625C0000}"/>
    <cellStyle name="Normal 3 3 7 3 12" xfId="13725" xr:uid="{00000000-0005-0000-0000-0000635C0000}"/>
    <cellStyle name="Normal 3 3 7 3 12 2" xfId="31229" xr:uid="{00000000-0005-0000-0000-0000645C0000}"/>
    <cellStyle name="Normal 3 3 7 3 13" xfId="13726" xr:uid="{00000000-0005-0000-0000-0000655C0000}"/>
    <cellStyle name="Normal 3 3 7 3 13 2" xfId="31230" xr:uid="{00000000-0005-0000-0000-0000665C0000}"/>
    <cellStyle name="Normal 3 3 7 3 14" xfId="13727" xr:uid="{00000000-0005-0000-0000-0000675C0000}"/>
    <cellStyle name="Normal 3 3 7 3 14 2" xfId="31231" xr:uid="{00000000-0005-0000-0000-0000685C0000}"/>
    <cellStyle name="Normal 3 3 7 3 15" xfId="13728" xr:uid="{00000000-0005-0000-0000-0000695C0000}"/>
    <cellStyle name="Normal 3 3 7 3 15 2" xfId="31232" xr:uid="{00000000-0005-0000-0000-00006A5C0000}"/>
    <cellStyle name="Normal 3 3 7 3 16" xfId="31226" xr:uid="{00000000-0005-0000-0000-00006B5C0000}"/>
    <cellStyle name="Normal 3 3 7 3 2" xfId="13729" xr:uid="{00000000-0005-0000-0000-00006C5C0000}"/>
    <cellStyle name="Normal 3 3 7 3 2 10" xfId="13730" xr:uid="{00000000-0005-0000-0000-00006D5C0000}"/>
    <cellStyle name="Normal 3 3 7 3 2 10 2" xfId="31234" xr:uid="{00000000-0005-0000-0000-00006E5C0000}"/>
    <cellStyle name="Normal 3 3 7 3 2 11" xfId="13731" xr:uid="{00000000-0005-0000-0000-00006F5C0000}"/>
    <cellStyle name="Normal 3 3 7 3 2 11 2" xfId="31235" xr:uid="{00000000-0005-0000-0000-0000705C0000}"/>
    <cellStyle name="Normal 3 3 7 3 2 12" xfId="13732" xr:uid="{00000000-0005-0000-0000-0000715C0000}"/>
    <cellStyle name="Normal 3 3 7 3 2 12 2" xfId="31236" xr:uid="{00000000-0005-0000-0000-0000725C0000}"/>
    <cellStyle name="Normal 3 3 7 3 2 13" xfId="13733" xr:uid="{00000000-0005-0000-0000-0000735C0000}"/>
    <cellStyle name="Normal 3 3 7 3 2 13 2" xfId="31237" xr:uid="{00000000-0005-0000-0000-0000745C0000}"/>
    <cellStyle name="Normal 3 3 7 3 2 14" xfId="13734" xr:uid="{00000000-0005-0000-0000-0000755C0000}"/>
    <cellStyle name="Normal 3 3 7 3 2 14 2" xfId="31238" xr:uid="{00000000-0005-0000-0000-0000765C0000}"/>
    <cellStyle name="Normal 3 3 7 3 2 15" xfId="31233" xr:uid="{00000000-0005-0000-0000-0000775C0000}"/>
    <cellStyle name="Normal 3 3 7 3 2 2" xfId="13735" xr:uid="{00000000-0005-0000-0000-0000785C0000}"/>
    <cellStyle name="Normal 3 3 7 3 2 2 2" xfId="31239" xr:uid="{00000000-0005-0000-0000-0000795C0000}"/>
    <cellStyle name="Normal 3 3 7 3 2 3" xfId="13736" xr:uid="{00000000-0005-0000-0000-00007A5C0000}"/>
    <cellStyle name="Normal 3 3 7 3 2 3 2" xfId="31240" xr:uid="{00000000-0005-0000-0000-00007B5C0000}"/>
    <cellStyle name="Normal 3 3 7 3 2 4" xfId="13737" xr:uid="{00000000-0005-0000-0000-00007C5C0000}"/>
    <cellStyle name="Normal 3 3 7 3 2 4 2" xfId="31241" xr:uid="{00000000-0005-0000-0000-00007D5C0000}"/>
    <cellStyle name="Normal 3 3 7 3 2 5" xfId="13738" xr:uid="{00000000-0005-0000-0000-00007E5C0000}"/>
    <cellStyle name="Normal 3 3 7 3 2 5 2" xfId="31242" xr:uid="{00000000-0005-0000-0000-00007F5C0000}"/>
    <cellStyle name="Normal 3 3 7 3 2 6" xfId="13739" xr:uid="{00000000-0005-0000-0000-0000805C0000}"/>
    <cellStyle name="Normal 3 3 7 3 2 6 2" xfId="31243" xr:uid="{00000000-0005-0000-0000-0000815C0000}"/>
    <cellStyle name="Normal 3 3 7 3 2 7" xfId="13740" xr:uid="{00000000-0005-0000-0000-0000825C0000}"/>
    <cellStyle name="Normal 3 3 7 3 2 7 2" xfId="31244" xr:uid="{00000000-0005-0000-0000-0000835C0000}"/>
    <cellStyle name="Normal 3 3 7 3 2 8" xfId="13741" xr:uid="{00000000-0005-0000-0000-0000845C0000}"/>
    <cellStyle name="Normal 3 3 7 3 2 8 2" xfId="31245" xr:uid="{00000000-0005-0000-0000-0000855C0000}"/>
    <cellStyle name="Normal 3 3 7 3 2 9" xfId="13742" xr:uid="{00000000-0005-0000-0000-0000865C0000}"/>
    <cellStyle name="Normal 3 3 7 3 2 9 2" xfId="31246" xr:uid="{00000000-0005-0000-0000-0000875C0000}"/>
    <cellStyle name="Normal 3 3 7 3 3" xfId="13743" xr:uid="{00000000-0005-0000-0000-0000885C0000}"/>
    <cellStyle name="Normal 3 3 7 3 3 2" xfId="31247" xr:uid="{00000000-0005-0000-0000-0000895C0000}"/>
    <cellStyle name="Normal 3 3 7 3 4" xfId="13744" xr:uid="{00000000-0005-0000-0000-00008A5C0000}"/>
    <cellStyle name="Normal 3 3 7 3 4 2" xfId="31248" xr:uid="{00000000-0005-0000-0000-00008B5C0000}"/>
    <cellStyle name="Normal 3 3 7 3 5" xfId="13745" xr:uid="{00000000-0005-0000-0000-00008C5C0000}"/>
    <cellStyle name="Normal 3 3 7 3 5 2" xfId="31249" xr:uid="{00000000-0005-0000-0000-00008D5C0000}"/>
    <cellStyle name="Normal 3 3 7 3 6" xfId="13746" xr:uid="{00000000-0005-0000-0000-00008E5C0000}"/>
    <cellStyle name="Normal 3 3 7 3 6 2" xfId="31250" xr:uid="{00000000-0005-0000-0000-00008F5C0000}"/>
    <cellStyle name="Normal 3 3 7 3 7" xfId="13747" xr:uid="{00000000-0005-0000-0000-0000905C0000}"/>
    <cellStyle name="Normal 3 3 7 3 7 2" xfId="31251" xr:uid="{00000000-0005-0000-0000-0000915C0000}"/>
    <cellStyle name="Normal 3 3 7 3 8" xfId="13748" xr:uid="{00000000-0005-0000-0000-0000925C0000}"/>
    <cellStyle name="Normal 3 3 7 3 8 2" xfId="31252" xr:uid="{00000000-0005-0000-0000-0000935C0000}"/>
    <cellStyle name="Normal 3 3 7 3 9" xfId="13749" xr:uid="{00000000-0005-0000-0000-0000945C0000}"/>
    <cellStyle name="Normal 3 3 7 3 9 2" xfId="31253" xr:uid="{00000000-0005-0000-0000-0000955C0000}"/>
    <cellStyle name="Normal 3 3 7 4" xfId="13750" xr:uid="{00000000-0005-0000-0000-0000965C0000}"/>
    <cellStyle name="Normal 3 3 7 4 10" xfId="13751" xr:uid="{00000000-0005-0000-0000-0000975C0000}"/>
    <cellStyle name="Normal 3 3 7 4 10 2" xfId="31255" xr:uid="{00000000-0005-0000-0000-0000985C0000}"/>
    <cellStyle name="Normal 3 3 7 4 11" xfId="13752" xr:uid="{00000000-0005-0000-0000-0000995C0000}"/>
    <cellStyle name="Normal 3 3 7 4 11 2" xfId="31256" xr:uid="{00000000-0005-0000-0000-00009A5C0000}"/>
    <cellStyle name="Normal 3 3 7 4 12" xfId="13753" xr:uid="{00000000-0005-0000-0000-00009B5C0000}"/>
    <cellStyle name="Normal 3 3 7 4 12 2" xfId="31257" xr:uid="{00000000-0005-0000-0000-00009C5C0000}"/>
    <cellStyle name="Normal 3 3 7 4 13" xfId="13754" xr:uid="{00000000-0005-0000-0000-00009D5C0000}"/>
    <cellStyle name="Normal 3 3 7 4 13 2" xfId="31258" xr:uid="{00000000-0005-0000-0000-00009E5C0000}"/>
    <cellStyle name="Normal 3 3 7 4 14" xfId="13755" xr:uid="{00000000-0005-0000-0000-00009F5C0000}"/>
    <cellStyle name="Normal 3 3 7 4 14 2" xfId="31259" xr:uid="{00000000-0005-0000-0000-0000A05C0000}"/>
    <cellStyle name="Normal 3 3 7 4 15" xfId="13756" xr:uid="{00000000-0005-0000-0000-0000A15C0000}"/>
    <cellStyle name="Normal 3 3 7 4 15 2" xfId="31260" xr:uid="{00000000-0005-0000-0000-0000A25C0000}"/>
    <cellStyle name="Normal 3 3 7 4 16" xfId="31254" xr:uid="{00000000-0005-0000-0000-0000A35C0000}"/>
    <cellStyle name="Normal 3 3 7 4 2" xfId="13757" xr:uid="{00000000-0005-0000-0000-0000A45C0000}"/>
    <cellStyle name="Normal 3 3 7 4 2 10" xfId="13758" xr:uid="{00000000-0005-0000-0000-0000A55C0000}"/>
    <cellStyle name="Normal 3 3 7 4 2 10 2" xfId="31262" xr:uid="{00000000-0005-0000-0000-0000A65C0000}"/>
    <cellStyle name="Normal 3 3 7 4 2 11" xfId="13759" xr:uid="{00000000-0005-0000-0000-0000A75C0000}"/>
    <cellStyle name="Normal 3 3 7 4 2 11 2" xfId="31263" xr:uid="{00000000-0005-0000-0000-0000A85C0000}"/>
    <cellStyle name="Normal 3 3 7 4 2 12" xfId="13760" xr:uid="{00000000-0005-0000-0000-0000A95C0000}"/>
    <cellStyle name="Normal 3 3 7 4 2 12 2" xfId="31264" xr:uid="{00000000-0005-0000-0000-0000AA5C0000}"/>
    <cellStyle name="Normal 3 3 7 4 2 13" xfId="13761" xr:uid="{00000000-0005-0000-0000-0000AB5C0000}"/>
    <cellStyle name="Normal 3 3 7 4 2 13 2" xfId="31265" xr:uid="{00000000-0005-0000-0000-0000AC5C0000}"/>
    <cellStyle name="Normal 3 3 7 4 2 14" xfId="13762" xr:uid="{00000000-0005-0000-0000-0000AD5C0000}"/>
    <cellStyle name="Normal 3 3 7 4 2 14 2" xfId="31266" xr:uid="{00000000-0005-0000-0000-0000AE5C0000}"/>
    <cellStyle name="Normal 3 3 7 4 2 15" xfId="31261" xr:uid="{00000000-0005-0000-0000-0000AF5C0000}"/>
    <cellStyle name="Normal 3 3 7 4 2 2" xfId="13763" xr:uid="{00000000-0005-0000-0000-0000B05C0000}"/>
    <cellStyle name="Normal 3 3 7 4 2 2 2" xfId="31267" xr:uid="{00000000-0005-0000-0000-0000B15C0000}"/>
    <cellStyle name="Normal 3 3 7 4 2 3" xfId="13764" xr:uid="{00000000-0005-0000-0000-0000B25C0000}"/>
    <cellStyle name="Normal 3 3 7 4 2 3 2" xfId="31268" xr:uid="{00000000-0005-0000-0000-0000B35C0000}"/>
    <cellStyle name="Normal 3 3 7 4 2 4" xfId="13765" xr:uid="{00000000-0005-0000-0000-0000B45C0000}"/>
    <cellStyle name="Normal 3 3 7 4 2 4 2" xfId="31269" xr:uid="{00000000-0005-0000-0000-0000B55C0000}"/>
    <cellStyle name="Normal 3 3 7 4 2 5" xfId="13766" xr:uid="{00000000-0005-0000-0000-0000B65C0000}"/>
    <cellStyle name="Normal 3 3 7 4 2 5 2" xfId="31270" xr:uid="{00000000-0005-0000-0000-0000B75C0000}"/>
    <cellStyle name="Normal 3 3 7 4 2 6" xfId="13767" xr:uid="{00000000-0005-0000-0000-0000B85C0000}"/>
    <cellStyle name="Normal 3 3 7 4 2 6 2" xfId="31271" xr:uid="{00000000-0005-0000-0000-0000B95C0000}"/>
    <cellStyle name="Normal 3 3 7 4 2 7" xfId="13768" xr:uid="{00000000-0005-0000-0000-0000BA5C0000}"/>
    <cellStyle name="Normal 3 3 7 4 2 7 2" xfId="31272" xr:uid="{00000000-0005-0000-0000-0000BB5C0000}"/>
    <cellStyle name="Normal 3 3 7 4 2 8" xfId="13769" xr:uid="{00000000-0005-0000-0000-0000BC5C0000}"/>
    <cellStyle name="Normal 3 3 7 4 2 8 2" xfId="31273" xr:uid="{00000000-0005-0000-0000-0000BD5C0000}"/>
    <cellStyle name="Normal 3 3 7 4 2 9" xfId="13770" xr:uid="{00000000-0005-0000-0000-0000BE5C0000}"/>
    <cellStyle name="Normal 3 3 7 4 2 9 2" xfId="31274" xr:uid="{00000000-0005-0000-0000-0000BF5C0000}"/>
    <cellStyle name="Normal 3 3 7 4 3" xfId="13771" xr:uid="{00000000-0005-0000-0000-0000C05C0000}"/>
    <cellStyle name="Normal 3 3 7 4 3 2" xfId="31275" xr:uid="{00000000-0005-0000-0000-0000C15C0000}"/>
    <cellStyle name="Normal 3 3 7 4 4" xfId="13772" xr:uid="{00000000-0005-0000-0000-0000C25C0000}"/>
    <cellStyle name="Normal 3 3 7 4 4 2" xfId="31276" xr:uid="{00000000-0005-0000-0000-0000C35C0000}"/>
    <cellStyle name="Normal 3 3 7 4 5" xfId="13773" xr:uid="{00000000-0005-0000-0000-0000C45C0000}"/>
    <cellStyle name="Normal 3 3 7 4 5 2" xfId="31277" xr:uid="{00000000-0005-0000-0000-0000C55C0000}"/>
    <cellStyle name="Normal 3 3 7 4 6" xfId="13774" xr:uid="{00000000-0005-0000-0000-0000C65C0000}"/>
    <cellStyle name="Normal 3 3 7 4 6 2" xfId="31278" xr:uid="{00000000-0005-0000-0000-0000C75C0000}"/>
    <cellStyle name="Normal 3 3 7 4 7" xfId="13775" xr:uid="{00000000-0005-0000-0000-0000C85C0000}"/>
    <cellStyle name="Normal 3 3 7 4 7 2" xfId="31279" xr:uid="{00000000-0005-0000-0000-0000C95C0000}"/>
    <cellStyle name="Normal 3 3 7 4 8" xfId="13776" xr:uid="{00000000-0005-0000-0000-0000CA5C0000}"/>
    <cellStyle name="Normal 3 3 7 4 8 2" xfId="31280" xr:uid="{00000000-0005-0000-0000-0000CB5C0000}"/>
    <cellStyle name="Normal 3 3 7 4 9" xfId="13777" xr:uid="{00000000-0005-0000-0000-0000CC5C0000}"/>
    <cellStyle name="Normal 3 3 7 4 9 2" xfId="31281" xr:uid="{00000000-0005-0000-0000-0000CD5C0000}"/>
    <cellStyle name="Normal 3 3 7 5" xfId="13778" xr:uid="{00000000-0005-0000-0000-0000CE5C0000}"/>
    <cellStyle name="Normal 3 3 7 5 10" xfId="13779" xr:uid="{00000000-0005-0000-0000-0000CF5C0000}"/>
    <cellStyle name="Normal 3 3 7 5 10 2" xfId="31283" xr:uid="{00000000-0005-0000-0000-0000D05C0000}"/>
    <cellStyle name="Normal 3 3 7 5 11" xfId="13780" xr:uid="{00000000-0005-0000-0000-0000D15C0000}"/>
    <cellStyle name="Normal 3 3 7 5 11 2" xfId="31284" xr:uid="{00000000-0005-0000-0000-0000D25C0000}"/>
    <cellStyle name="Normal 3 3 7 5 12" xfId="13781" xr:uid="{00000000-0005-0000-0000-0000D35C0000}"/>
    <cellStyle name="Normal 3 3 7 5 12 2" xfId="31285" xr:uid="{00000000-0005-0000-0000-0000D45C0000}"/>
    <cellStyle name="Normal 3 3 7 5 13" xfId="13782" xr:uid="{00000000-0005-0000-0000-0000D55C0000}"/>
    <cellStyle name="Normal 3 3 7 5 13 2" xfId="31286" xr:uid="{00000000-0005-0000-0000-0000D65C0000}"/>
    <cellStyle name="Normal 3 3 7 5 14" xfId="13783" xr:uid="{00000000-0005-0000-0000-0000D75C0000}"/>
    <cellStyle name="Normal 3 3 7 5 14 2" xfId="31287" xr:uid="{00000000-0005-0000-0000-0000D85C0000}"/>
    <cellStyle name="Normal 3 3 7 5 15" xfId="31282" xr:uid="{00000000-0005-0000-0000-0000D95C0000}"/>
    <cellStyle name="Normal 3 3 7 5 2" xfId="13784" xr:uid="{00000000-0005-0000-0000-0000DA5C0000}"/>
    <cellStyle name="Normal 3 3 7 5 2 2" xfId="31288" xr:uid="{00000000-0005-0000-0000-0000DB5C0000}"/>
    <cellStyle name="Normal 3 3 7 5 3" xfId="13785" xr:uid="{00000000-0005-0000-0000-0000DC5C0000}"/>
    <cellStyle name="Normal 3 3 7 5 3 2" xfId="31289" xr:uid="{00000000-0005-0000-0000-0000DD5C0000}"/>
    <cellStyle name="Normal 3 3 7 5 4" xfId="13786" xr:uid="{00000000-0005-0000-0000-0000DE5C0000}"/>
    <cellStyle name="Normal 3 3 7 5 4 2" xfId="31290" xr:uid="{00000000-0005-0000-0000-0000DF5C0000}"/>
    <cellStyle name="Normal 3 3 7 5 5" xfId="13787" xr:uid="{00000000-0005-0000-0000-0000E05C0000}"/>
    <cellStyle name="Normal 3 3 7 5 5 2" xfId="31291" xr:uid="{00000000-0005-0000-0000-0000E15C0000}"/>
    <cellStyle name="Normal 3 3 7 5 6" xfId="13788" xr:uid="{00000000-0005-0000-0000-0000E25C0000}"/>
    <cellStyle name="Normal 3 3 7 5 6 2" xfId="31292" xr:uid="{00000000-0005-0000-0000-0000E35C0000}"/>
    <cellStyle name="Normal 3 3 7 5 7" xfId="13789" xr:uid="{00000000-0005-0000-0000-0000E45C0000}"/>
    <cellStyle name="Normal 3 3 7 5 7 2" xfId="31293" xr:uid="{00000000-0005-0000-0000-0000E55C0000}"/>
    <cellStyle name="Normal 3 3 7 5 8" xfId="13790" xr:uid="{00000000-0005-0000-0000-0000E65C0000}"/>
    <cellStyle name="Normal 3 3 7 5 8 2" xfId="31294" xr:uid="{00000000-0005-0000-0000-0000E75C0000}"/>
    <cellStyle name="Normal 3 3 7 5 9" xfId="13791" xr:uid="{00000000-0005-0000-0000-0000E85C0000}"/>
    <cellStyle name="Normal 3 3 7 5 9 2" xfId="31295" xr:uid="{00000000-0005-0000-0000-0000E95C0000}"/>
    <cellStyle name="Normal 3 3 7 6" xfId="13792" xr:uid="{00000000-0005-0000-0000-0000EA5C0000}"/>
    <cellStyle name="Normal 3 3 7 6 10" xfId="13793" xr:uid="{00000000-0005-0000-0000-0000EB5C0000}"/>
    <cellStyle name="Normal 3 3 7 6 10 2" xfId="31297" xr:uid="{00000000-0005-0000-0000-0000EC5C0000}"/>
    <cellStyle name="Normal 3 3 7 6 11" xfId="13794" xr:uid="{00000000-0005-0000-0000-0000ED5C0000}"/>
    <cellStyle name="Normal 3 3 7 6 11 2" xfId="31298" xr:uid="{00000000-0005-0000-0000-0000EE5C0000}"/>
    <cellStyle name="Normal 3 3 7 6 12" xfId="13795" xr:uid="{00000000-0005-0000-0000-0000EF5C0000}"/>
    <cellStyle name="Normal 3 3 7 6 12 2" xfId="31299" xr:uid="{00000000-0005-0000-0000-0000F05C0000}"/>
    <cellStyle name="Normal 3 3 7 6 13" xfId="13796" xr:uid="{00000000-0005-0000-0000-0000F15C0000}"/>
    <cellStyle name="Normal 3 3 7 6 13 2" xfId="31300" xr:uid="{00000000-0005-0000-0000-0000F25C0000}"/>
    <cellStyle name="Normal 3 3 7 6 14" xfId="13797" xr:uid="{00000000-0005-0000-0000-0000F35C0000}"/>
    <cellStyle name="Normal 3 3 7 6 14 2" xfId="31301" xr:uid="{00000000-0005-0000-0000-0000F45C0000}"/>
    <cellStyle name="Normal 3 3 7 6 15" xfId="31296" xr:uid="{00000000-0005-0000-0000-0000F55C0000}"/>
    <cellStyle name="Normal 3 3 7 6 2" xfId="13798" xr:uid="{00000000-0005-0000-0000-0000F65C0000}"/>
    <cellStyle name="Normal 3 3 7 6 2 2" xfId="31302" xr:uid="{00000000-0005-0000-0000-0000F75C0000}"/>
    <cellStyle name="Normal 3 3 7 6 3" xfId="13799" xr:uid="{00000000-0005-0000-0000-0000F85C0000}"/>
    <cellStyle name="Normal 3 3 7 6 3 2" xfId="31303" xr:uid="{00000000-0005-0000-0000-0000F95C0000}"/>
    <cellStyle name="Normal 3 3 7 6 4" xfId="13800" xr:uid="{00000000-0005-0000-0000-0000FA5C0000}"/>
    <cellStyle name="Normal 3 3 7 6 4 2" xfId="31304" xr:uid="{00000000-0005-0000-0000-0000FB5C0000}"/>
    <cellStyle name="Normal 3 3 7 6 5" xfId="13801" xr:uid="{00000000-0005-0000-0000-0000FC5C0000}"/>
    <cellStyle name="Normal 3 3 7 6 5 2" xfId="31305" xr:uid="{00000000-0005-0000-0000-0000FD5C0000}"/>
    <cellStyle name="Normal 3 3 7 6 6" xfId="13802" xr:uid="{00000000-0005-0000-0000-0000FE5C0000}"/>
    <cellStyle name="Normal 3 3 7 6 6 2" xfId="31306" xr:uid="{00000000-0005-0000-0000-0000FF5C0000}"/>
    <cellStyle name="Normal 3 3 7 6 7" xfId="13803" xr:uid="{00000000-0005-0000-0000-0000005D0000}"/>
    <cellStyle name="Normal 3 3 7 6 7 2" xfId="31307" xr:uid="{00000000-0005-0000-0000-0000015D0000}"/>
    <cellStyle name="Normal 3 3 7 6 8" xfId="13804" xr:uid="{00000000-0005-0000-0000-0000025D0000}"/>
    <cellStyle name="Normal 3 3 7 6 8 2" xfId="31308" xr:uid="{00000000-0005-0000-0000-0000035D0000}"/>
    <cellStyle name="Normal 3 3 7 6 9" xfId="13805" xr:uid="{00000000-0005-0000-0000-0000045D0000}"/>
    <cellStyle name="Normal 3 3 7 6 9 2" xfId="31309" xr:uid="{00000000-0005-0000-0000-0000055D0000}"/>
    <cellStyle name="Normal 3 3 7 7" xfId="13806" xr:uid="{00000000-0005-0000-0000-0000065D0000}"/>
    <cellStyle name="Normal 3 3 7 7 10" xfId="13807" xr:uid="{00000000-0005-0000-0000-0000075D0000}"/>
    <cellStyle name="Normal 3 3 7 7 10 2" xfId="31311" xr:uid="{00000000-0005-0000-0000-0000085D0000}"/>
    <cellStyle name="Normal 3 3 7 7 11" xfId="13808" xr:uid="{00000000-0005-0000-0000-0000095D0000}"/>
    <cellStyle name="Normal 3 3 7 7 11 2" xfId="31312" xr:uid="{00000000-0005-0000-0000-00000A5D0000}"/>
    <cellStyle name="Normal 3 3 7 7 12" xfId="13809" xr:uid="{00000000-0005-0000-0000-00000B5D0000}"/>
    <cellStyle name="Normal 3 3 7 7 12 2" xfId="31313" xr:uid="{00000000-0005-0000-0000-00000C5D0000}"/>
    <cellStyle name="Normal 3 3 7 7 13" xfId="13810" xr:uid="{00000000-0005-0000-0000-00000D5D0000}"/>
    <cellStyle name="Normal 3 3 7 7 13 2" xfId="31314" xr:uid="{00000000-0005-0000-0000-00000E5D0000}"/>
    <cellStyle name="Normal 3 3 7 7 14" xfId="13811" xr:uid="{00000000-0005-0000-0000-00000F5D0000}"/>
    <cellStyle name="Normal 3 3 7 7 14 2" xfId="31315" xr:uid="{00000000-0005-0000-0000-0000105D0000}"/>
    <cellStyle name="Normal 3 3 7 7 15" xfId="31310" xr:uid="{00000000-0005-0000-0000-0000115D0000}"/>
    <cellStyle name="Normal 3 3 7 7 2" xfId="13812" xr:uid="{00000000-0005-0000-0000-0000125D0000}"/>
    <cellStyle name="Normal 3 3 7 7 2 2" xfId="31316" xr:uid="{00000000-0005-0000-0000-0000135D0000}"/>
    <cellStyle name="Normal 3 3 7 7 3" xfId="13813" xr:uid="{00000000-0005-0000-0000-0000145D0000}"/>
    <cellStyle name="Normal 3 3 7 7 3 2" xfId="31317" xr:uid="{00000000-0005-0000-0000-0000155D0000}"/>
    <cellStyle name="Normal 3 3 7 7 4" xfId="13814" xr:uid="{00000000-0005-0000-0000-0000165D0000}"/>
    <cellStyle name="Normal 3 3 7 7 4 2" xfId="31318" xr:uid="{00000000-0005-0000-0000-0000175D0000}"/>
    <cellStyle name="Normal 3 3 7 7 5" xfId="13815" xr:uid="{00000000-0005-0000-0000-0000185D0000}"/>
    <cellStyle name="Normal 3 3 7 7 5 2" xfId="31319" xr:uid="{00000000-0005-0000-0000-0000195D0000}"/>
    <cellStyle name="Normal 3 3 7 7 6" xfId="13816" xr:uid="{00000000-0005-0000-0000-00001A5D0000}"/>
    <cellStyle name="Normal 3 3 7 7 6 2" xfId="31320" xr:uid="{00000000-0005-0000-0000-00001B5D0000}"/>
    <cellStyle name="Normal 3 3 7 7 7" xfId="13817" xr:uid="{00000000-0005-0000-0000-00001C5D0000}"/>
    <cellStyle name="Normal 3 3 7 7 7 2" xfId="31321" xr:uid="{00000000-0005-0000-0000-00001D5D0000}"/>
    <cellStyle name="Normal 3 3 7 7 8" xfId="13818" xr:uid="{00000000-0005-0000-0000-00001E5D0000}"/>
    <cellStyle name="Normal 3 3 7 7 8 2" xfId="31322" xr:uid="{00000000-0005-0000-0000-00001F5D0000}"/>
    <cellStyle name="Normal 3 3 7 7 9" xfId="13819" xr:uid="{00000000-0005-0000-0000-0000205D0000}"/>
    <cellStyle name="Normal 3 3 7 7 9 2" xfId="31323" xr:uid="{00000000-0005-0000-0000-0000215D0000}"/>
    <cellStyle name="Normal 3 3 7 8" xfId="13820" xr:uid="{00000000-0005-0000-0000-0000225D0000}"/>
    <cellStyle name="Normal 3 3 7 8 10" xfId="13821" xr:uid="{00000000-0005-0000-0000-0000235D0000}"/>
    <cellStyle name="Normal 3 3 7 8 10 2" xfId="31325" xr:uid="{00000000-0005-0000-0000-0000245D0000}"/>
    <cellStyle name="Normal 3 3 7 8 11" xfId="13822" xr:uid="{00000000-0005-0000-0000-0000255D0000}"/>
    <cellStyle name="Normal 3 3 7 8 11 2" xfId="31326" xr:uid="{00000000-0005-0000-0000-0000265D0000}"/>
    <cellStyle name="Normal 3 3 7 8 12" xfId="13823" xr:uid="{00000000-0005-0000-0000-0000275D0000}"/>
    <cellStyle name="Normal 3 3 7 8 12 2" xfId="31327" xr:uid="{00000000-0005-0000-0000-0000285D0000}"/>
    <cellStyle name="Normal 3 3 7 8 13" xfId="13824" xr:uid="{00000000-0005-0000-0000-0000295D0000}"/>
    <cellStyle name="Normal 3 3 7 8 13 2" xfId="31328" xr:uid="{00000000-0005-0000-0000-00002A5D0000}"/>
    <cellStyle name="Normal 3 3 7 8 14" xfId="13825" xr:uid="{00000000-0005-0000-0000-00002B5D0000}"/>
    <cellStyle name="Normal 3 3 7 8 14 2" xfId="31329" xr:uid="{00000000-0005-0000-0000-00002C5D0000}"/>
    <cellStyle name="Normal 3 3 7 8 15" xfId="31324" xr:uid="{00000000-0005-0000-0000-00002D5D0000}"/>
    <cellStyle name="Normal 3 3 7 8 2" xfId="13826" xr:uid="{00000000-0005-0000-0000-00002E5D0000}"/>
    <cellStyle name="Normal 3 3 7 8 2 2" xfId="31330" xr:uid="{00000000-0005-0000-0000-00002F5D0000}"/>
    <cellStyle name="Normal 3 3 7 8 3" xfId="13827" xr:uid="{00000000-0005-0000-0000-0000305D0000}"/>
    <cellStyle name="Normal 3 3 7 8 3 2" xfId="31331" xr:uid="{00000000-0005-0000-0000-0000315D0000}"/>
    <cellStyle name="Normal 3 3 7 8 4" xfId="13828" xr:uid="{00000000-0005-0000-0000-0000325D0000}"/>
    <cellStyle name="Normal 3 3 7 8 4 2" xfId="31332" xr:uid="{00000000-0005-0000-0000-0000335D0000}"/>
    <cellStyle name="Normal 3 3 7 8 5" xfId="13829" xr:uid="{00000000-0005-0000-0000-0000345D0000}"/>
    <cellStyle name="Normal 3 3 7 8 5 2" xfId="31333" xr:uid="{00000000-0005-0000-0000-0000355D0000}"/>
    <cellStyle name="Normal 3 3 7 8 6" xfId="13830" xr:uid="{00000000-0005-0000-0000-0000365D0000}"/>
    <cellStyle name="Normal 3 3 7 8 6 2" xfId="31334" xr:uid="{00000000-0005-0000-0000-0000375D0000}"/>
    <cellStyle name="Normal 3 3 7 8 7" xfId="13831" xr:uid="{00000000-0005-0000-0000-0000385D0000}"/>
    <cellStyle name="Normal 3 3 7 8 7 2" xfId="31335" xr:uid="{00000000-0005-0000-0000-0000395D0000}"/>
    <cellStyle name="Normal 3 3 7 8 8" xfId="13832" xr:uid="{00000000-0005-0000-0000-00003A5D0000}"/>
    <cellStyle name="Normal 3 3 7 8 8 2" xfId="31336" xr:uid="{00000000-0005-0000-0000-00003B5D0000}"/>
    <cellStyle name="Normal 3 3 7 8 9" xfId="13833" xr:uid="{00000000-0005-0000-0000-00003C5D0000}"/>
    <cellStyle name="Normal 3 3 7 8 9 2" xfId="31337" xr:uid="{00000000-0005-0000-0000-00003D5D0000}"/>
    <cellStyle name="Normal 3 3 7 9" xfId="13834" xr:uid="{00000000-0005-0000-0000-00003E5D0000}"/>
    <cellStyle name="Normal 3 3 7 9 10" xfId="13835" xr:uid="{00000000-0005-0000-0000-00003F5D0000}"/>
    <cellStyle name="Normal 3 3 7 9 10 2" xfId="31339" xr:uid="{00000000-0005-0000-0000-0000405D0000}"/>
    <cellStyle name="Normal 3 3 7 9 11" xfId="13836" xr:uid="{00000000-0005-0000-0000-0000415D0000}"/>
    <cellStyle name="Normal 3 3 7 9 11 2" xfId="31340" xr:uid="{00000000-0005-0000-0000-0000425D0000}"/>
    <cellStyle name="Normal 3 3 7 9 12" xfId="13837" xr:uid="{00000000-0005-0000-0000-0000435D0000}"/>
    <cellStyle name="Normal 3 3 7 9 12 2" xfId="31341" xr:uid="{00000000-0005-0000-0000-0000445D0000}"/>
    <cellStyle name="Normal 3 3 7 9 13" xfId="13838" xr:uid="{00000000-0005-0000-0000-0000455D0000}"/>
    <cellStyle name="Normal 3 3 7 9 13 2" xfId="31342" xr:uid="{00000000-0005-0000-0000-0000465D0000}"/>
    <cellStyle name="Normal 3 3 7 9 14" xfId="13839" xr:uid="{00000000-0005-0000-0000-0000475D0000}"/>
    <cellStyle name="Normal 3 3 7 9 14 2" xfId="31343" xr:uid="{00000000-0005-0000-0000-0000485D0000}"/>
    <cellStyle name="Normal 3 3 7 9 15" xfId="31338" xr:uid="{00000000-0005-0000-0000-0000495D0000}"/>
    <cellStyle name="Normal 3 3 7 9 2" xfId="13840" xr:uid="{00000000-0005-0000-0000-00004A5D0000}"/>
    <cellStyle name="Normal 3 3 7 9 2 2" xfId="31344" xr:uid="{00000000-0005-0000-0000-00004B5D0000}"/>
    <cellStyle name="Normal 3 3 7 9 3" xfId="13841" xr:uid="{00000000-0005-0000-0000-00004C5D0000}"/>
    <cellStyle name="Normal 3 3 7 9 3 2" xfId="31345" xr:uid="{00000000-0005-0000-0000-00004D5D0000}"/>
    <cellStyle name="Normal 3 3 7 9 4" xfId="13842" xr:uid="{00000000-0005-0000-0000-00004E5D0000}"/>
    <cellStyle name="Normal 3 3 7 9 4 2" xfId="31346" xr:uid="{00000000-0005-0000-0000-00004F5D0000}"/>
    <cellStyle name="Normal 3 3 7 9 5" xfId="13843" xr:uid="{00000000-0005-0000-0000-0000505D0000}"/>
    <cellStyle name="Normal 3 3 7 9 5 2" xfId="31347" xr:uid="{00000000-0005-0000-0000-0000515D0000}"/>
    <cellStyle name="Normal 3 3 7 9 6" xfId="13844" xr:uid="{00000000-0005-0000-0000-0000525D0000}"/>
    <cellStyle name="Normal 3 3 7 9 6 2" xfId="31348" xr:uid="{00000000-0005-0000-0000-0000535D0000}"/>
    <cellStyle name="Normal 3 3 7 9 7" xfId="13845" xr:uid="{00000000-0005-0000-0000-0000545D0000}"/>
    <cellStyle name="Normal 3 3 7 9 7 2" xfId="31349" xr:uid="{00000000-0005-0000-0000-0000555D0000}"/>
    <cellStyle name="Normal 3 3 7 9 8" xfId="13846" xr:uid="{00000000-0005-0000-0000-0000565D0000}"/>
    <cellStyle name="Normal 3 3 7 9 8 2" xfId="31350" xr:uid="{00000000-0005-0000-0000-0000575D0000}"/>
    <cellStyle name="Normal 3 3 7 9 9" xfId="13847" xr:uid="{00000000-0005-0000-0000-0000585D0000}"/>
    <cellStyle name="Normal 3 3 7 9 9 2" xfId="31351" xr:uid="{00000000-0005-0000-0000-0000595D0000}"/>
    <cellStyle name="Normal 3 3 8" xfId="13848" xr:uid="{00000000-0005-0000-0000-00005A5D0000}"/>
    <cellStyle name="Normal 3 3 8 10" xfId="13849" xr:uid="{00000000-0005-0000-0000-00005B5D0000}"/>
    <cellStyle name="Normal 3 3 8 10 10" xfId="13850" xr:uid="{00000000-0005-0000-0000-00005C5D0000}"/>
    <cellStyle name="Normal 3 3 8 10 10 2" xfId="31354" xr:uid="{00000000-0005-0000-0000-00005D5D0000}"/>
    <cellStyle name="Normal 3 3 8 10 11" xfId="13851" xr:uid="{00000000-0005-0000-0000-00005E5D0000}"/>
    <cellStyle name="Normal 3 3 8 10 11 2" xfId="31355" xr:uid="{00000000-0005-0000-0000-00005F5D0000}"/>
    <cellStyle name="Normal 3 3 8 10 12" xfId="13852" xr:uid="{00000000-0005-0000-0000-0000605D0000}"/>
    <cellStyle name="Normal 3 3 8 10 12 2" xfId="31356" xr:uid="{00000000-0005-0000-0000-0000615D0000}"/>
    <cellStyle name="Normal 3 3 8 10 13" xfId="13853" xr:uid="{00000000-0005-0000-0000-0000625D0000}"/>
    <cellStyle name="Normal 3 3 8 10 13 2" xfId="31357" xr:uid="{00000000-0005-0000-0000-0000635D0000}"/>
    <cellStyle name="Normal 3 3 8 10 14" xfId="13854" xr:uid="{00000000-0005-0000-0000-0000645D0000}"/>
    <cellStyle name="Normal 3 3 8 10 14 2" xfId="31358" xr:uid="{00000000-0005-0000-0000-0000655D0000}"/>
    <cellStyle name="Normal 3 3 8 10 15" xfId="31353" xr:uid="{00000000-0005-0000-0000-0000665D0000}"/>
    <cellStyle name="Normal 3 3 8 10 2" xfId="13855" xr:uid="{00000000-0005-0000-0000-0000675D0000}"/>
    <cellStyle name="Normal 3 3 8 10 2 2" xfId="31359" xr:uid="{00000000-0005-0000-0000-0000685D0000}"/>
    <cellStyle name="Normal 3 3 8 10 3" xfId="13856" xr:uid="{00000000-0005-0000-0000-0000695D0000}"/>
    <cellStyle name="Normal 3 3 8 10 3 2" xfId="31360" xr:uid="{00000000-0005-0000-0000-00006A5D0000}"/>
    <cellStyle name="Normal 3 3 8 10 4" xfId="13857" xr:uid="{00000000-0005-0000-0000-00006B5D0000}"/>
    <cellStyle name="Normal 3 3 8 10 4 2" xfId="31361" xr:uid="{00000000-0005-0000-0000-00006C5D0000}"/>
    <cellStyle name="Normal 3 3 8 10 5" xfId="13858" xr:uid="{00000000-0005-0000-0000-00006D5D0000}"/>
    <cellStyle name="Normal 3 3 8 10 5 2" xfId="31362" xr:uid="{00000000-0005-0000-0000-00006E5D0000}"/>
    <cellStyle name="Normal 3 3 8 10 6" xfId="13859" xr:uid="{00000000-0005-0000-0000-00006F5D0000}"/>
    <cellStyle name="Normal 3 3 8 10 6 2" xfId="31363" xr:uid="{00000000-0005-0000-0000-0000705D0000}"/>
    <cellStyle name="Normal 3 3 8 10 7" xfId="13860" xr:uid="{00000000-0005-0000-0000-0000715D0000}"/>
    <cellStyle name="Normal 3 3 8 10 7 2" xfId="31364" xr:uid="{00000000-0005-0000-0000-0000725D0000}"/>
    <cellStyle name="Normal 3 3 8 10 8" xfId="13861" xr:uid="{00000000-0005-0000-0000-0000735D0000}"/>
    <cellStyle name="Normal 3 3 8 10 8 2" xfId="31365" xr:uid="{00000000-0005-0000-0000-0000745D0000}"/>
    <cellStyle name="Normal 3 3 8 10 9" xfId="13862" xr:uid="{00000000-0005-0000-0000-0000755D0000}"/>
    <cellStyle name="Normal 3 3 8 10 9 2" xfId="31366" xr:uid="{00000000-0005-0000-0000-0000765D0000}"/>
    <cellStyle name="Normal 3 3 8 11" xfId="13863" xr:uid="{00000000-0005-0000-0000-0000775D0000}"/>
    <cellStyle name="Normal 3 3 8 11 2" xfId="31367" xr:uid="{00000000-0005-0000-0000-0000785D0000}"/>
    <cellStyle name="Normal 3 3 8 12" xfId="13864" xr:uid="{00000000-0005-0000-0000-0000795D0000}"/>
    <cellStyle name="Normal 3 3 8 12 2" xfId="31368" xr:uid="{00000000-0005-0000-0000-00007A5D0000}"/>
    <cellStyle name="Normal 3 3 8 13" xfId="13865" xr:uid="{00000000-0005-0000-0000-00007B5D0000}"/>
    <cellStyle name="Normal 3 3 8 13 2" xfId="31369" xr:uid="{00000000-0005-0000-0000-00007C5D0000}"/>
    <cellStyle name="Normal 3 3 8 14" xfId="13866" xr:uid="{00000000-0005-0000-0000-00007D5D0000}"/>
    <cellStyle name="Normal 3 3 8 14 2" xfId="31370" xr:uid="{00000000-0005-0000-0000-00007E5D0000}"/>
    <cellStyle name="Normal 3 3 8 15" xfId="13867" xr:uid="{00000000-0005-0000-0000-00007F5D0000}"/>
    <cellStyle name="Normal 3 3 8 15 2" xfId="31371" xr:uid="{00000000-0005-0000-0000-0000805D0000}"/>
    <cellStyle name="Normal 3 3 8 16" xfId="13868" xr:uid="{00000000-0005-0000-0000-0000815D0000}"/>
    <cellStyle name="Normal 3 3 8 16 2" xfId="31372" xr:uid="{00000000-0005-0000-0000-0000825D0000}"/>
    <cellStyle name="Normal 3 3 8 17" xfId="13869" xr:uid="{00000000-0005-0000-0000-0000835D0000}"/>
    <cellStyle name="Normal 3 3 8 17 2" xfId="31373" xr:uid="{00000000-0005-0000-0000-0000845D0000}"/>
    <cellStyle name="Normal 3 3 8 18" xfId="13870" xr:uid="{00000000-0005-0000-0000-0000855D0000}"/>
    <cellStyle name="Normal 3 3 8 18 2" xfId="31374" xr:uid="{00000000-0005-0000-0000-0000865D0000}"/>
    <cellStyle name="Normal 3 3 8 19" xfId="13871" xr:uid="{00000000-0005-0000-0000-0000875D0000}"/>
    <cellStyle name="Normal 3 3 8 19 2" xfId="31375" xr:uid="{00000000-0005-0000-0000-0000885D0000}"/>
    <cellStyle name="Normal 3 3 8 2" xfId="13872" xr:uid="{00000000-0005-0000-0000-0000895D0000}"/>
    <cellStyle name="Normal 3 3 8 2 10" xfId="13873" xr:uid="{00000000-0005-0000-0000-00008A5D0000}"/>
    <cellStyle name="Normal 3 3 8 2 10 2" xfId="31377" xr:uid="{00000000-0005-0000-0000-00008B5D0000}"/>
    <cellStyle name="Normal 3 3 8 2 11" xfId="13874" xr:uid="{00000000-0005-0000-0000-00008C5D0000}"/>
    <cellStyle name="Normal 3 3 8 2 11 2" xfId="31378" xr:uid="{00000000-0005-0000-0000-00008D5D0000}"/>
    <cellStyle name="Normal 3 3 8 2 12" xfId="13875" xr:uid="{00000000-0005-0000-0000-00008E5D0000}"/>
    <cellStyle name="Normal 3 3 8 2 12 2" xfId="31379" xr:uid="{00000000-0005-0000-0000-00008F5D0000}"/>
    <cellStyle name="Normal 3 3 8 2 13" xfId="13876" xr:uid="{00000000-0005-0000-0000-0000905D0000}"/>
    <cellStyle name="Normal 3 3 8 2 13 2" xfId="31380" xr:uid="{00000000-0005-0000-0000-0000915D0000}"/>
    <cellStyle name="Normal 3 3 8 2 14" xfId="13877" xr:uid="{00000000-0005-0000-0000-0000925D0000}"/>
    <cellStyle name="Normal 3 3 8 2 14 2" xfId="31381" xr:uid="{00000000-0005-0000-0000-0000935D0000}"/>
    <cellStyle name="Normal 3 3 8 2 15" xfId="13878" xr:uid="{00000000-0005-0000-0000-0000945D0000}"/>
    <cellStyle name="Normal 3 3 8 2 15 2" xfId="31382" xr:uid="{00000000-0005-0000-0000-0000955D0000}"/>
    <cellStyle name="Normal 3 3 8 2 16" xfId="31376" xr:uid="{00000000-0005-0000-0000-0000965D0000}"/>
    <cellStyle name="Normal 3 3 8 2 2" xfId="13879" xr:uid="{00000000-0005-0000-0000-0000975D0000}"/>
    <cellStyle name="Normal 3 3 8 2 2 10" xfId="13880" xr:uid="{00000000-0005-0000-0000-0000985D0000}"/>
    <cellStyle name="Normal 3 3 8 2 2 10 2" xfId="31384" xr:uid="{00000000-0005-0000-0000-0000995D0000}"/>
    <cellStyle name="Normal 3 3 8 2 2 11" xfId="13881" xr:uid="{00000000-0005-0000-0000-00009A5D0000}"/>
    <cellStyle name="Normal 3 3 8 2 2 11 2" xfId="31385" xr:uid="{00000000-0005-0000-0000-00009B5D0000}"/>
    <cellStyle name="Normal 3 3 8 2 2 12" xfId="13882" xr:uid="{00000000-0005-0000-0000-00009C5D0000}"/>
    <cellStyle name="Normal 3 3 8 2 2 12 2" xfId="31386" xr:uid="{00000000-0005-0000-0000-00009D5D0000}"/>
    <cellStyle name="Normal 3 3 8 2 2 13" xfId="13883" xr:uid="{00000000-0005-0000-0000-00009E5D0000}"/>
    <cellStyle name="Normal 3 3 8 2 2 13 2" xfId="31387" xr:uid="{00000000-0005-0000-0000-00009F5D0000}"/>
    <cellStyle name="Normal 3 3 8 2 2 14" xfId="13884" xr:uid="{00000000-0005-0000-0000-0000A05D0000}"/>
    <cellStyle name="Normal 3 3 8 2 2 14 2" xfId="31388" xr:uid="{00000000-0005-0000-0000-0000A15D0000}"/>
    <cellStyle name="Normal 3 3 8 2 2 15" xfId="31383" xr:uid="{00000000-0005-0000-0000-0000A25D0000}"/>
    <cellStyle name="Normal 3 3 8 2 2 2" xfId="13885" xr:uid="{00000000-0005-0000-0000-0000A35D0000}"/>
    <cellStyle name="Normal 3 3 8 2 2 2 2" xfId="31389" xr:uid="{00000000-0005-0000-0000-0000A45D0000}"/>
    <cellStyle name="Normal 3 3 8 2 2 3" xfId="13886" xr:uid="{00000000-0005-0000-0000-0000A55D0000}"/>
    <cellStyle name="Normal 3 3 8 2 2 3 2" xfId="31390" xr:uid="{00000000-0005-0000-0000-0000A65D0000}"/>
    <cellStyle name="Normal 3 3 8 2 2 4" xfId="13887" xr:uid="{00000000-0005-0000-0000-0000A75D0000}"/>
    <cellStyle name="Normal 3 3 8 2 2 4 2" xfId="31391" xr:uid="{00000000-0005-0000-0000-0000A85D0000}"/>
    <cellStyle name="Normal 3 3 8 2 2 5" xfId="13888" xr:uid="{00000000-0005-0000-0000-0000A95D0000}"/>
    <cellStyle name="Normal 3 3 8 2 2 5 2" xfId="31392" xr:uid="{00000000-0005-0000-0000-0000AA5D0000}"/>
    <cellStyle name="Normal 3 3 8 2 2 6" xfId="13889" xr:uid="{00000000-0005-0000-0000-0000AB5D0000}"/>
    <cellStyle name="Normal 3 3 8 2 2 6 2" xfId="31393" xr:uid="{00000000-0005-0000-0000-0000AC5D0000}"/>
    <cellStyle name="Normal 3 3 8 2 2 7" xfId="13890" xr:uid="{00000000-0005-0000-0000-0000AD5D0000}"/>
    <cellStyle name="Normal 3 3 8 2 2 7 2" xfId="31394" xr:uid="{00000000-0005-0000-0000-0000AE5D0000}"/>
    <cellStyle name="Normal 3 3 8 2 2 8" xfId="13891" xr:uid="{00000000-0005-0000-0000-0000AF5D0000}"/>
    <cellStyle name="Normal 3 3 8 2 2 8 2" xfId="31395" xr:uid="{00000000-0005-0000-0000-0000B05D0000}"/>
    <cellStyle name="Normal 3 3 8 2 2 9" xfId="13892" xr:uid="{00000000-0005-0000-0000-0000B15D0000}"/>
    <cellStyle name="Normal 3 3 8 2 2 9 2" xfId="31396" xr:uid="{00000000-0005-0000-0000-0000B25D0000}"/>
    <cellStyle name="Normal 3 3 8 2 3" xfId="13893" xr:uid="{00000000-0005-0000-0000-0000B35D0000}"/>
    <cellStyle name="Normal 3 3 8 2 3 2" xfId="31397" xr:uid="{00000000-0005-0000-0000-0000B45D0000}"/>
    <cellStyle name="Normal 3 3 8 2 4" xfId="13894" xr:uid="{00000000-0005-0000-0000-0000B55D0000}"/>
    <cellStyle name="Normal 3 3 8 2 4 2" xfId="31398" xr:uid="{00000000-0005-0000-0000-0000B65D0000}"/>
    <cellStyle name="Normal 3 3 8 2 5" xfId="13895" xr:uid="{00000000-0005-0000-0000-0000B75D0000}"/>
    <cellStyle name="Normal 3 3 8 2 5 2" xfId="31399" xr:uid="{00000000-0005-0000-0000-0000B85D0000}"/>
    <cellStyle name="Normal 3 3 8 2 6" xfId="13896" xr:uid="{00000000-0005-0000-0000-0000B95D0000}"/>
    <cellStyle name="Normal 3 3 8 2 6 2" xfId="31400" xr:uid="{00000000-0005-0000-0000-0000BA5D0000}"/>
    <cellStyle name="Normal 3 3 8 2 7" xfId="13897" xr:uid="{00000000-0005-0000-0000-0000BB5D0000}"/>
    <cellStyle name="Normal 3 3 8 2 7 2" xfId="31401" xr:uid="{00000000-0005-0000-0000-0000BC5D0000}"/>
    <cellStyle name="Normal 3 3 8 2 8" xfId="13898" xr:uid="{00000000-0005-0000-0000-0000BD5D0000}"/>
    <cellStyle name="Normal 3 3 8 2 8 2" xfId="31402" xr:uid="{00000000-0005-0000-0000-0000BE5D0000}"/>
    <cellStyle name="Normal 3 3 8 2 9" xfId="13899" xr:uid="{00000000-0005-0000-0000-0000BF5D0000}"/>
    <cellStyle name="Normal 3 3 8 2 9 2" xfId="31403" xr:uid="{00000000-0005-0000-0000-0000C05D0000}"/>
    <cellStyle name="Normal 3 3 8 20" xfId="13900" xr:uid="{00000000-0005-0000-0000-0000C15D0000}"/>
    <cellStyle name="Normal 3 3 8 20 2" xfId="31404" xr:uid="{00000000-0005-0000-0000-0000C25D0000}"/>
    <cellStyle name="Normal 3 3 8 21" xfId="13901" xr:uid="{00000000-0005-0000-0000-0000C35D0000}"/>
    <cellStyle name="Normal 3 3 8 21 2" xfId="31405" xr:uid="{00000000-0005-0000-0000-0000C45D0000}"/>
    <cellStyle name="Normal 3 3 8 22" xfId="13902" xr:uid="{00000000-0005-0000-0000-0000C55D0000}"/>
    <cellStyle name="Normal 3 3 8 22 2" xfId="31406" xr:uid="{00000000-0005-0000-0000-0000C65D0000}"/>
    <cellStyle name="Normal 3 3 8 23" xfId="13903" xr:uid="{00000000-0005-0000-0000-0000C75D0000}"/>
    <cellStyle name="Normal 3 3 8 23 2" xfId="31407" xr:uid="{00000000-0005-0000-0000-0000C85D0000}"/>
    <cellStyle name="Normal 3 3 8 24" xfId="31352" xr:uid="{00000000-0005-0000-0000-0000C95D0000}"/>
    <cellStyle name="Normal 3 3 8 3" xfId="13904" xr:uid="{00000000-0005-0000-0000-0000CA5D0000}"/>
    <cellStyle name="Normal 3 3 8 3 10" xfId="13905" xr:uid="{00000000-0005-0000-0000-0000CB5D0000}"/>
    <cellStyle name="Normal 3 3 8 3 10 2" xfId="31409" xr:uid="{00000000-0005-0000-0000-0000CC5D0000}"/>
    <cellStyle name="Normal 3 3 8 3 11" xfId="13906" xr:uid="{00000000-0005-0000-0000-0000CD5D0000}"/>
    <cellStyle name="Normal 3 3 8 3 11 2" xfId="31410" xr:uid="{00000000-0005-0000-0000-0000CE5D0000}"/>
    <cellStyle name="Normal 3 3 8 3 12" xfId="13907" xr:uid="{00000000-0005-0000-0000-0000CF5D0000}"/>
    <cellStyle name="Normal 3 3 8 3 12 2" xfId="31411" xr:uid="{00000000-0005-0000-0000-0000D05D0000}"/>
    <cellStyle name="Normal 3 3 8 3 13" xfId="13908" xr:uid="{00000000-0005-0000-0000-0000D15D0000}"/>
    <cellStyle name="Normal 3 3 8 3 13 2" xfId="31412" xr:uid="{00000000-0005-0000-0000-0000D25D0000}"/>
    <cellStyle name="Normal 3 3 8 3 14" xfId="13909" xr:uid="{00000000-0005-0000-0000-0000D35D0000}"/>
    <cellStyle name="Normal 3 3 8 3 14 2" xfId="31413" xr:uid="{00000000-0005-0000-0000-0000D45D0000}"/>
    <cellStyle name="Normal 3 3 8 3 15" xfId="13910" xr:uid="{00000000-0005-0000-0000-0000D55D0000}"/>
    <cellStyle name="Normal 3 3 8 3 15 2" xfId="31414" xr:uid="{00000000-0005-0000-0000-0000D65D0000}"/>
    <cellStyle name="Normal 3 3 8 3 16" xfId="31408" xr:uid="{00000000-0005-0000-0000-0000D75D0000}"/>
    <cellStyle name="Normal 3 3 8 3 2" xfId="13911" xr:uid="{00000000-0005-0000-0000-0000D85D0000}"/>
    <cellStyle name="Normal 3 3 8 3 2 10" xfId="13912" xr:uid="{00000000-0005-0000-0000-0000D95D0000}"/>
    <cellStyle name="Normal 3 3 8 3 2 10 2" xfId="31416" xr:uid="{00000000-0005-0000-0000-0000DA5D0000}"/>
    <cellStyle name="Normal 3 3 8 3 2 11" xfId="13913" xr:uid="{00000000-0005-0000-0000-0000DB5D0000}"/>
    <cellStyle name="Normal 3 3 8 3 2 11 2" xfId="31417" xr:uid="{00000000-0005-0000-0000-0000DC5D0000}"/>
    <cellStyle name="Normal 3 3 8 3 2 12" xfId="13914" xr:uid="{00000000-0005-0000-0000-0000DD5D0000}"/>
    <cellStyle name="Normal 3 3 8 3 2 12 2" xfId="31418" xr:uid="{00000000-0005-0000-0000-0000DE5D0000}"/>
    <cellStyle name="Normal 3 3 8 3 2 13" xfId="13915" xr:uid="{00000000-0005-0000-0000-0000DF5D0000}"/>
    <cellStyle name="Normal 3 3 8 3 2 13 2" xfId="31419" xr:uid="{00000000-0005-0000-0000-0000E05D0000}"/>
    <cellStyle name="Normal 3 3 8 3 2 14" xfId="13916" xr:uid="{00000000-0005-0000-0000-0000E15D0000}"/>
    <cellStyle name="Normal 3 3 8 3 2 14 2" xfId="31420" xr:uid="{00000000-0005-0000-0000-0000E25D0000}"/>
    <cellStyle name="Normal 3 3 8 3 2 15" xfId="31415" xr:uid="{00000000-0005-0000-0000-0000E35D0000}"/>
    <cellStyle name="Normal 3 3 8 3 2 2" xfId="13917" xr:uid="{00000000-0005-0000-0000-0000E45D0000}"/>
    <cellStyle name="Normal 3 3 8 3 2 2 2" xfId="31421" xr:uid="{00000000-0005-0000-0000-0000E55D0000}"/>
    <cellStyle name="Normal 3 3 8 3 2 3" xfId="13918" xr:uid="{00000000-0005-0000-0000-0000E65D0000}"/>
    <cellStyle name="Normal 3 3 8 3 2 3 2" xfId="31422" xr:uid="{00000000-0005-0000-0000-0000E75D0000}"/>
    <cellStyle name="Normal 3 3 8 3 2 4" xfId="13919" xr:uid="{00000000-0005-0000-0000-0000E85D0000}"/>
    <cellStyle name="Normal 3 3 8 3 2 4 2" xfId="31423" xr:uid="{00000000-0005-0000-0000-0000E95D0000}"/>
    <cellStyle name="Normal 3 3 8 3 2 5" xfId="13920" xr:uid="{00000000-0005-0000-0000-0000EA5D0000}"/>
    <cellStyle name="Normal 3 3 8 3 2 5 2" xfId="31424" xr:uid="{00000000-0005-0000-0000-0000EB5D0000}"/>
    <cellStyle name="Normal 3 3 8 3 2 6" xfId="13921" xr:uid="{00000000-0005-0000-0000-0000EC5D0000}"/>
    <cellStyle name="Normal 3 3 8 3 2 6 2" xfId="31425" xr:uid="{00000000-0005-0000-0000-0000ED5D0000}"/>
    <cellStyle name="Normal 3 3 8 3 2 7" xfId="13922" xr:uid="{00000000-0005-0000-0000-0000EE5D0000}"/>
    <cellStyle name="Normal 3 3 8 3 2 7 2" xfId="31426" xr:uid="{00000000-0005-0000-0000-0000EF5D0000}"/>
    <cellStyle name="Normal 3 3 8 3 2 8" xfId="13923" xr:uid="{00000000-0005-0000-0000-0000F05D0000}"/>
    <cellStyle name="Normal 3 3 8 3 2 8 2" xfId="31427" xr:uid="{00000000-0005-0000-0000-0000F15D0000}"/>
    <cellStyle name="Normal 3 3 8 3 2 9" xfId="13924" xr:uid="{00000000-0005-0000-0000-0000F25D0000}"/>
    <cellStyle name="Normal 3 3 8 3 2 9 2" xfId="31428" xr:uid="{00000000-0005-0000-0000-0000F35D0000}"/>
    <cellStyle name="Normal 3 3 8 3 3" xfId="13925" xr:uid="{00000000-0005-0000-0000-0000F45D0000}"/>
    <cellStyle name="Normal 3 3 8 3 3 2" xfId="31429" xr:uid="{00000000-0005-0000-0000-0000F55D0000}"/>
    <cellStyle name="Normal 3 3 8 3 4" xfId="13926" xr:uid="{00000000-0005-0000-0000-0000F65D0000}"/>
    <cellStyle name="Normal 3 3 8 3 4 2" xfId="31430" xr:uid="{00000000-0005-0000-0000-0000F75D0000}"/>
    <cellStyle name="Normal 3 3 8 3 5" xfId="13927" xr:uid="{00000000-0005-0000-0000-0000F85D0000}"/>
    <cellStyle name="Normal 3 3 8 3 5 2" xfId="31431" xr:uid="{00000000-0005-0000-0000-0000F95D0000}"/>
    <cellStyle name="Normal 3 3 8 3 6" xfId="13928" xr:uid="{00000000-0005-0000-0000-0000FA5D0000}"/>
    <cellStyle name="Normal 3 3 8 3 6 2" xfId="31432" xr:uid="{00000000-0005-0000-0000-0000FB5D0000}"/>
    <cellStyle name="Normal 3 3 8 3 7" xfId="13929" xr:uid="{00000000-0005-0000-0000-0000FC5D0000}"/>
    <cellStyle name="Normal 3 3 8 3 7 2" xfId="31433" xr:uid="{00000000-0005-0000-0000-0000FD5D0000}"/>
    <cellStyle name="Normal 3 3 8 3 8" xfId="13930" xr:uid="{00000000-0005-0000-0000-0000FE5D0000}"/>
    <cellStyle name="Normal 3 3 8 3 8 2" xfId="31434" xr:uid="{00000000-0005-0000-0000-0000FF5D0000}"/>
    <cellStyle name="Normal 3 3 8 3 9" xfId="13931" xr:uid="{00000000-0005-0000-0000-0000005E0000}"/>
    <cellStyle name="Normal 3 3 8 3 9 2" xfId="31435" xr:uid="{00000000-0005-0000-0000-0000015E0000}"/>
    <cellStyle name="Normal 3 3 8 4" xfId="13932" xr:uid="{00000000-0005-0000-0000-0000025E0000}"/>
    <cellStyle name="Normal 3 3 8 4 10" xfId="13933" xr:uid="{00000000-0005-0000-0000-0000035E0000}"/>
    <cellStyle name="Normal 3 3 8 4 10 2" xfId="31437" xr:uid="{00000000-0005-0000-0000-0000045E0000}"/>
    <cellStyle name="Normal 3 3 8 4 11" xfId="13934" xr:uid="{00000000-0005-0000-0000-0000055E0000}"/>
    <cellStyle name="Normal 3 3 8 4 11 2" xfId="31438" xr:uid="{00000000-0005-0000-0000-0000065E0000}"/>
    <cellStyle name="Normal 3 3 8 4 12" xfId="13935" xr:uid="{00000000-0005-0000-0000-0000075E0000}"/>
    <cellStyle name="Normal 3 3 8 4 12 2" xfId="31439" xr:uid="{00000000-0005-0000-0000-0000085E0000}"/>
    <cellStyle name="Normal 3 3 8 4 13" xfId="13936" xr:uid="{00000000-0005-0000-0000-0000095E0000}"/>
    <cellStyle name="Normal 3 3 8 4 13 2" xfId="31440" xr:uid="{00000000-0005-0000-0000-00000A5E0000}"/>
    <cellStyle name="Normal 3 3 8 4 14" xfId="13937" xr:uid="{00000000-0005-0000-0000-00000B5E0000}"/>
    <cellStyle name="Normal 3 3 8 4 14 2" xfId="31441" xr:uid="{00000000-0005-0000-0000-00000C5E0000}"/>
    <cellStyle name="Normal 3 3 8 4 15" xfId="13938" xr:uid="{00000000-0005-0000-0000-00000D5E0000}"/>
    <cellStyle name="Normal 3 3 8 4 15 2" xfId="31442" xr:uid="{00000000-0005-0000-0000-00000E5E0000}"/>
    <cellStyle name="Normal 3 3 8 4 16" xfId="31436" xr:uid="{00000000-0005-0000-0000-00000F5E0000}"/>
    <cellStyle name="Normal 3 3 8 4 2" xfId="13939" xr:uid="{00000000-0005-0000-0000-0000105E0000}"/>
    <cellStyle name="Normal 3 3 8 4 2 10" xfId="13940" xr:uid="{00000000-0005-0000-0000-0000115E0000}"/>
    <cellStyle name="Normal 3 3 8 4 2 10 2" xfId="31444" xr:uid="{00000000-0005-0000-0000-0000125E0000}"/>
    <cellStyle name="Normal 3 3 8 4 2 11" xfId="13941" xr:uid="{00000000-0005-0000-0000-0000135E0000}"/>
    <cellStyle name="Normal 3 3 8 4 2 11 2" xfId="31445" xr:uid="{00000000-0005-0000-0000-0000145E0000}"/>
    <cellStyle name="Normal 3 3 8 4 2 12" xfId="13942" xr:uid="{00000000-0005-0000-0000-0000155E0000}"/>
    <cellStyle name="Normal 3 3 8 4 2 12 2" xfId="31446" xr:uid="{00000000-0005-0000-0000-0000165E0000}"/>
    <cellStyle name="Normal 3 3 8 4 2 13" xfId="13943" xr:uid="{00000000-0005-0000-0000-0000175E0000}"/>
    <cellStyle name="Normal 3 3 8 4 2 13 2" xfId="31447" xr:uid="{00000000-0005-0000-0000-0000185E0000}"/>
    <cellStyle name="Normal 3 3 8 4 2 14" xfId="13944" xr:uid="{00000000-0005-0000-0000-0000195E0000}"/>
    <cellStyle name="Normal 3 3 8 4 2 14 2" xfId="31448" xr:uid="{00000000-0005-0000-0000-00001A5E0000}"/>
    <cellStyle name="Normal 3 3 8 4 2 15" xfId="31443" xr:uid="{00000000-0005-0000-0000-00001B5E0000}"/>
    <cellStyle name="Normal 3 3 8 4 2 2" xfId="13945" xr:uid="{00000000-0005-0000-0000-00001C5E0000}"/>
    <cellStyle name="Normal 3 3 8 4 2 2 2" xfId="31449" xr:uid="{00000000-0005-0000-0000-00001D5E0000}"/>
    <cellStyle name="Normal 3 3 8 4 2 3" xfId="13946" xr:uid="{00000000-0005-0000-0000-00001E5E0000}"/>
    <cellStyle name="Normal 3 3 8 4 2 3 2" xfId="31450" xr:uid="{00000000-0005-0000-0000-00001F5E0000}"/>
    <cellStyle name="Normal 3 3 8 4 2 4" xfId="13947" xr:uid="{00000000-0005-0000-0000-0000205E0000}"/>
    <cellStyle name="Normal 3 3 8 4 2 4 2" xfId="31451" xr:uid="{00000000-0005-0000-0000-0000215E0000}"/>
    <cellStyle name="Normal 3 3 8 4 2 5" xfId="13948" xr:uid="{00000000-0005-0000-0000-0000225E0000}"/>
    <cellStyle name="Normal 3 3 8 4 2 5 2" xfId="31452" xr:uid="{00000000-0005-0000-0000-0000235E0000}"/>
    <cellStyle name="Normal 3 3 8 4 2 6" xfId="13949" xr:uid="{00000000-0005-0000-0000-0000245E0000}"/>
    <cellStyle name="Normal 3 3 8 4 2 6 2" xfId="31453" xr:uid="{00000000-0005-0000-0000-0000255E0000}"/>
    <cellStyle name="Normal 3 3 8 4 2 7" xfId="13950" xr:uid="{00000000-0005-0000-0000-0000265E0000}"/>
    <cellStyle name="Normal 3 3 8 4 2 7 2" xfId="31454" xr:uid="{00000000-0005-0000-0000-0000275E0000}"/>
    <cellStyle name="Normal 3 3 8 4 2 8" xfId="13951" xr:uid="{00000000-0005-0000-0000-0000285E0000}"/>
    <cellStyle name="Normal 3 3 8 4 2 8 2" xfId="31455" xr:uid="{00000000-0005-0000-0000-0000295E0000}"/>
    <cellStyle name="Normal 3 3 8 4 2 9" xfId="13952" xr:uid="{00000000-0005-0000-0000-00002A5E0000}"/>
    <cellStyle name="Normal 3 3 8 4 2 9 2" xfId="31456" xr:uid="{00000000-0005-0000-0000-00002B5E0000}"/>
    <cellStyle name="Normal 3 3 8 4 3" xfId="13953" xr:uid="{00000000-0005-0000-0000-00002C5E0000}"/>
    <cellStyle name="Normal 3 3 8 4 3 2" xfId="31457" xr:uid="{00000000-0005-0000-0000-00002D5E0000}"/>
    <cellStyle name="Normal 3 3 8 4 4" xfId="13954" xr:uid="{00000000-0005-0000-0000-00002E5E0000}"/>
    <cellStyle name="Normal 3 3 8 4 4 2" xfId="31458" xr:uid="{00000000-0005-0000-0000-00002F5E0000}"/>
    <cellStyle name="Normal 3 3 8 4 5" xfId="13955" xr:uid="{00000000-0005-0000-0000-0000305E0000}"/>
    <cellStyle name="Normal 3 3 8 4 5 2" xfId="31459" xr:uid="{00000000-0005-0000-0000-0000315E0000}"/>
    <cellStyle name="Normal 3 3 8 4 6" xfId="13956" xr:uid="{00000000-0005-0000-0000-0000325E0000}"/>
    <cellStyle name="Normal 3 3 8 4 6 2" xfId="31460" xr:uid="{00000000-0005-0000-0000-0000335E0000}"/>
    <cellStyle name="Normal 3 3 8 4 7" xfId="13957" xr:uid="{00000000-0005-0000-0000-0000345E0000}"/>
    <cellStyle name="Normal 3 3 8 4 7 2" xfId="31461" xr:uid="{00000000-0005-0000-0000-0000355E0000}"/>
    <cellStyle name="Normal 3 3 8 4 8" xfId="13958" xr:uid="{00000000-0005-0000-0000-0000365E0000}"/>
    <cellStyle name="Normal 3 3 8 4 8 2" xfId="31462" xr:uid="{00000000-0005-0000-0000-0000375E0000}"/>
    <cellStyle name="Normal 3 3 8 4 9" xfId="13959" xr:uid="{00000000-0005-0000-0000-0000385E0000}"/>
    <cellStyle name="Normal 3 3 8 4 9 2" xfId="31463" xr:uid="{00000000-0005-0000-0000-0000395E0000}"/>
    <cellStyle name="Normal 3 3 8 5" xfId="13960" xr:uid="{00000000-0005-0000-0000-00003A5E0000}"/>
    <cellStyle name="Normal 3 3 8 5 10" xfId="13961" xr:uid="{00000000-0005-0000-0000-00003B5E0000}"/>
    <cellStyle name="Normal 3 3 8 5 10 2" xfId="31465" xr:uid="{00000000-0005-0000-0000-00003C5E0000}"/>
    <cellStyle name="Normal 3 3 8 5 11" xfId="13962" xr:uid="{00000000-0005-0000-0000-00003D5E0000}"/>
    <cellStyle name="Normal 3 3 8 5 11 2" xfId="31466" xr:uid="{00000000-0005-0000-0000-00003E5E0000}"/>
    <cellStyle name="Normal 3 3 8 5 12" xfId="13963" xr:uid="{00000000-0005-0000-0000-00003F5E0000}"/>
    <cellStyle name="Normal 3 3 8 5 12 2" xfId="31467" xr:uid="{00000000-0005-0000-0000-0000405E0000}"/>
    <cellStyle name="Normal 3 3 8 5 13" xfId="13964" xr:uid="{00000000-0005-0000-0000-0000415E0000}"/>
    <cellStyle name="Normal 3 3 8 5 13 2" xfId="31468" xr:uid="{00000000-0005-0000-0000-0000425E0000}"/>
    <cellStyle name="Normal 3 3 8 5 14" xfId="13965" xr:uid="{00000000-0005-0000-0000-0000435E0000}"/>
    <cellStyle name="Normal 3 3 8 5 14 2" xfId="31469" xr:uid="{00000000-0005-0000-0000-0000445E0000}"/>
    <cellStyle name="Normal 3 3 8 5 15" xfId="31464" xr:uid="{00000000-0005-0000-0000-0000455E0000}"/>
    <cellStyle name="Normal 3 3 8 5 2" xfId="13966" xr:uid="{00000000-0005-0000-0000-0000465E0000}"/>
    <cellStyle name="Normal 3 3 8 5 2 2" xfId="31470" xr:uid="{00000000-0005-0000-0000-0000475E0000}"/>
    <cellStyle name="Normal 3 3 8 5 3" xfId="13967" xr:uid="{00000000-0005-0000-0000-0000485E0000}"/>
    <cellStyle name="Normal 3 3 8 5 3 2" xfId="31471" xr:uid="{00000000-0005-0000-0000-0000495E0000}"/>
    <cellStyle name="Normal 3 3 8 5 4" xfId="13968" xr:uid="{00000000-0005-0000-0000-00004A5E0000}"/>
    <cellStyle name="Normal 3 3 8 5 4 2" xfId="31472" xr:uid="{00000000-0005-0000-0000-00004B5E0000}"/>
    <cellStyle name="Normal 3 3 8 5 5" xfId="13969" xr:uid="{00000000-0005-0000-0000-00004C5E0000}"/>
    <cellStyle name="Normal 3 3 8 5 5 2" xfId="31473" xr:uid="{00000000-0005-0000-0000-00004D5E0000}"/>
    <cellStyle name="Normal 3 3 8 5 6" xfId="13970" xr:uid="{00000000-0005-0000-0000-00004E5E0000}"/>
    <cellStyle name="Normal 3 3 8 5 6 2" xfId="31474" xr:uid="{00000000-0005-0000-0000-00004F5E0000}"/>
    <cellStyle name="Normal 3 3 8 5 7" xfId="13971" xr:uid="{00000000-0005-0000-0000-0000505E0000}"/>
    <cellStyle name="Normal 3 3 8 5 7 2" xfId="31475" xr:uid="{00000000-0005-0000-0000-0000515E0000}"/>
    <cellStyle name="Normal 3 3 8 5 8" xfId="13972" xr:uid="{00000000-0005-0000-0000-0000525E0000}"/>
    <cellStyle name="Normal 3 3 8 5 8 2" xfId="31476" xr:uid="{00000000-0005-0000-0000-0000535E0000}"/>
    <cellStyle name="Normal 3 3 8 5 9" xfId="13973" xr:uid="{00000000-0005-0000-0000-0000545E0000}"/>
    <cellStyle name="Normal 3 3 8 5 9 2" xfId="31477" xr:uid="{00000000-0005-0000-0000-0000555E0000}"/>
    <cellStyle name="Normal 3 3 8 6" xfId="13974" xr:uid="{00000000-0005-0000-0000-0000565E0000}"/>
    <cellStyle name="Normal 3 3 8 6 10" xfId="13975" xr:uid="{00000000-0005-0000-0000-0000575E0000}"/>
    <cellStyle name="Normal 3 3 8 6 10 2" xfId="31479" xr:uid="{00000000-0005-0000-0000-0000585E0000}"/>
    <cellStyle name="Normal 3 3 8 6 11" xfId="13976" xr:uid="{00000000-0005-0000-0000-0000595E0000}"/>
    <cellStyle name="Normal 3 3 8 6 11 2" xfId="31480" xr:uid="{00000000-0005-0000-0000-00005A5E0000}"/>
    <cellStyle name="Normal 3 3 8 6 12" xfId="13977" xr:uid="{00000000-0005-0000-0000-00005B5E0000}"/>
    <cellStyle name="Normal 3 3 8 6 12 2" xfId="31481" xr:uid="{00000000-0005-0000-0000-00005C5E0000}"/>
    <cellStyle name="Normal 3 3 8 6 13" xfId="13978" xr:uid="{00000000-0005-0000-0000-00005D5E0000}"/>
    <cellStyle name="Normal 3 3 8 6 13 2" xfId="31482" xr:uid="{00000000-0005-0000-0000-00005E5E0000}"/>
    <cellStyle name="Normal 3 3 8 6 14" xfId="13979" xr:uid="{00000000-0005-0000-0000-00005F5E0000}"/>
    <cellStyle name="Normal 3 3 8 6 14 2" xfId="31483" xr:uid="{00000000-0005-0000-0000-0000605E0000}"/>
    <cellStyle name="Normal 3 3 8 6 15" xfId="31478" xr:uid="{00000000-0005-0000-0000-0000615E0000}"/>
    <cellStyle name="Normal 3 3 8 6 2" xfId="13980" xr:uid="{00000000-0005-0000-0000-0000625E0000}"/>
    <cellStyle name="Normal 3 3 8 6 2 2" xfId="31484" xr:uid="{00000000-0005-0000-0000-0000635E0000}"/>
    <cellStyle name="Normal 3 3 8 6 3" xfId="13981" xr:uid="{00000000-0005-0000-0000-0000645E0000}"/>
    <cellStyle name="Normal 3 3 8 6 3 2" xfId="31485" xr:uid="{00000000-0005-0000-0000-0000655E0000}"/>
    <cellStyle name="Normal 3 3 8 6 4" xfId="13982" xr:uid="{00000000-0005-0000-0000-0000665E0000}"/>
    <cellStyle name="Normal 3 3 8 6 4 2" xfId="31486" xr:uid="{00000000-0005-0000-0000-0000675E0000}"/>
    <cellStyle name="Normal 3 3 8 6 5" xfId="13983" xr:uid="{00000000-0005-0000-0000-0000685E0000}"/>
    <cellStyle name="Normal 3 3 8 6 5 2" xfId="31487" xr:uid="{00000000-0005-0000-0000-0000695E0000}"/>
    <cellStyle name="Normal 3 3 8 6 6" xfId="13984" xr:uid="{00000000-0005-0000-0000-00006A5E0000}"/>
    <cellStyle name="Normal 3 3 8 6 6 2" xfId="31488" xr:uid="{00000000-0005-0000-0000-00006B5E0000}"/>
    <cellStyle name="Normal 3 3 8 6 7" xfId="13985" xr:uid="{00000000-0005-0000-0000-00006C5E0000}"/>
    <cellStyle name="Normal 3 3 8 6 7 2" xfId="31489" xr:uid="{00000000-0005-0000-0000-00006D5E0000}"/>
    <cellStyle name="Normal 3 3 8 6 8" xfId="13986" xr:uid="{00000000-0005-0000-0000-00006E5E0000}"/>
    <cellStyle name="Normal 3 3 8 6 8 2" xfId="31490" xr:uid="{00000000-0005-0000-0000-00006F5E0000}"/>
    <cellStyle name="Normal 3 3 8 6 9" xfId="13987" xr:uid="{00000000-0005-0000-0000-0000705E0000}"/>
    <cellStyle name="Normal 3 3 8 6 9 2" xfId="31491" xr:uid="{00000000-0005-0000-0000-0000715E0000}"/>
    <cellStyle name="Normal 3 3 8 7" xfId="13988" xr:uid="{00000000-0005-0000-0000-0000725E0000}"/>
    <cellStyle name="Normal 3 3 8 7 10" xfId="13989" xr:uid="{00000000-0005-0000-0000-0000735E0000}"/>
    <cellStyle name="Normal 3 3 8 7 10 2" xfId="31493" xr:uid="{00000000-0005-0000-0000-0000745E0000}"/>
    <cellStyle name="Normal 3 3 8 7 11" xfId="13990" xr:uid="{00000000-0005-0000-0000-0000755E0000}"/>
    <cellStyle name="Normal 3 3 8 7 11 2" xfId="31494" xr:uid="{00000000-0005-0000-0000-0000765E0000}"/>
    <cellStyle name="Normal 3 3 8 7 12" xfId="13991" xr:uid="{00000000-0005-0000-0000-0000775E0000}"/>
    <cellStyle name="Normal 3 3 8 7 12 2" xfId="31495" xr:uid="{00000000-0005-0000-0000-0000785E0000}"/>
    <cellStyle name="Normal 3 3 8 7 13" xfId="13992" xr:uid="{00000000-0005-0000-0000-0000795E0000}"/>
    <cellStyle name="Normal 3 3 8 7 13 2" xfId="31496" xr:uid="{00000000-0005-0000-0000-00007A5E0000}"/>
    <cellStyle name="Normal 3 3 8 7 14" xfId="13993" xr:uid="{00000000-0005-0000-0000-00007B5E0000}"/>
    <cellStyle name="Normal 3 3 8 7 14 2" xfId="31497" xr:uid="{00000000-0005-0000-0000-00007C5E0000}"/>
    <cellStyle name="Normal 3 3 8 7 15" xfId="31492" xr:uid="{00000000-0005-0000-0000-00007D5E0000}"/>
    <cellStyle name="Normal 3 3 8 7 2" xfId="13994" xr:uid="{00000000-0005-0000-0000-00007E5E0000}"/>
    <cellStyle name="Normal 3 3 8 7 2 2" xfId="31498" xr:uid="{00000000-0005-0000-0000-00007F5E0000}"/>
    <cellStyle name="Normal 3 3 8 7 3" xfId="13995" xr:uid="{00000000-0005-0000-0000-0000805E0000}"/>
    <cellStyle name="Normal 3 3 8 7 3 2" xfId="31499" xr:uid="{00000000-0005-0000-0000-0000815E0000}"/>
    <cellStyle name="Normal 3 3 8 7 4" xfId="13996" xr:uid="{00000000-0005-0000-0000-0000825E0000}"/>
    <cellStyle name="Normal 3 3 8 7 4 2" xfId="31500" xr:uid="{00000000-0005-0000-0000-0000835E0000}"/>
    <cellStyle name="Normal 3 3 8 7 5" xfId="13997" xr:uid="{00000000-0005-0000-0000-0000845E0000}"/>
    <cellStyle name="Normal 3 3 8 7 5 2" xfId="31501" xr:uid="{00000000-0005-0000-0000-0000855E0000}"/>
    <cellStyle name="Normal 3 3 8 7 6" xfId="13998" xr:uid="{00000000-0005-0000-0000-0000865E0000}"/>
    <cellStyle name="Normal 3 3 8 7 6 2" xfId="31502" xr:uid="{00000000-0005-0000-0000-0000875E0000}"/>
    <cellStyle name="Normal 3 3 8 7 7" xfId="13999" xr:uid="{00000000-0005-0000-0000-0000885E0000}"/>
    <cellStyle name="Normal 3 3 8 7 7 2" xfId="31503" xr:uid="{00000000-0005-0000-0000-0000895E0000}"/>
    <cellStyle name="Normal 3 3 8 7 8" xfId="14000" xr:uid="{00000000-0005-0000-0000-00008A5E0000}"/>
    <cellStyle name="Normal 3 3 8 7 8 2" xfId="31504" xr:uid="{00000000-0005-0000-0000-00008B5E0000}"/>
    <cellStyle name="Normal 3 3 8 7 9" xfId="14001" xr:uid="{00000000-0005-0000-0000-00008C5E0000}"/>
    <cellStyle name="Normal 3 3 8 7 9 2" xfId="31505" xr:uid="{00000000-0005-0000-0000-00008D5E0000}"/>
    <cellStyle name="Normal 3 3 8 8" xfId="14002" xr:uid="{00000000-0005-0000-0000-00008E5E0000}"/>
    <cellStyle name="Normal 3 3 8 8 10" xfId="14003" xr:uid="{00000000-0005-0000-0000-00008F5E0000}"/>
    <cellStyle name="Normal 3 3 8 8 10 2" xfId="31507" xr:uid="{00000000-0005-0000-0000-0000905E0000}"/>
    <cellStyle name="Normal 3 3 8 8 11" xfId="14004" xr:uid="{00000000-0005-0000-0000-0000915E0000}"/>
    <cellStyle name="Normal 3 3 8 8 11 2" xfId="31508" xr:uid="{00000000-0005-0000-0000-0000925E0000}"/>
    <cellStyle name="Normal 3 3 8 8 12" xfId="14005" xr:uid="{00000000-0005-0000-0000-0000935E0000}"/>
    <cellStyle name="Normal 3 3 8 8 12 2" xfId="31509" xr:uid="{00000000-0005-0000-0000-0000945E0000}"/>
    <cellStyle name="Normal 3 3 8 8 13" xfId="14006" xr:uid="{00000000-0005-0000-0000-0000955E0000}"/>
    <cellStyle name="Normal 3 3 8 8 13 2" xfId="31510" xr:uid="{00000000-0005-0000-0000-0000965E0000}"/>
    <cellStyle name="Normal 3 3 8 8 14" xfId="14007" xr:uid="{00000000-0005-0000-0000-0000975E0000}"/>
    <cellStyle name="Normal 3 3 8 8 14 2" xfId="31511" xr:uid="{00000000-0005-0000-0000-0000985E0000}"/>
    <cellStyle name="Normal 3 3 8 8 15" xfId="31506" xr:uid="{00000000-0005-0000-0000-0000995E0000}"/>
    <cellStyle name="Normal 3 3 8 8 2" xfId="14008" xr:uid="{00000000-0005-0000-0000-00009A5E0000}"/>
    <cellStyle name="Normal 3 3 8 8 2 2" xfId="31512" xr:uid="{00000000-0005-0000-0000-00009B5E0000}"/>
    <cellStyle name="Normal 3 3 8 8 3" xfId="14009" xr:uid="{00000000-0005-0000-0000-00009C5E0000}"/>
    <cellStyle name="Normal 3 3 8 8 3 2" xfId="31513" xr:uid="{00000000-0005-0000-0000-00009D5E0000}"/>
    <cellStyle name="Normal 3 3 8 8 4" xfId="14010" xr:uid="{00000000-0005-0000-0000-00009E5E0000}"/>
    <cellStyle name="Normal 3 3 8 8 4 2" xfId="31514" xr:uid="{00000000-0005-0000-0000-00009F5E0000}"/>
    <cellStyle name="Normal 3 3 8 8 5" xfId="14011" xr:uid="{00000000-0005-0000-0000-0000A05E0000}"/>
    <cellStyle name="Normal 3 3 8 8 5 2" xfId="31515" xr:uid="{00000000-0005-0000-0000-0000A15E0000}"/>
    <cellStyle name="Normal 3 3 8 8 6" xfId="14012" xr:uid="{00000000-0005-0000-0000-0000A25E0000}"/>
    <cellStyle name="Normal 3 3 8 8 6 2" xfId="31516" xr:uid="{00000000-0005-0000-0000-0000A35E0000}"/>
    <cellStyle name="Normal 3 3 8 8 7" xfId="14013" xr:uid="{00000000-0005-0000-0000-0000A45E0000}"/>
    <cellStyle name="Normal 3 3 8 8 7 2" xfId="31517" xr:uid="{00000000-0005-0000-0000-0000A55E0000}"/>
    <cellStyle name="Normal 3 3 8 8 8" xfId="14014" xr:uid="{00000000-0005-0000-0000-0000A65E0000}"/>
    <cellStyle name="Normal 3 3 8 8 8 2" xfId="31518" xr:uid="{00000000-0005-0000-0000-0000A75E0000}"/>
    <cellStyle name="Normal 3 3 8 8 9" xfId="14015" xr:uid="{00000000-0005-0000-0000-0000A85E0000}"/>
    <cellStyle name="Normal 3 3 8 8 9 2" xfId="31519" xr:uid="{00000000-0005-0000-0000-0000A95E0000}"/>
    <cellStyle name="Normal 3 3 8 9" xfId="14016" xr:uid="{00000000-0005-0000-0000-0000AA5E0000}"/>
    <cellStyle name="Normal 3 3 8 9 10" xfId="14017" xr:uid="{00000000-0005-0000-0000-0000AB5E0000}"/>
    <cellStyle name="Normal 3 3 8 9 10 2" xfId="31521" xr:uid="{00000000-0005-0000-0000-0000AC5E0000}"/>
    <cellStyle name="Normal 3 3 8 9 11" xfId="14018" xr:uid="{00000000-0005-0000-0000-0000AD5E0000}"/>
    <cellStyle name="Normal 3 3 8 9 11 2" xfId="31522" xr:uid="{00000000-0005-0000-0000-0000AE5E0000}"/>
    <cellStyle name="Normal 3 3 8 9 12" xfId="14019" xr:uid="{00000000-0005-0000-0000-0000AF5E0000}"/>
    <cellStyle name="Normal 3 3 8 9 12 2" xfId="31523" xr:uid="{00000000-0005-0000-0000-0000B05E0000}"/>
    <cellStyle name="Normal 3 3 8 9 13" xfId="14020" xr:uid="{00000000-0005-0000-0000-0000B15E0000}"/>
    <cellStyle name="Normal 3 3 8 9 13 2" xfId="31524" xr:uid="{00000000-0005-0000-0000-0000B25E0000}"/>
    <cellStyle name="Normal 3 3 8 9 14" xfId="14021" xr:uid="{00000000-0005-0000-0000-0000B35E0000}"/>
    <cellStyle name="Normal 3 3 8 9 14 2" xfId="31525" xr:uid="{00000000-0005-0000-0000-0000B45E0000}"/>
    <cellStyle name="Normal 3 3 8 9 15" xfId="31520" xr:uid="{00000000-0005-0000-0000-0000B55E0000}"/>
    <cellStyle name="Normal 3 3 8 9 2" xfId="14022" xr:uid="{00000000-0005-0000-0000-0000B65E0000}"/>
    <cellStyle name="Normal 3 3 8 9 2 2" xfId="31526" xr:uid="{00000000-0005-0000-0000-0000B75E0000}"/>
    <cellStyle name="Normal 3 3 8 9 3" xfId="14023" xr:uid="{00000000-0005-0000-0000-0000B85E0000}"/>
    <cellStyle name="Normal 3 3 8 9 3 2" xfId="31527" xr:uid="{00000000-0005-0000-0000-0000B95E0000}"/>
    <cellStyle name="Normal 3 3 8 9 4" xfId="14024" xr:uid="{00000000-0005-0000-0000-0000BA5E0000}"/>
    <cellStyle name="Normal 3 3 8 9 4 2" xfId="31528" xr:uid="{00000000-0005-0000-0000-0000BB5E0000}"/>
    <cellStyle name="Normal 3 3 8 9 5" xfId="14025" xr:uid="{00000000-0005-0000-0000-0000BC5E0000}"/>
    <cellStyle name="Normal 3 3 8 9 5 2" xfId="31529" xr:uid="{00000000-0005-0000-0000-0000BD5E0000}"/>
    <cellStyle name="Normal 3 3 8 9 6" xfId="14026" xr:uid="{00000000-0005-0000-0000-0000BE5E0000}"/>
    <cellStyle name="Normal 3 3 8 9 6 2" xfId="31530" xr:uid="{00000000-0005-0000-0000-0000BF5E0000}"/>
    <cellStyle name="Normal 3 3 8 9 7" xfId="14027" xr:uid="{00000000-0005-0000-0000-0000C05E0000}"/>
    <cellStyle name="Normal 3 3 8 9 7 2" xfId="31531" xr:uid="{00000000-0005-0000-0000-0000C15E0000}"/>
    <cellStyle name="Normal 3 3 8 9 8" xfId="14028" xr:uid="{00000000-0005-0000-0000-0000C25E0000}"/>
    <cellStyle name="Normal 3 3 8 9 8 2" xfId="31532" xr:uid="{00000000-0005-0000-0000-0000C35E0000}"/>
    <cellStyle name="Normal 3 3 8 9 9" xfId="14029" xr:uid="{00000000-0005-0000-0000-0000C45E0000}"/>
    <cellStyle name="Normal 3 3 8 9 9 2" xfId="31533" xr:uid="{00000000-0005-0000-0000-0000C55E0000}"/>
    <cellStyle name="Normal 3 3 9" xfId="14030" xr:uid="{00000000-0005-0000-0000-0000C65E0000}"/>
    <cellStyle name="Normal 3 3 9 10" xfId="14031" xr:uid="{00000000-0005-0000-0000-0000C75E0000}"/>
    <cellStyle name="Normal 3 3 9 10 10" xfId="14032" xr:uid="{00000000-0005-0000-0000-0000C85E0000}"/>
    <cellStyle name="Normal 3 3 9 10 10 2" xfId="31536" xr:uid="{00000000-0005-0000-0000-0000C95E0000}"/>
    <cellStyle name="Normal 3 3 9 10 11" xfId="14033" xr:uid="{00000000-0005-0000-0000-0000CA5E0000}"/>
    <cellStyle name="Normal 3 3 9 10 11 2" xfId="31537" xr:uid="{00000000-0005-0000-0000-0000CB5E0000}"/>
    <cellStyle name="Normal 3 3 9 10 12" xfId="14034" xr:uid="{00000000-0005-0000-0000-0000CC5E0000}"/>
    <cellStyle name="Normal 3 3 9 10 12 2" xfId="31538" xr:uid="{00000000-0005-0000-0000-0000CD5E0000}"/>
    <cellStyle name="Normal 3 3 9 10 13" xfId="14035" xr:uid="{00000000-0005-0000-0000-0000CE5E0000}"/>
    <cellStyle name="Normal 3 3 9 10 13 2" xfId="31539" xr:uid="{00000000-0005-0000-0000-0000CF5E0000}"/>
    <cellStyle name="Normal 3 3 9 10 14" xfId="14036" xr:uid="{00000000-0005-0000-0000-0000D05E0000}"/>
    <cellStyle name="Normal 3 3 9 10 14 2" xfId="31540" xr:uid="{00000000-0005-0000-0000-0000D15E0000}"/>
    <cellStyle name="Normal 3 3 9 10 15" xfId="31535" xr:uid="{00000000-0005-0000-0000-0000D25E0000}"/>
    <cellStyle name="Normal 3 3 9 10 2" xfId="14037" xr:uid="{00000000-0005-0000-0000-0000D35E0000}"/>
    <cellStyle name="Normal 3 3 9 10 2 2" xfId="31541" xr:uid="{00000000-0005-0000-0000-0000D45E0000}"/>
    <cellStyle name="Normal 3 3 9 10 3" xfId="14038" xr:uid="{00000000-0005-0000-0000-0000D55E0000}"/>
    <cellStyle name="Normal 3 3 9 10 3 2" xfId="31542" xr:uid="{00000000-0005-0000-0000-0000D65E0000}"/>
    <cellStyle name="Normal 3 3 9 10 4" xfId="14039" xr:uid="{00000000-0005-0000-0000-0000D75E0000}"/>
    <cellStyle name="Normal 3 3 9 10 4 2" xfId="31543" xr:uid="{00000000-0005-0000-0000-0000D85E0000}"/>
    <cellStyle name="Normal 3 3 9 10 5" xfId="14040" xr:uid="{00000000-0005-0000-0000-0000D95E0000}"/>
    <cellStyle name="Normal 3 3 9 10 5 2" xfId="31544" xr:uid="{00000000-0005-0000-0000-0000DA5E0000}"/>
    <cellStyle name="Normal 3 3 9 10 6" xfId="14041" xr:uid="{00000000-0005-0000-0000-0000DB5E0000}"/>
    <cellStyle name="Normal 3 3 9 10 6 2" xfId="31545" xr:uid="{00000000-0005-0000-0000-0000DC5E0000}"/>
    <cellStyle name="Normal 3 3 9 10 7" xfId="14042" xr:uid="{00000000-0005-0000-0000-0000DD5E0000}"/>
    <cellStyle name="Normal 3 3 9 10 7 2" xfId="31546" xr:uid="{00000000-0005-0000-0000-0000DE5E0000}"/>
    <cellStyle name="Normal 3 3 9 10 8" xfId="14043" xr:uid="{00000000-0005-0000-0000-0000DF5E0000}"/>
    <cellStyle name="Normal 3 3 9 10 8 2" xfId="31547" xr:uid="{00000000-0005-0000-0000-0000E05E0000}"/>
    <cellStyle name="Normal 3 3 9 10 9" xfId="14044" xr:uid="{00000000-0005-0000-0000-0000E15E0000}"/>
    <cellStyle name="Normal 3 3 9 10 9 2" xfId="31548" xr:uid="{00000000-0005-0000-0000-0000E25E0000}"/>
    <cellStyle name="Normal 3 3 9 11" xfId="14045" xr:uid="{00000000-0005-0000-0000-0000E35E0000}"/>
    <cellStyle name="Normal 3 3 9 11 2" xfId="31549" xr:uid="{00000000-0005-0000-0000-0000E45E0000}"/>
    <cellStyle name="Normal 3 3 9 12" xfId="14046" xr:uid="{00000000-0005-0000-0000-0000E55E0000}"/>
    <cellStyle name="Normal 3 3 9 12 2" xfId="31550" xr:uid="{00000000-0005-0000-0000-0000E65E0000}"/>
    <cellStyle name="Normal 3 3 9 13" xfId="14047" xr:uid="{00000000-0005-0000-0000-0000E75E0000}"/>
    <cellStyle name="Normal 3 3 9 13 2" xfId="31551" xr:uid="{00000000-0005-0000-0000-0000E85E0000}"/>
    <cellStyle name="Normal 3 3 9 14" xfId="14048" xr:uid="{00000000-0005-0000-0000-0000E95E0000}"/>
    <cellStyle name="Normal 3 3 9 14 2" xfId="31552" xr:uid="{00000000-0005-0000-0000-0000EA5E0000}"/>
    <cellStyle name="Normal 3 3 9 15" xfId="14049" xr:uid="{00000000-0005-0000-0000-0000EB5E0000}"/>
    <cellStyle name="Normal 3 3 9 15 2" xfId="31553" xr:uid="{00000000-0005-0000-0000-0000EC5E0000}"/>
    <cellStyle name="Normal 3 3 9 16" xfId="14050" xr:uid="{00000000-0005-0000-0000-0000ED5E0000}"/>
    <cellStyle name="Normal 3 3 9 16 2" xfId="31554" xr:uid="{00000000-0005-0000-0000-0000EE5E0000}"/>
    <cellStyle name="Normal 3 3 9 17" xfId="14051" xr:uid="{00000000-0005-0000-0000-0000EF5E0000}"/>
    <cellStyle name="Normal 3 3 9 17 2" xfId="31555" xr:uid="{00000000-0005-0000-0000-0000F05E0000}"/>
    <cellStyle name="Normal 3 3 9 18" xfId="14052" xr:uid="{00000000-0005-0000-0000-0000F15E0000}"/>
    <cellStyle name="Normal 3 3 9 18 2" xfId="31556" xr:uid="{00000000-0005-0000-0000-0000F25E0000}"/>
    <cellStyle name="Normal 3 3 9 19" xfId="14053" xr:uid="{00000000-0005-0000-0000-0000F35E0000}"/>
    <cellStyle name="Normal 3 3 9 19 2" xfId="31557" xr:uid="{00000000-0005-0000-0000-0000F45E0000}"/>
    <cellStyle name="Normal 3 3 9 2" xfId="14054" xr:uid="{00000000-0005-0000-0000-0000F55E0000}"/>
    <cellStyle name="Normal 3 3 9 2 10" xfId="14055" xr:uid="{00000000-0005-0000-0000-0000F65E0000}"/>
    <cellStyle name="Normal 3 3 9 2 10 2" xfId="31559" xr:uid="{00000000-0005-0000-0000-0000F75E0000}"/>
    <cellStyle name="Normal 3 3 9 2 11" xfId="14056" xr:uid="{00000000-0005-0000-0000-0000F85E0000}"/>
    <cellStyle name="Normal 3 3 9 2 11 2" xfId="31560" xr:uid="{00000000-0005-0000-0000-0000F95E0000}"/>
    <cellStyle name="Normal 3 3 9 2 12" xfId="14057" xr:uid="{00000000-0005-0000-0000-0000FA5E0000}"/>
    <cellStyle name="Normal 3 3 9 2 12 2" xfId="31561" xr:uid="{00000000-0005-0000-0000-0000FB5E0000}"/>
    <cellStyle name="Normal 3 3 9 2 13" xfId="14058" xr:uid="{00000000-0005-0000-0000-0000FC5E0000}"/>
    <cellStyle name="Normal 3 3 9 2 13 2" xfId="31562" xr:uid="{00000000-0005-0000-0000-0000FD5E0000}"/>
    <cellStyle name="Normal 3 3 9 2 14" xfId="14059" xr:uid="{00000000-0005-0000-0000-0000FE5E0000}"/>
    <cellStyle name="Normal 3 3 9 2 14 2" xfId="31563" xr:uid="{00000000-0005-0000-0000-0000FF5E0000}"/>
    <cellStyle name="Normal 3 3 9 2 15" xfId="14060" xr:uid="{00000000-0005-0000-0000-0000005F0000}"/>
    <cellStyle name="Normal 3 3 9 2 15 2" xfId="31564" xr:uid="{00000000-0005-0000-0000-0000015F0000}"/>
    <cellStyle name="Normal 3 3 9 2 16" xfId="31558" xr:uid="{00000000-0005-0000-0000-0000025F0000}"/>
    <cellStyle name="Normal 3 3 9 2 2" xfId="14061" xr:uid="{00000000-0005-0000-0000-0000035F0000}"/>
    <cellStyle name="Normal 3 3 9 2 2 10" xfId="14062" xr:uid="{00000000-0005-0000-0000-0000045F0000}"/>
    <cellStyle name="Normal 3 3 9 2 2 10 2" xfId="31566" xr:uid="{00000000-0005-0000-0000-0000055F0000}"/>
    <cellStyle name="Normal 3 3 9 2 2 11" xfId="14063" xr:uid="{00000000-0005-0000-0000-0000065F0000}"/>
    <cellStyle name="Normal 3 3 9 2 2 11 2" xfId="31567" xr:uid="{00000000-0005-0000-0000-0000075F0000}"/>
    <cellStyle name="Normal 3 3 9 2 2 12" xfId="14064" xr:uid="{00000000-0005-0000-0000-0000085F0000}"/>
    <cellStyle name="Normal 3 3 9 2 2 12 2" xfId="31568" xr:uid="{00000000-0005-0000-0000-0000095F0000}"/>
    <cellStyle name="Normal 3 3 9 2 2 13" xfId="14065" xr:uid="{00000000-0005-0000-0000-00000A5F0000}"/>
    <cellStyle name="Normal 3 3 9 2 2 13 2" xfId="31569" xr:uid="{00000000-0005-0000-0000-00000B5F0000}"/>
    <cellStyle name="Normal 3 3 9 2 2 14" xfId="14066" xr:uid="{00000000-0005-0000-0000-00000C5F0000}"/>
    <cellStyle name="Normal 3 3 9 2 2 14 2" xfId="31570" xr:uid="{00000000-0005-0000-0000-00000D5F0000}"/>
    <cellStyle name="Normal 3 3 9 2 2 15" xfId="31565" xr:uid="{00000000-0005-0000-0000-00000E5F0000}"/>
    <cellStyle name="Normal 3 3 9 2 2 2" xfId="14067" xr:uid="{00000000-0005-0000-0000-00000F5F0000}"/>
    <cellStyle name="Normal 3 3 9 2 2 2 2" xfId="31571" xr:uid="{00000000-0005-0000-0000-0000105F0000}"/>
    <cellStyle name="Normal 3 3 9 2 2 3" xfId="14068" xr:uid="{00000000-0005-0000-0000-0000115F0000}"/>
    <cellStyle name="Normal 3 3 9 2 2 3 2" xfId="31572" xr:uid="{00000000-0005-0000-0000-0000125F0000}"/>
    <cellStyle name="Normal 3 3 9 2 2 4" xfId="14069" xr:uid="{00000000-0005-0000-0000-0000135F0000}"/>
    <cellStyle name="Normal 3 3 9 2 2 4 2" xfId="31573" xr:uid="{00000000-0005-0000-0000-0000145F0000}"/>
    <cellStyle name="Normal 3 3 9 2 2 5" xfId="14070" xr:uid="{00000000-0005-0000-0000-0000155F0000}"/>
    <cellStyle name="Normal 3 3 9 2 2 5 2" xfId="31574" xr:uid="{00000000-0005-0000-0000-0000165F0000}"/>
    <cellStyle name="Normal 3 3 9 2 2 6" xfId="14071" xr:uid="{00000000-0005-0000-0000-0000175F0000}"/>
    <cellStyle name="Normal 3 3 9 2 2 6 2" xfId="31575" xr:uid="{00000000-0005-0000-0000-0000185F0000}"/>
    <cellStyle name="Normal 3 3 9 2 2 7" xfId="14072" xr:uid="{00000000-0005-0000-0000-0000195F0000}"/>
    <cellStyle name="Normal 3 3 9 2 2 7 2" xfId="31576" xr:uid="{00000000-0005-0000-0000-00001A5F0000}"/>
    <cellStyle name="Normal 3 3 9 2 2 8" xfId="14073" xr:uid="{00000000-0005-0000-0000-00001B5F0000}"/>
    <cellStyle name="Normal 3 3 9 2 2 8 2" xfId="31577" xr:uid="{00000000-0005-0000-0000-00001C5F0000}"/>
    <cellStyle name="Normal 3 3 9 2 2 9" xfId="14074" xr:uid="{00000000-0005-0000-0000-00001D5F0000}"/>
    <cellStyle name="Normal 3 3 9 2 2 9 2" xfId="31578" xr:uid="{00000000-0005-0000-0000-00001E5F0000}"/>
    <cellStyle name="Normal 3 3 9 2 3" xfId="14075" xr:uid="{00000000-0005-0000-0000-00001F5F0000}"/>
    <cellStyle name="Normal 3 3 9 2 3 2" xfId="31579" xr:uid="{00000000-0005-0000-0000-0000205F0000}"/>
    <cellStyle name="Normal 3 3 9 2 4" xfId="14076" xr:uid="{00000000-0005-0000-0000-0000215F0000}"/>
    <cellStyle name="Normal 3 3 9 2 4 2" xfId="31580" xr:uid="{00000000-0005-0000-0000-0000225F0000}"/>
    <cellStyle name="Normal 3 3 9 2 5" xfId="14077" xr:uid="{00000000-0005-0000-0000-0000235F0000}"/>
    <cellStyle name="Normal 3 3 9 2 5 2" xfId="31581" xr:uid="{00000000-0005-0000-0000-0000245F0000}"/>
    <cellStyle name="Normal 3 3 9 2 6" xfId="14078" xr:uid="{00000000-0005-0000-0000-0000255F0000}"/>
    <cellStyle name="Normal 3 3 9 2 6 2" xfId="31582" xr:uid="{00000000-0005-0000-0000-0000265F0000}"/>
    <cellStyle name="Normal 3 3 9 2 7" xfId="14079" xr:uid="{00000000-0005-0000-0000-0000275F0000}"/>
    <cellStyle name="Normal 3 3 9 2 7 2" xfId="31583" xr:uid="{00000000-0005-0000-0000-0000285F0000}"/>
    <cellStyle name="Normal 3 3 9 2 8" xfId="14080" xr:uid="{00000000-0005-0000-0000-0000295F0000}"/>
    <cellStyle name="Normal 3 3 9 2 8 2" xfId="31584" xr:uid="{00000000-0005-0000-0000-00002A5F0000}"/>
    <cellStyle name="Normal 3 3 9 2 9" xfId="14081" xr:uid="{00000000-0005-0000-0000-00002B5F0000}"/>
    <cellStyle name="Normal 3 3 9 2 9 2" xfId="31585" xr:uid="{00000000-0005-0000-0000-00002C5F0000}"/>
    <cellStyle name="Normal 3 3 9 20" xfId="14082" xr:uid="{00000000-0005-0000-0000-00002D5F0000}"/>
    <cellStyle name="Normal 3 3 9 20 2" xfId="31586" xr:uid="{00000000-0005-0000-0000-00002E5F0000}"/>
    <cellStyle name="Normal 3 3 9 21" xfId="14083" xr:uid="{00000000-0005-0000-0000-00002F5F0000}"/>
    <cellStyle name="Normal 3 3 9 21 2" xfId="31587" xr:uid="{00000000-0005-0000-0000-0000305F0000}"/>
    <cellStyle name="Normal 3 3 9 22" xfId="14084" xr:uid="{00000000-0005-0000-0000-0000315F0000}"/>
    <cellStyle name="Normal 3 3 9 22 2" xfId="31588" xr:uid="{00000000-0005-0000-0000-0000325F0000}"/>
    <cellStyle name="Normal 3 3 9 23" xfId="14085" xr:uid="{00000000-0005-0000-0000-0000335F0000}"/>
    <cellStyle name="Normal 3 3 9 23 2" xfId="31589" xr:uid="{00000000-0005-0000-0000-0000345F0000}"/>
    <cellStyle name="Normal 3 3 9 24" xfId="31534" xr:uid="{00000000-0005-0000-0000-0000355F0000}"/>
    <cellStyle name="Normal 3 3 9 3" xfId="14086" xr:uid="{00000000-0005-0000-0000-0000365F0000}"/>
    <cellStyle name="Normal 3 3 9 3 10" xfId="14087" xr:uid="{00000000-0005-0000-0000-0000375F0000}"/>
    <cellStyle name="Normal 3 3 9 3 10 2" xfId="31591" xr:uid="{00000000-0005-0000-0000-0000385F0000}"/>
    <cellStyle name="Normal 3 3 9 3 11" xfId="14088" xr:uid="{00000000-0005-0000-0000-0000395F0000}"/>
    <cellStyle name="Normal 3 3 9 3 11 2" xfId="31592" xr:uid="{00000000-0005-0000-0000-00003A5F0000}"/>
    <cellStyle name="Normal 3 3 9 3 12" xfId="14089" xr:uid="{00000000-0005-0000-0000-00003B5F0000}"/>
    <cellStyle name="Normal 3 3 9 3 12 2" xfId="31593" xr:uid="{00000000-0005-0000-0000-00003C5F0000}"/>
    <cellStyle name="Normal 3 3 9 3 13" xfId="14090" xr:uid="{00000000-0005-0000-0000-00003D5F0000}"/>
    <cellStyle name="Normal 3 3 9 3 13 2" xfId="31594" xr:uid="{00000000-0005-0000-0000-00003E5F0000}"/>
    <cellStyle name="Normal 3 3 9 3 14" xfId="14091" xr:uid="{00000000-0005-0000-0000-00003F5F0000}"/>
    <cellStyle name="Normal 3 3 9 3 14 2" xfId="31595" xr:uid="{00000000-0005-0000-0000-0000405F0000}"/>
    <cellStyle name="Normal 3 3 9 3 15" xfId="14092" xr:uid="{00000000-0005-0000-0000-0000415F0000}"/>
    <cellStyle name="Normal 3 3 9 3 15 2" xfId="31596" xr:uid="{00000000-0005-0000-0000-0000425F0000}"/>
    <cellStyle name="Normal 3 3 9 3 16" xfId="31590" xr:uid="{00000000-0005-0000-0000-0000435F0000}"/>
    <cellStyle name="Normal 3 3 9 3 2" xfId="14093" xr:uid="{00000000-0005-0000-0000-0000445F0000}"/>
    <cellStyle name="Normal 3 3 9 3 2 10" xfId="14094" xr:uid="{00000000-0005-0000-0000-0000455F0000}"/>
    <cellStyle name="Normal 3 3 9 3 2 10 2" xfId="31598" xr:uid="{00000000-0005-0000-0000-0000465F0000}"/>
    <cellStyle name="Normal 3 3 9 3 2 11" xfId="14095" xr:uid="{00000000-0005-0000-0000-0000475F0000}"/>
    <cellStyle name="Normal 3 3 9 3 2 11 2" xfId="31599" xr:uid="{00000000-0005-0000-0000-0000485F0000}"/>
    <cellStyle name="Normal 3 3 9 3 2 12" xfId="14096" xr:uid="{00000000-0005-0000-0000-0000495F0000}"/>
    <cellStyle name="Normal 3 3 9 3 2 12 2" xfId="31600" xr:uid="{00000000-0005-0000-0000-00004A5F0000}"/>
    <cellStyle name="Normal 3 3 9 3 2 13" xfId="14097" xr:uid="{00000000-0005-0000-0000-00004B5F0000}"/>
    <cellStyle name="Normal 3 3 9 3 2 13 2" xfId="31601" xr:uid="{00000000-0005-0000-0000-00004C5F0000}"/>
    <cellStyle name="Normal 3 3 9 3 2 14" xfId="14098" xr:uid="{00000000-0005-0000-0000-00004D5F0000}"/>
    <cellStyle name="Normal 3 3 9 3 2 14 2" xfId="31602" xr:uid="{00000000-0005-0000-0000-00004E5F0000}"/>
    <cellStyle name="Normal 3 3 9 3 2 15" xfId="31597" xr:uid="{00000000-0005-0000-0000-00004F5F0000}"/>
    <cellStyle name="Normal 3 3 9 3 2 2" xfId="14099" xr:uid="{00000000-0005-0000-0000-0000505F0000}"/>
    <cellStyle name="Normal 3 3 9 3 2 2 2" xfId="31603" xr:uid="{00000000-0005-0000-0000-0000515F0000}"/>
    <cellStyle name="Normal 3 3 9 3 2 3" xfId="14100" xr:uid="{00000000-0005-0000-0000-0000525F0000}"/>
    <cellStyle name="Normal 3 3 9 3 2 3 2" xfId="31604" xr:uid="{00000000-0005-0000-0000-0000535F0000}"/>
    <cellStyle name="Normal 3 3 9 3 2 4" xfId="14101" xr:uid="{00000000-0005-0000-0000-0000545F0000}"/>
    <cellStyle name="Normal 3 3 9 3 2 4 2" xfId="31605" xr:uid="{00000000-0005-0000-0000-0000555F0000}"/>
    <cellStyle name="Normal 3 3 9 3 2 5" xfId="14102" xr:uid="{00000000-0005-0000-0000-0000565F0000}"/>
    <cellStyle name="Normal 3 3 9 3 2 5 2" xfId="31606" xr:uid="{00000000-0005-0000-0000-0000575F0000}"/>
    <cellStyle name="Normal 3 3 9 3 2 6" xfId="14103" xr:uid="{00000000-0005-0000-0000-0000585F0000}"/>
    <cellStyle name="Normal 3 3 9 3 2 6 2" xfId="31607" xr:uid="{00000000-0005-0000-0000-0000595F0000}"/>
    <cellStyle name="Normal 3 3 9 3 2 7" xfId="14104" xr:uid="{00000000-0005-0000-0000-00005A5F0000}"/>
    <cellStyle name="Normal 3 3 9 3 2 7 2" xfId="31608" xr:uid="{00000000-0005-0000-0000-00005B5F0000}"/>
    <cellStyle name="Normal 3 3 9 3 2 8" xfId="14105" xr:uid="{00000000-0005-0000-0000-00005C5F0000}"/>
    <cellStyle name="Normal 3 3 9 3 2 8 2" xfId="31609" xr:uid="{00000000-0005-0000-0000-00005D5F0000}"/>
    <cellStyle name="Normal 3 3 9 3 2 9" xfId="14106" xr:uid="{00000000-0005-0000-0000-00005E5F0000}"/>
    <cellStyle name="Normal 3 3 9 3 2 9 2" xfId="31610" xr:uid="{00000000-0005-0000-0000-00005F5F0000}"/>
    <cellStyle name="Normal 3 3 9 3 3" xfId="14107" xr:uid="{00000000-0005-0000-0000-0000605F0000}"/>
    <cellStyle name="Normal 3 3 9 3 3 2" xfId="31611" xr:uid="{00000000-0005-0000-0000-0000615F0000}"/>
    <cellStyle name="Normal 3 3 9 3 4" xfId="14108" xr:uid="{00000000-0005-0000-0000-0000625F0000}"/>
    <cellStyle name="Normal 3 3 9 3 4 2" xfId="31612" xr:uid="{00000000-0005-0000-0000-0000635F0000}"/>
    <cellStyle name="Normal 3 3 9 3 5" xfId="14109" xr:uid="{00000000-0005-0000-0000-0000645F0000}"/>
    <cellStyle name="Normal 3 3 9 3 5 2" xfId="31613" xr:uid="{00000000-0005-0000-0000-0000655F0000}"/>
    <cellStyle name="Normal 3 3 9 3 6" xfId="14110" xr:uid="{00000000-0005-0000-0000-0000665F0000}"/>
    <cellStyle name="Normal 3 3 9 3 6 2" xfId="31614" xr:uid="{00000000-0005-0000-0000-0000675F0000}"/>
    <cellStyle name="Normal 3 3 9 3 7" xfId="14111" xr:uid="{00000000-0005-0000-0000-0000685F0000}"/>
    <cellStyle name="Normal 3 3 9 3 7 2" xfId="31615" xr:uid="{00000000-0005-0000-0000-0000695F0000}"/>
    <cellStyle name="Normal 3 3 9 3 8" xfId="14112" xr:uid="{00000000-0005-0000-0000-00006A5F0000}"/>
    <cellStyle name="Normal 3 3 9 3 8 2" xfId="31616" xr:uid="{00000000-0005-0000-0000-00006B5F0000}"/>
    <cellStyle name="Normal 3 3 9 3 9" xfId="14113" xr:uid="{00000000-0005-0000-0000-00006C5F0000}"/>
    <cellStyle name="Normal 3 3 9 3 9 2" xfId="31617" xr:uid="{00000000-0005-0000-0000-00006D5F0000}"/>
    <cellStyle name="Normal 3 3 9 4" xfId="14114" xr:uid="{00000000-0005-0000-0000-00006E5F0000}"/>
    <cellStyle name="Normal 3 3 9 4 10" xfId="14115" xr:uid="{00000000-0005-0000-0000-00006F5F0000}"/>
    <cellStyle name="Normal 3 3 9 4 10 2" xfId="31619" xr:uid="{00000000-0005-0000-0000-0000705F0000}"/>
    <cellStyle name="Normal 3 3 9 4 11" xfId="14116" xr:uid="{00000000-0005-0000-0000-0000715F0000}"/>
    <cellStyle name="Normal 3 3 9 4 11 2" xfId="31620" xr:uid="{00000000-0005-0000-0000-0000725F0000}"/>
    <cellStyle name="Normal 3 3 9 4 12" xfId="14117" xr:uid="{00000000-0005-0000-0000-0000735F0000}"/>
    <cellStyle name="Normal 3 3 9 4 12 2" xfId="31621" xr:uid="{00000000-0005-0000-0000-0000745F0000}"/>
    <cellStyle name="Normal 3 3 9 4 13" xfId="14118" xr:uid="{00000000-0005-0000-0000-0000755F0000}"/>
    <cellStyle name="Normal 3 3 9 4 13 2" xfId="31622" xr:uid="{00000000-0005-0000-0000-0000765F0000}"/>
    <cellStyle name="Normal 3 3 9 4 14" xfId="14119" xr:uid="{00000000-0005-0000-0000-0000775F0000}"/>
    <cellStyle name="Normal 3 3 9 4 14 2" xfId="31623" xr:uid="{00000000-0005-0000-0000-0000785F0000}"/>
    <cellStyle name="Normal 3 3 9 4 15" xfId="14120" xr:uid="{00000000-0005-0000-0000-0000795F0000}"/>
    <cellStyle name="Normal 3 3 9 4 15 2" xfId="31624" xr:uid="{00000000-0005-0000-0000-00007A5F0000}"/>
    <cellStyle name="Normal 3 3 9 4 16" xfId="31618" xr:uid="{00000000-0005-0000-0000-00007B5F0000}"/>
    <cellStyle name="Normal 3 3 9 4 2" xfId="14121" xr:uid="{00000000-0005-0000-0000-00007C5F0000}"/>
    <cellStyle name="Normal 3 3 9 4 2 10" xfId="14122" xr:uid="{00000000-0005-0000-0000-00007D5F0000}"/>
    <cellStyle name="Normal 3 3 9 4 2 10 2" xfId="31626" xr:uid="{00000000-0005-0000-0000-00007E5F0000}"/>
    <cellStyle name="Normal 3 3 9 4 2 11" xfId="14123" xr:uid="{00000000-0005-0000-0000-00007F5F0000}"/>
    <cellStyle name="Normal 3 3 9 4 2 11 2" xfId="31627" xr:uid="{00000000-0005-0000-0000-0000805F0000}"/>
    <cellStyle name="Normal 3 3 9 4 2 12" xfId="14124" xr:uid="{00000000-0005-0000-0000-0000815F0000}"/>
    <cellStyle name="Normal 3 3 9 4 2 12 2" xfId="31628" xr:uid="{00000000-0005-0000-0000-0000825F0000}"/>
    <cellStyle name="Normal 3 3 9 4 2 13" xfId="14125" xr:uid="{00000000-0005-0000-0000-0000835F0000}"/>
    <cellStyle name="Normal 3 3 9 4 2 13 2" xfId="31629" xr:uid="{00000000-0005-0000-0000-0000845F0000}"/>
    <cellStyle name="Normal 3 3 9 4 2 14" xfId="14126" xr:uid="{00000000-0005-0000-0000-0000855F0000}"/>
    <cellStyle name="Normal 3 3 9 4 2 14 2" xfId="31630" xr:uid="{00000000-0005-0000-0000-0000865F0000}"/>
    <cellStyle name="Normal 3 3 9 4 2 15" xfId="31625" xr:uid="{00000000-0005-0000-0000-0000875F0000}"/>
    <cellStyle name="Normal 3 3 9 4 2 2" xfId="14127" xr:uid="{00000000-0005-0000-0000-0000885F0000}"/>
    <cellStyle name="Normal 3 3 9 4 2 2 2" xfId="31631" xr:uid="{00000000-0005-0000-0000-0000895F0000}"/>
    <cellStyle name="Normal 3 3 9 4 2 3" xfId="14128" xr:uid="{00000000-0005-0000-0000-00008A5F0000}"/>
    <cellStyle name="Normal 3 3 9 4 2 3 2" xfId="31632" xr:uid="{00000000-0005-0000-0000-00008B5F0000}"/>
    <cellStyle name="Normal 3 3 9 4 2 4" xfId="14129" xr:uid="{00000000-0005-0000-0000-00008C5F0000}"/>
    <cellStyle name="Normal 3 3 9 4 2 4 2" xfId="31633" xr:uid="{00000000-0005-0000-0000-00008D5F0000}"/>
    <cellStyle name="Normal 3 3 9 4 2 5" xfId="14130" xr:uid="{00000000-0005-0000-0000-00008E5F0000}"/>
    <cellStyle name="Normal 3 3 9 4 2 5 2" xfId="31634" xr:uid="{00000000-0005-0000-0000-00008F5F0000}"/>
    <cellStyle name="Normal 3 3 9 4 2 6" xfId="14131" xr:uid="{00000000-0005-0000-0000-0000905F0000}"/>
    <cellStyle name="Normal 3 3 9 4 2 6 2" xfId="31635" xr:uid="{00000000-0005-0000-0000-0000915F0000}"/>
    <cellStyle name="Normal 3 3 9 4 2 7" xfId="14132" xr:uid="{00000000-0005-0000-0000-0000925F0000}"/>
    <cellStyle name="Normal 3 3 9 4 2 7 2" xfId="31636" xr:uid="{00000000-0005-0000-0000-0000935F0000}"/>
    <cellStyle name="Normal 3 3 9 4 2 8" xfId="14133" xr:uid="{00000000-0005-0000-0000-0000945F0000}"/>
    <cellStyle name="Normal 3 3 9 4 2 8 2" xfId="31637" xr:uid="{00000000-0005-0000-0000-0000955F0000}"/>
    <cellStyle name="Normal 3 3 9 4 2 9" xfId="14134" xr:uid="{00000000-0005-0000-0000-0000965F0000}"/>
    <cellStyle name="Normal 3 3 9 4 2 9 2" xfId="31638" xr:uid="{00000000-0005-0000-0000-0000975F0000}"/>
    <cellStyle name="Normal 3 3 9 4 3" xfId="14135" xr:uid="{00000000-0005-0000-0000-0000985F0000}"/>
    <cellStyle name="Normal 3 3 9 4 3 2" xfId="31639" xr:uid="{00000000-0005-0000-0000-0000995F0000}"/>
    <cellStyle name="Normal 3 3 9 4 4" xfId="14136" xr:uid="{00000000-0005-0000-0000-00009A5F0000}"/>
    <cellStyle name="Normal 3 3 9 4 4 2" xfId="31640" xr:uid="{00000000-0005-0000-0000-00009B5F0000}"/>
    <cellStyle name="Normal 3 3 9 4 5" xfId="14137" xr:uid="{00000000-0005-0000-0000-00009C5F0000}"/>
    <cellStyle name="Normal 3 3 9 4 5 2" xfId="31641" xr:uid="{00000000-0005-0000-0000-00009D5F0000}"/>
    <cellStyle name="Normal 3 3 9 4 6" xfId="14138" xr:uid="{00000000-0005-0000-0000-00009E5F0000}"/>
    <cellStyle name="Normal 3 3 9 4 6 2" xfId="31642" xr:uid="{00000000-0005-0000-0000-00009F5F0000}"/>
    <cellStyle name="Normal 3 3 9 4 7" xfId="14139" xr:uid="{00000000-0005-0000-0000-0000A05F0000}"/>
    <cellStyle name="Normal 3 3 9 4 7 2" xfId="31643" xr:uid="{00000000-0005-0000-0000-0000A15F0000}"/>
    <cellStyle name="Normal 3 3 9 4 8" xfId="14140" xr:uid="{00000000-0005-0000-0000-0000A25F0000}"/>
    <cellStyle name="Normal 3 3 9 4 8 2" xfId="31644" xr:uid="{00000000-0005-0000-0000-0000A35F0000}"/>
    <cellStyle name="Normal 3 3 9 4 9" xfId="14141" xr:uid="{00000000-0005-0000-0000-0000A45F0000}"/>
    <cellStyle name="Normal 3 3 9 4 9 2" xfId="31645" xr:uid="{00000000-0005-0000-0000-0000A55F0000}"/>
    <cellStyle name="Normal 3 3 9 5" xfId="14142" xr:uid="{00000000-0005-0000-0000-0000A65F0000}"/>
    <cellStyle name="Normal 3 3 9 5 10" xfId="14143" xr:uid="{00000000-0005-0000-0000-0000A75F0000}"/>
    <cellStyle name="Normal 3 3 9 5 10 2" xfId="31647" xr:uid="{00000000-0005-0000-0000-0000A85F0000}"/>
    <cellStyle name="Normal 3 3 9 5 11" xfId="14144" xr:uid="{00000000-0005-0000-0000-0000A95F0000}"/>
    <cellStyle name="Normal 3 3 9 5 11 2" xfId="31648" xr:uid="{00000000-0005-0000-0000-0000AA5F0000}"/>
    <cellStyle name="Normal 3 3 9 5 12" xfId="14145" xr:uid="{00000000-0005-0000-0000-0000AB5F0000}"/>
    <cellStyle name="Normal 3 3 9 5 12 2" xfId="31649" xr:uid="{00000000-0005-0000-0000-0000AC5F0000}"/>
    <cellStyle name="Normal 3 3 9 5 13" xfId="14146" xr:uid="{00000000-0005-0000-0000-0000AD5F0000}"/>
    <cellStyle name="Normal 3 3 9 5 13 2" xfId="31650" xr:uid="{00000000-0005-0000-0000-0000AE5F0000}"/>
    <cellStyle name="Normal 3 3 9 5 14" xfId="14147" xr:uid="{00000000-0005-0000-0000-0000AF5F0000}"/>
    <cellStyle name="Normal 3 3 9 5 14 2" xfId="31651" xr:uid="{00000000-0005-0000-0000-0000B05F0000}"/>
    <cellStyle name="Normal 3 3 9 5 15" xfId="31646" xr:uid="{00000000-0005-0000-0000-0000B15F0000}"/>
    <cellStyle name="Normal 3 3 9 5 2" xfId="14148" xr:uid="{00000000-0005-0000-0000-0000B25F0000}"/>
    <cellStyle name="Normal 3 3 9 5 2 2" xfId="31652" xr:uid="{00000000-0005-0000-0000-0000B35F0000}"/>
    <cellStyle name="Normal 3 3 9 5 3" xfId="14149" xr:uid="{00000000-0005-0000-0000-0000B45F0000}"/>
    <cellStyle name="Normal 3 3 9 5 3 2" xfId="31653" xr:uid="{00000000-0005-0000-0000-0000B55F0000}"/>
    <cellStyle name="Normal 3 3 9 5 4" xfId="14150" xr:uid="{00000000-0005-0000-0000-0000B65F0000}"/>
    <cellStyle name="Normal 3 3 9 5 4 2" xfId="31654" xr:uid="{00000000-0005-0000-0000-0000B75F0000}"/>
    <cellStyle name="Normal 3 3 9 5 5" xfId="14151" xr:uid="{00000000-0005-0000-0000-0000B85F0000}"/>
    <cellStyle name="Normal 3 3 9 5 5 2" xfId="31655" xr:uid="{00000000-0005-0000-0000-0000B95F0000}"/>
    <cellStyle name="Normal 3 3 9 5 6" xfId="14152" xr:uid="{00000000-0005-0000-0000-0000BA5F0000}"/>
    <cellStyle name="Normal 3 3 9 5 6 2" xfId="31656" xr:uid="{00000000-0005-0000-0000-0000BB5F0000}"/>
    <cellStyle name="Normal 3 3 9 5 7" xfId="14153" xr:uid="{00000000-0005-0000-0000-0000BC5F0000}"/>
    <cellStyle name="Normal 3 3 9 5 7 2" xfId="31657" xr:uid="{00000000-0005-0000-0000-0000BD5F0000}"/>
    <cellStyle name="Normal 3 3 9 5 8" xfId="14154" xr:uid="{00000000-0005-0000-0000-0000BE5F0000}"/>
    <cellStyle name="Normal 3 3 9 5 8 2" xfId="31658" xr:uid="{00000000-0005-0000-0000-0000BF5F0000}"/>
    <cellStyle name="Normal 3 3 9 5 9" xfId="14155" xr:uid="{00000000-0005-0000-0000-0000C05F0000}"/>
    <cellStyle name="Normal 3 3 9 5 9 2" xfId="31659" xr:uid="{00000000-0005-0000-0000-0000C15F0000}"/>
    <cellStyle name="Normal 3 3 9 6" xfId="14156" xr:uid="{00000000-0005-0000-0000-0000C25F0000}"/>
    <cellStyle name="Normal 3 3 9 6 10" xfId="14157" xr:uid="{00000000-0005-0000-0000-0000C35F0000}"/>
    <cellStyle name="Normal 3 3 9 6 10 2" xfId="31661" xr:uid="{00000000-0005-0000-0000-0000C45F0000}"/>
    <cellStyle name="Normal 3 3 9 6 11" xfId="14158" xr:uid="{00000000-0005-0000-0000-0000C55F0000}"/>
    <cellStyle name="Normal 3 3 9 6 11 2" xfId="31662" xr:uid="{00000000-0005-0000-0000-0000C65F0000}"/>
    <cellStyle name="Normal 3 3 9 6 12" xfId="14159" xr:uid="{00000000-0005-0000-0000-0000C75F0000}"/>
    <cellStyle name="Normal 3 3 9 6 12 2" xfId="31663" xr:uid="{00000000-0005-0000-0000-0000C85F0000}"/>
    <cellStyle name="Normal 3 3 9 6 13" xfId="14160" xr:uid="{00000000-0005-0000-0000-0000C95F0000}"/>
    <cellStyle name="Normal 3 3 9 6 13 2" xfId="31664" xr:uid="{00000000-0005-0000-0000-0000CA5F0000}"/>
    <cellStyle name="Normal 3 3 9 6 14" xfId="14161" xr:uid="{00000000-0005-0000-0000-0000CB5F0000}"/>
    <cellStyle name="Normal 3 3 9 6 14 2" xfId="31665" xr:uid="{00000000-0005-0000-0000-0000CC5F0000}"/>
    <cellStyle name="Normal 3 3 9 6 15" xfId="31660" xr:uid="{00000000-0005-0000-0000-0000CD5F0000}"/>
    <cellStyle name="Normal 3 3 9 6 2" xfId="14162" xr:uid="{00000000-0005-0000-0000-0000CE5F0000}"/>
    <cellStyle name="Normal 3 3 9 6 2 2" xfId="31666" xr:uid="{00000000-0005-0000-0000-0000CF5F0000}"/>
    <cellStyle name="Normal 3 3 9 6 3" xfId="14163" xr:uid="{00000000-0005-0000-0000-0000D05F0000}"/>
    <cellStyle name="Normal 3 3 9 6 3 2" xfId="31667" xr:uid="{00000000-0005-0000-0000-0000D15F0000}"/>
    <cellStyle name="Normal 3 3 9 6 4" xfId="14164" xr:uid="{00000000-0005-0000-0000-0000D25F0000}"/>
    <cellStyle name="Normal 3 3 9 6 4 2" xfId="31668" xr:uid="{00000000-0005-0000-0000-0000D35F0000}"/>
    <cellStyle name="Normal 3 3 9 6 5" xfId="14165" xr:uid="{00000000-0005-0000-0000-0000D45F0000}"/>
    <cellStyle name="Normal 3 3 9 6 5 2" xfId="31669" xr:uid="{00000000-0005-0000-0000-0000D55F0000}"/>
    <cellStyle name="Normal 3 3 9 6 6" xfId="14166" xr:uid="{00000000-0005-0000-0000-0000D65F0000}"/>
    <cellStyle name="Normal 3 3 9 6 6 2" xfId="31670" xr:uid="{00000000-0005-0000-0000-0000D75F0000}"/>
    <cellStyle name="Normal 3 3 9 6 7" xfId="14167" xr:uid="{00000000-0005-0000-0000-0000D85F0000}"/>
    <cellStyle name="Normal 3 3 9 6 7 2" xfId="31671" xr:uid="{00000000-0005-0000-0000-0000D95F0000}"/>
    <cellStyle name="Normal 3 3 9 6 8" xfId="14168" xr:uid="{00000000-0005-0000-0000-0000DA5F0000}"/>
    <cellStyle name="Normal 3 3 9 6 8 2" xfId="31672" xr:uid="{00000000-0005-0000-0000-0000DB5F0000}"/>
    <cellStyle name="Normal 3 3 9 6 9" xfId="14169" xr:uid="{00000000-0005-0000-0000-0000DC5F0000}"/>
    <cellStyle name="Normal 3 3 9 6 9 2" xfId="31673" xr:uid="{00000000-0005-0000-0000-0000DD5F0000}"/>
    <cellStyle name="Normal 3 3 9 7" xfId="14170" xr:uid="{00000000-0005-0000-0000-0000DE5F0000}"/>
    <cellStyle name="Normal 3 3 9 7 10" xfId="14171" xr:uid="{00000000-0005-0000-0000-0000DF5F0000}"/>
    <cellStyle name="Normal 3 3 9 7 10 2" xfId="31675" xr:uid="{00000000-0005-0000-0000-0000E05F0000}"/>
    <cellStyle name="Normal 3 3 9 7 11" xfId="14172" xr:uid="{00000000-0005-0000-0000-0000E15F0000}"/>
    <cellStyle name="Normal 3 3 9 7 11 2" xfId="31676" xr:uid="{00000000-0005-0000-0000-0000E25F0000}"/>
    <cellStyle name="Normal 3 3 9 7 12" xfId="14173" xr:uid="{00000000-0005-0000-0000-0000E35F0000}"/>
    <cellStyle name="Normal 3 3 9 7 12 2" xfId="31677" xr:uid="{00000000-0005-0000-0000-0000E45F0000}"/>
    <cellStyle name="Normal 3 3 9 7 13" xfId="14174" xr:uid="{00000000-0005-0000-0000-0000E55F0000}"/>
    <cellStyle name="Normal 3 3 9 7 13 2" xfId="31678" xr:uid="{00000000-0005-0000-0000-0000E65F0000}"/>
    <cellStyle name="Normal 3 3 9 7 14" xfId="14175" xr:uid="{00000000-0005-0000-0000-0000E75F0000}"/>
    <cellStyle name="Normal 3 3 9 7 14 2" xfId="31679" xr:uid="{00000000-0005-0000-0000-0000E85F0000}"/>
    <cellStyle name="Normal 3 3 9 7 15" xfId="31674" xr:uid="{00000000-0005-0000-0000-0000E95F0000}"/>
    <cellStyle name="Normal 3 3 9 7 2" xfId="14176" xr:uid="{00000000-0005-0000-0000-0000EA5F0000}"/>
    <cellStyle name="Normal 3 3 9 7 2 2" xfId="31680" xr:uid="{00000000-0005-0000-0000-0000EB5F0000}"/>
    <cellStyle name="Normal 3 3 9 7 3" xfId="14177" xr:uid="{00000000-0005-0000-0000-0000EC5F0000}"/>
    <cellStyle name="Normal 3 3 9 7 3 2" xfId="31681" xr:uid="{00000000-0005-0000-0000-0000ED5F0000}"/>
    <cellStyle name="Normal 3 3 9 7 4" xfId="14178" xr:uid="{00000000-0005-0000-0000-0000EE5F0000}"/>
    <cellStyle name="Normal 3 3 9 7 4 2" xfId="31682" xr:uid="{00000000-0005-0000-0000-0000EF5F0000}"/>
    <cellStyle name="Normal 3 3 9 7 5" xfId="14179" xr:uid="{00000000-0005-0000-0000-0000F05F0000}"/>
    <cellStyle name="Normal 3 3 9 7 5 2" xfId="31683" xr:uid="{00000000-0005-0000-0000-0000F15F0000}"/>
    <cellStyle name="Normal 3 3 9 7 6" xfId="14180" xr:uid="{00000000-0005-0000-0000-0000F25F0000}"/>
    <cellStyle name="Normal 3 3 9 7 6 2" xfId="31684" xr:uid="{00000000-0005-0000-0000-0000F35F0000}"/>
    <cellStyle name="Normal 3 3 9 7 7" xfId="14181" xr:uid="{00000000-0005-0000-0000-0000F45F0000}"/>
    <cellStyle name="Normal 3 3 9 7 7 2" xfId="31685" xr:uid="{00000000-0005-0000-0000-0000F55F0000}"/>
    <cellStyle name="Normal 3 3 9 7 8" xfId="14182" xr:uid="{00000000-0005-0000-0000-0000F65F0000}"/>
    <cellStyle name="Normal 3 3 9 7 8 2" xfId="31686" xr:uid="{00000000-0005-0000-0000-0000F75F0000}"/>
    <cellStyle name="Normal 3 3 9 7 9" xfId="14183" xr:uid="{00000000-0005-0000-0000-0000F85F0000}"/>
    <cellStyle name="Normal 3 3 9 7 9 2" xfId="31687" xr:uid="{00000000-0005-0000-0000-0000F95F0000}"/>
    <cellStyle name="Normal 3 3 9 8" xfId="14184" xr:uid="{00000000-0005-0000-0000-0000FA5F0000}"/>
    <cellStyle name="Normal 3 3 9 8 10" xfId="14185" xr:uid="{00000000-0005-0000-0000-0000FB5F0000}"/>
    <cellStyle name="Normal 3 3 9 8 10 2" xfId="31689" xr:uid="{00000000-0005-0000-0000-0000FC5F0000}"/>
    <cellStyle name="Normal 3 3 9 8 11" xfId="14186" xr:uid="{00000000-0005-0000-0000-0000FD5F0000}"/>
    <cellStyle name="Normal 3 3 9 8 11 2" xfId="31690" xr:uid="{00000000-0005-0000-0000-0000FE5F0000}"/>
    <cellStyle name="Normal 3 3 9 8 12" xfId="14187" xr:uid="{00000000-0005-0000-0000-0000FF5F0000}"/>
    <cellStyle name="Normal 3 3 9 8 12 2" xfId="31691" xr:uid="{00000000-0005-0000-0000-000000600000}"/>
    <cellStyle name="Normal 3 3 9 8 13" xfId="14188" xr:uid="{00000000-0005-0000-0000-000001600000}"/>
    <cellStyle name="Normal 3 3 9 8 13 2" xfId="31692" xr:uid="{00000000-0005-0000-0000-000002600000}"/>
    <cellStyle name="Normal 3 3 9 8 14" xfId="14189" xr:uid="{00000000-0005-0000-0000-000003600000}"/>
    <cellStyle name="Normal 3 3 9 8 14 2" xfId="31693" xr:uid="{00000000-0005-0000-0000-000004600000}"/>
    <cellStyle name="Normal 3 3 9 8 15" xfId="31688" xr:uid="{00000000-0005-0000-0000-000005600000}"/>
    <cellStyle name="Normal 3 3 9 8 2" xfId="14190" xr:uid="{00000000-0005-0000-0000-000006600000}"/>
    <cellStyle name="Normal 3 3 9 8 2 2" xfId="31694" xr:uid="{00000000-0005-0000-0000-000007600000}"/>
    <cellStyle name="Normal 3 3 9 8 3" xfId="14191" xr:uid="{00000000-0005-0000-0000-000008600000}"/>
    <cellStyle name="Normal 3 3 9 8 3 2" xfId="31695" xr:uid="{00000000-0005-0000-0000-000009600000}"/>
    <cellStyle name="Normal 3 3 9 8 4" xfId="14192" xr:uid="{00000000-0005-0000-0000-00000A600000}"/>
    <cellStyle name="Normal 3 3 9 8 4 2" xfId="31696" xr:uid="{00000000-0005-0000-0000-00000B600000}"/>
    <cellStyle name="Normal 3 3 9 8 5" xfId="14193" xr:uid="{00000000-0005-0000-0000-00000C600000}"/>
    <cellStyle name="Normal 3 3 9 8 5 2" xfId="31697" xr:uid="{00000000-0005-0000-0000-00000D600000}"/>
    <cellStyle name="Normal 3 3 9 8 6" xfId="14194" xr:uid="{00000000-0005-0000-0000-00000E600000}"/>
    <cellStyle name="Normal 3 3 9 8 6 2" xfId="31698" xr:uid="{00000000-0005-0000-0000-00000F600000}"/>
    <cellStyle name="Normal 3 3 9 8 7" xfId="14195" xr:uid="{00000000-0005-0000-0000-000010600000}"/>
    <cellStyle name="Normal 3 3 9 8 7 2" xfId="31699" xr:uid="{00000000-0005-0000-0000-000011600000}"/>
    <cellStyle name="Normal 3 3 9 8 8" xfId="14196" xr:uid="{00000000-0005-0000-0000-000012600000}"/>
    <cellStyle name="Normal 3 3 9 8 8 2" xfId="31700" xr:uid="{00000000-0005-0000-0000-000013600000}"/>
    <cellStyle name="Normal 3 3 9 8 9" xfId="14197" xr:uid="{00000000-0005-0000-0000-000014600000}"/>
    <cellStyle name="Normal 3 3 9 8 9 2" xfId="31701" xr:uid="{00000000-0005-0000-0000-000015600000}"/>
    <cellStyle name="Normal 3 3 9 9" xfId="14198" xr:uid="{00000000-0005-0000-0000-000016600000}"/>
    <cellStyle name="Normal 3 3 9 9 10" xfId="14199" xr:uid="{00000000-0005-0000-0000-000017600000}"/>
    <cellStyle name="Normal 3 3 9 9 10 2" xfId="31703" xr:uid="{00000000-0005-0000-0000-000018600000}"/>
    <cellStyle name="Normal 3 3 9 9 11" xfId="14200" xr:uid="{00000000-0005-0000-0000-000019600000}"/>
    <cellStyle name="Normal 3 3 9 9 11 2" xfId="31704" xr:uid="{00000000-0005-0000-0000-00001A600000}"/>
    <cellStyle name="Normal 3 3 9 9 12" xfId="14201" xr:uid="{00000000-0005-0000-0000-00001B600000}"/>
    <cellStyle name="Normal 3 3 9 9 12 2" xfId="31705" xr:uid="{00000000-0005-0000-0000-00001C600000}"/>
    <cellStyle name="Normal 3 3 9 9 13" xfId="14202" xr:uid="{00000000-0005-0000-0000-00001D600000}"/>
    <cellStyle name="Normal 3 3 9 9 13 2" xfId="31706" xr:uid="{00000000-0005-0000-0000-00001E600000}"/>
    <cellStyle name="Normal 3 3 9 9 14" xfId="14203" xr:uid="{00000000-0005-0000-0000-00001F600000}"/>
    <cellStyle name="Normal 3 3 9 9 14 2" xfId="31707" xr:uid="{00000000-0005-0000-0000-000020600000}"/>
    <cellStyle name="Normal 3 3 9 9 15" xfId="31702" xr:uid="{00000000-0005-0000-0000-000021600000}"/>
    <cellStyle name="Normal 3 3 9 9 2" xfId="14204" xr:uid="{00000000-0005-0000-0000-000022600000}"/>
    <cellStyle name="Normal 3 3 9 9 2 2" xfId="31708" xr:uid="{00000000-0005-0000-0000-000023600000}"/>
    <cellStyle name="Normal 3 3 9 9 3" xfId="14205" xr:uid="{00000000-0005-0000-0000-000024600000}"/>
    <cellStyle name="Normal 3 3 9 9 3 2" xfId="31709" xr:uid="{00000000-0005-0000-0000-000025600000}"/>
    <cellStyle name="Normal 3 3 9 9 4" xfId="14206" xr:uid="{00000000-0005-0000-0000-000026600000}"/>
    <cellStyle name="Normal 3 3 9 9 4 2" xfId="31710" xr:uid="{00000000-0005-0000-0000-000027600000}"/>
    <cellStyle name="Normal 3 3 9 9 5" xfId="14207" xr:uid="{00000000-0005-0000-0000-000028600000}"/>
    <cellStyle name="Normal 3 3 9 9 5 2" xfId="31711" xr:uid="{00000000-0005-0000-0000-000029600000}"/>
    <cellStyle name="Normal 3 3 9 9 6" xfId="14208" xr:uid="{00000000-0005-0000-0000-00002A600000}"/>
    <cellStyle name="Normal 3 3 9 9 6 2" xfId="31712" xr:uid="{00000000-0005-0000-0000-00002B600000}"/>
    <cellStyle name="Normal 3 3 9 9 7" xfId="14209" xr:uid="{00000000-0005-0000-0000-00002C600000}"/>
    <cellStyle name="Normal 3 3 9 9 7 2" xfId="31713" xr:uid="{00000000-0005-0000-0000-00002D600000}"/>
    <cellStyle name="Normal 3 3 9 9 8" xfId="14210" xr:uid="{00000000-0005-0000-0000-00002E600000}"/>
    <cellStyle name="Normal 3 3 9 9 8 2" xfId="31714" xr:uid="{00000000-0005-0000-0000-00002F600000}"/>
    <cellStyle name="Normal 3 3 9 9 9" xfId="14211" xr:uid="{00000000-0005-0000-0000-000030600000}"/>
    <cellStyle name="Normal 3 3 9 9 9 2" xfId="31715" xr:uid="{00000000-0005-0000-0000-000031600000}"/>
    <cellStyle name="Normal 3 30" xfId="14212" xr:uid="{00000000-0005-0000-0000-000032600000}"/>
    <cellStyle name="Normal 3 31" xfId="14213" xr:uid="{00000000-0005-0000-0000-000033600000}"/>
    <cellStyle name="Normal 3 32" xfId="14214" xr:uid="{00000000-0005-0000-0000-000034600000}"/>
    <cellStyle name="Normal 3 33" xfId="14215" xr:uid="{00000000-0005-0000-0000-000035600000}"/>
    <cellStyle name="Normal 3 34" xfId="14216" xr:uid="{00000000-0005-0000-0000-000036600000}"/>
    <cellStyle name="Normal 3 35" xfId="14217" xr:uid="{00000000-0005-0000-0000-000037600000}"/>
    <cellStyle name="Normal 3 36" xfId="14218" xr:uid="{00000000-0005-0000-0000-000038600000}"/>
    <cellStyle name="Normal 3 36 10" xfId="14219" xr:uid="{00000000-0005-0000-0000-000039600000}"/>
    <cellStyle name="Normal 3 36 10 10" xfId="14220" xr:uid="{00000000-0005-0000-0000-00003A600000}"/>
    <cellStyle name="Normal 3 36 10 10 2" xfId="31718" xr:uid="{00000000-0005-0000-0000-00003B600000}"/>
    <cellStyle name="Normal 3 36 10 11" xfId="14221" xr:uid="{00000000-0005-0000-0000-00003C600000}"/>
    <cellStyle name="Normal 3 36 10 11 2" xfId="31719" xr:uid="{00000000-0005-0000-0000-00003D600000}"/>
    <cellStyle name="Normal 3 36 10 12" xfId="14222" xr:uid="{00000000-0005-0000-0000-00003E600000}"/>
    <cellStyle name="Normal 3 36 10 12 2" xfId="31720" xr:uid="{00000000-0005-0000-0000-00003F600000}"/>
    <cellStyle name="Normal 3 36 10 13" xfId="14223" xr:uid="{00000000-0005-0000-0000-000040600000}"/>
    <cellStyle name="Normal 3 36 10 13 2" xfId="31721" xr:uid="{00000000-0005-0000-0000-000041600000}"/>
    <cellStyle name="Normal 3 36 10 14" xfId="14224" xr:uid="{00000000-0005-0000-0000-000042600000}"/>
    <cellStyle name="Normal 3 36 10 14 2" xfId="31722" xr:uid="{00000000-0005-0000-0000-000043600000}"/>
    <cellStyle name="Normal 3 36 10 15" xfId="31717" xr:uid="{00000000-0005-0000-0000-000044600000}"/>
    <cellStyle name="Normal 3 36 10 2" xfId="14225" xr:uid="{00000000-0005-0000-0000-000045600000}"/>
    <cellStyle name="Normal 3 36 10 2 2" xfId="31723" xr:uid="{00000000-0005-0000-0000-000046600000}"/>
    <cellStyle name="Normal 3 36 10 3" xfId="14226" xr:uid="{00000000-0005-0000-0000-000047600000}"/>
    <cellStyle name="Normal 3 36 10 3 2" xfId="31724" xr:uid="{00000000-0005-0000-0000-000048600000}"/>
    <cellStyle name="Normal 3 36 10 4" xfId="14227" xr:uid="{00000000-0005-0000-0000-000049600000}"/>
    <cellStyle name="Normal 3 36 10 4 2" xfId="31725" xr:uid="{00000000-0005-0000-0000-00004A600000}"/>
    <cellStyle name="Normal 3 36 10 5" xfId="14228" xr:uid="{00000000-0005-0000-0000-00004B600000}"/>
    <cellStyle name="Normal 3 36 10 5 2" xfId="31726" xr:uid="{00000000-0005-0000-0000-00004C600000}"/>
    <cellStyle name="Normal 3 36 10 6" xfId="14229" xr:uid="{00000000-0005-0000-0000-00004D600000}"/>
    <cellStyle name="Normal 3 36 10 6 2" xfId="31727" xr:uid="{00000000-0005-0000-0000-00004E600000}"/>
    <cellStyle name="Normal 3 36 10 7" xfId="14230" xr:uid="{00000000-0005-0000-0000-00004F600000}"/>
    <cellStyle name="Normal 3 36 10 7 2" xfId="31728" xr:uid="{00000000-0005-0000-0000-000050600000}"/>
    <cellStyle name="Normal 3 36 10 8" xfId="14231" xr:uid="{00000000-0005-0000-0000-000051600000}"/>
    <cellStyle name="Normal 3 36 10 8 2" xfId="31729" xr:uid="{00000000-0005-0000-0000-000052600000}"/>
    <cellStyle name="Normal 3 36 10 9" xfId="14232" xr:uid="{00000000-0005-0000-0000-000053600000}"/>
    <cellStyle name="Normal 3 36 10 9 2" xfId="31730" xr:uid="{00000000-0005-0000-0000-000054600000}"/>
    <cellStyle name="Normal 3 36 11" xfId="14233" xr:uid="{00000000-0005-0000-0000-000055600000}"/>
    <cellStyle name="Normal 3 36 11 2" xfId="31731" xr:uid="{00000000-0005-0000-0000-000056600000}"/>
    <cellStyle name="Normal 3 36 12" xfId="14234" xr:uid="{00000000-0005-0000-0000-000057600000}"/>
    <cellStyle name="Normal 3 36 12 2" xfId="31732" xr:uid="{00000000-0005-0000-0000-000058600000}"/>
    <cellStyle name="Normal 3 36 13" xfId="14235" xr:uid="{00000000-0005-0000-0000-000059600000}"/>
    <cellStyle name="Normal 3 36 13 2" xfId="31733" xr:uid="{00000000-0005-0000-0000-00005A600000}"/>
    <cellStyle name="Normal 3 36 14" xfId="14236" xr:uid="{00000000-0005-0000-0000-00005B600000}"/>
    <cellStyle name="Normal 3 36 14 2" xfId="31734" xr:uid="{00000000-0005-0000-0000-00005C600000}"/>
    <cellStyle name="Normal 3 36 15" xfId="14237" xr:uid="{00000000-0005-0000-0000-00005D600000}"/>
    <cellStyle name="Normal 3 36 15 2" xfId="31735" xr:uid="{00000000-0005-0000-0000-00005E600000}"/>
    <cellStyle name="Normal 3 36 16" xfId="14238" xr:uid="{00000000-0005-0000-0000-00005F600000}"/>
    <cellStyle name="Normal 3 36 16 2" xfId="31736" xr:uid="{00000000-0005-0000-0000-000060600000}"/>
    <cellStyle name="Normal 3 36 17" xfId="14239" xr:uid="{00000000-0005-0000-0000-000061600000}"/>
    <cellStyle name="Normal 3 36 17 2" xfId="31737" xr:uid="{00000000-0005-0000-0000-000062600000}"/>
    <cellStyle name="Normal 3 36 18" xfId="14240" xr:uid="{00000000-0005-0000-0000-000063600000}"/>
    <cellStyle name="Normal 3 36 18 2" xfId="31738" xr:uid="{00000000-0005-0000-0000-000064600000}"/>
    <cellStyle name="Normal 3 36 19" xfId="14241" xr:uid="{00000000-0005-0000-0000-000065600000}"/>
    <cellStyle name="Normal 3 36 19 2" xfId="31739" xr:uid="{00000000-0005-0000-0000-000066600000}"/>
    <cellStyle name="Normal 3 36 2" xfId="14242" xr:uid="{00000000-0005-0000-0000-000067600000}"/>
    <cellStyle name="Normal 3 36 2 10" xfId="14243" xr:uid="{00000000-0005-0000-0000-000068600000}"/>
    <cellStyle name="Normal 3 36 2 10 2" xfId="31741" xr:uid="{00000000-0005-0000-0000-000069600000}"/>
    <cellStyle name="Normal 3 36 2 11" xfId="14244" xr:uid="{00000000-0005-0000-0000-00006A600000}"/>
    <cellStyle name="Normal 3 36 2 11 2" xfId="31742" xr:uid="{00000000-0005-0000-0000-00006B600000}"/>
    <cellStyle name="Normal 3 36 2 12" xfId="14245" xr:uid="{00000000-0005-0000-0000-00006C600000}"/>
    <cellStyle name="Normal 3 36 2 12 2" xfId="31743" xr:uid="{00000000-0005-0000-0000-00006D600000}"/>
    <cellStyle name="Normal 3 36 2 13" xfId="14246" xr:uid="{00000000-0005-0000-0000-00006E600000}"/>
    <cellStyle name="Normal 3 36 2 13 2" xfId="31744" xr:uid="{00000000-0005-0000-0000-00006F600000}"/>
    <cellStyle name="Normal 3 36 2 14" xfId="14247" xr:uid="{00000000-0005-0000-0000-000070600000}"/>
    <cellStyle name="Normal 3 36 2 14 2" xfId="31745" xr:uid="{00000000-0005-0000-0000-000071600000}"/>
    <cellStyle name="Normal 3 36 2 15" xfId="14248" xr:uid="{00000000-0005-0000-0000-000072600000}"/>
    <cellStyle name="Normal 3 36 2 15 2" xfId="31746" xr:uid="{00000000-0005-0000-0000-000073600000}"/>
    <cellStyle name="Normal 3 36 2 16" xfId="31740" xr:uid="{00000000-0005-0000-0000-000074600000}"/>
    <cellStyle name="Normal 3 36 2 2" xfId="14249" xr:uid="{00000000-0005-0000-0000-000075600000}"/>
    <cellStyle name="Normal 3 36 2 2 10" xfId="14250" xr:uid="{00000000-0005-0000-0000-000076600000}"/>
    <cellStyle name="Normal 3 36 2 2 10 2" xfId="31748" xr:uid="{00000000-0005-0000-0000-000077600000}"/>
    <cellStyle name="Normal 3 36 2 2 11" xfId="14251" xr:uid="{00000000-0005-0000-0000-000078600000}"/>
    <cellStyle name="Normal 3 36 2 2 11 2" xfId="31749" xr:uid="{00000000-0005-0000-0000-000079600000}"/>
    <cellStyle name="Normal 3 36 2 2 12" xfId="14252" xr:uid="{00000000-0005-0000-0000-00007A600000}"/>
    <cellStyle name="Normal 3 36 2 2 12 2" xfId="31750" xr:uid="{00000000-0005-0000-0000-00007B600000}"/>
    <cellStyle name="Normal 3 36 2 2 13" xfId="14253" xr:uid="{00000000-0005-0000-0000-00007C600000}"/>
    <cellStyle name="Normal 3 36 2 2 13 2" xfId="31751" xr:uid="{00000000-0005-0000-0000-00007D600000}"/>
    <cellStyle name="Normal 3 36 2 2 14" xfId="14254" xr:uid="{00000000-0005-0000-0000-00007E600000}"/>
    <cellStyle name="Normal 3 36 2 2 14 2" xfId="31752" xr:uid="{00000000-0005-0000-0000-00007F600000}"/>
    <cellStyle name="Normal 3 36 2 2 15" xfId="31747" xr:uid="{00000000-0005-0000-0000-000080600000}"/>
    <cellStyle name="Normal 3 36 2 2 2" xfId="14255" xr:uid="{00000000-0005-0000-0000-000081600000}"/>
    <cellStyle name="Normal 3 36 2 2 2 2" xfId="31753" xr:uid="{00000000-0005-0000-0000-000082600000}"/>
    <cellStyle name="Normal 3 36 2 2 3" xfId="14256" xr:uid="{00000000-0005-0000-0000-000083600000}"/>
    <cellStyle name="Normal 3 36 2 2 3 2" xfId="31754" xr:uid="{00000000-0005-0000-0000-000084600000}"/>
    <cellStyle name="Normal 3 36 2 2 4" xfId="14257" xr:uid="{00000000-0005-0000-0000-000085600000}"/>
    <cellStyle name="Normal 3 36 2 2 4 2" xfId="31755" xr:uid="{00000000-0005-0000-0000-000086600000}"/>
    <cellStyle name="Normal 3 36 2 2 5" xfId="14258" xr:uid="{00000000-0005-0000-0000-000087600000}"/>
    <cellStyle name="Normal 3 36 2 2 5 2" xfId="31756" xr:uid="{00000000-0005-0000-0000-000088600000}"/>
    <cellStyle name="Normal 3 36 2 2 6" xfId="14259" xr:uid="{00000000-0005-0000-0000-000089600000}"/>
    <cellStyle name="Normal 3 36 2 2 6 2" xfId="31757" xr:uid="{00000000-0005-0000-0000-00008A600000}"/>
    <cellStyle name="Normal 3 36 2 2 7" xfId="14260" xr:uid="{00000000-0005-0000-0000-00008B600000}"/>
    <cellStyle name="Normal 3 36 2 2 7 2" xfId="31758" xr:uid="{00000000-0005-0000-0000-00008C600000}"/>
    <cellStyle name="Normal 3 36 2 2 8" xfId="14261" xr:uid="{00000000-0005-0000-0000-00008D600000}"/>
    <cellStyle name="Normal 3 36 2 2 8 2" xfId="31759" xr:uid="{00000000-0005-0000-0000-00008E600000}"/>
    <cellStyle name="Normal 3 36 2 2 9" xfId="14262" xr:uid="{00000000-0005-0000-0000-00008F600000}"/>
    <cellStyle name="Normal 3 36 2 2 9 2" xfId="31760" xr:uid="{00000000-0005-0000-0000-000090600000}"/>
    <cellStyle name="Normal 3 36 2 3" xfId="14263" xr:uid="{00000000-0005-0000-0000-000091600000}"/>
    <cellStyle name="Normal 3 36 2 3 2" xfId="31761" xr:uid="{00000000-0005-0000-0000-000092600000}"/>
    <cellStyle name="Normal 3 36 2 4" xfId="14264" xr:uid="{00000000-0005-0000-0000-000093600000}"/>
    <cellStyle name="Normal 3 36 2 4 2" xfId="31762" xr:uid="{00000000-0005-0000-0000-000094600000}"/>
    <cellStyle name="Normal 3 36 2 5" xfId="14265" xr:uid="{00000000-0005-0000-0000-000095600000}"/>
    <cellStyle name="Normal 3 36 2 5 2" xfId="31763" xr:uid="{00000000-0005-0000-0000-000096600000}"/>
    <cellStyle name="Normal 3 36 2 6" xfId="14266" xr:uid="{00000000-0005-0000-0000-000097600000}"/>
    <cellStyle name="Normal 3 36 2 6 2" xfId="31764" xr:uid="{00000000-0005-0000-0000-000098600000}"/>
    <cellStyle name="Normal 3 36 2 7" xfId="14267" xr:uid="{00000000-0005-0000-0000-000099600000}"/>
    <cellStyle name="Normal 3 36 2 7 2" xfId="31765" xr:uid="{00000000-0005-0000-0000-00009A600000}"/>
    <cellStyle name="Normal 3 36 2 8" xfId="14268" xr:uid="{00000000-0005-0000-0000-00009B600000}"/>
    <cellStyle name="Normal 3 36 2 8 2" xfId="31766" xr:uid="{00000000-0005-0000-0000-00009C600000}"/>
    <cellStyle name="Normal 3 36 2 9" xfId="14269" xr:uid="{00000000-0005-0000-0000-00009D600000}"/>
    <cellStyle name="Normal 3 36 2 9 2" xfId="31767" xr:uid="{00000000-0005-0000-0000-00009E600000}"/>
    <cellStyle name="Normal 3 36 20" xfId="14270" xr:uid="{00000000-0005-0000-0000-00009F600000}"/>
    <cellStyle name="Normal 3 36 20 2" xfId="31768" xr:uid="{00000000-0005-0000-0000-0000A0600000}"/>
    <cellStyle name="Normal 3 36 21" xfId="14271" xr:uid="{00000000-0005-0000-0000-0000A1600000}"/>
    <cellStyle name="Normal 3 36 21 2" xfId="31769" xr:uid="{00000000-0005-0000-0000-0000A2600000}"/>
    <cellStyle name="Normal 3 36 22" xfId="14272" xr:uid="{00000000-0005-0000-0000-0000A3600000}"/>
    <cellStyle name="Normal 3 36 22 2" xfId="31770" xr:uid="{00000000-0005-0000-0000-0000A4600000}"/>
    <cellStyle name="Normal 3 36 23" xfId="14273" xr:uid="{00000000-0005-0000-0000-0000A5600000}"/>
    <cellStyle name="Normal 3 36 23 2" xfId="31771" xr:uid="{00000000-0005-0000-0000-0000A6600000}"/>
    <cellStyle name="Normal 3 36 24" xfId="31716" xr:uid="{00000000-0005-0000-0000-0000A7600000}"/>
    <cellStyle name="Normal 3 36 3" xfId="14274" xr:uid="{00000000-0005-0000-0000-0000A8600000}"/>
    <cellStyle name="Normal 3 36 3 10" xfId="14275" xr:uid="{00000000-0005-0000-0000-0000A9600000}"/>
    <cellStyle name="Normal 3 36 3 10 2" xfId="31773" xr:uid="{00000000-0005-0000-0000-0000AA600000}"/>
    <cellStyle name="Normal 3 36 3 11" xfId="14276" xr:uid="{00000000-0005-0000-0000-0000AB600000}"/>
    <cellStyle name="Normal 3 36 3 11 2" xfId="31774" xr:uid="{00000000-0005-0000-0000-0000AC600000}"/>
    <cellStyle name="Normal 3 36 3 12" xfId="14277" xr:uid="{00000000-0005-0000-0000-0000AD600000}"/>
    <cellStyle name="Normal 3 36 3 12 2" xfId="31775" xr:uid="{00000000-0005-0000-0000-0000AE600000}"/>
    <cellStyle name="Normal 3 36 3 13" xfId="14278" xr:uid="{00000000-0005-0000-0000-0000AF600000}"/>
    <cellStyle name="Normal 3 36 3 13 2" xfId="31776" xr:uid="{00000000-0005-0000-0000-0000B0600000}"/>
    <cellStyle name="Normal 3 36 3 14" xfId="14279" xr:uid="{00000000-0005-0000-0000-0000B1600000}"/>
    <cellStyle name="Normal 3 36 3 14 2" xfId="31777" xr:uid="{00000000-0005-0000-0000-0000B2600000}"/>
    <cellStyle name="Normal 3 36 3 15" xfId="14280" xr:uid="{00000000-0005-0000-0000-0000B3600000}"/>
    <cellStyle name="Normal 3 36 3 15 2" xfId="31778" xr:uid="{00000000-0005-0000-0000-0000B4600000}"/>
    <cellStyle name="Normal 3 36 3 16" xfId="31772" xr:uid="{00000000-0005-0000-0000-0000B5600000}"/>
    <cellStyle name="Normal 3 36 3 2" xfId="14281" xr:uid="{00000000-0005-0000-0000-0000B6600000}"/>
    <cellStyle name="Normal 3 36 3 2 10" xfId="14282" xr:uid="{00000000-0005-0000-0000-0000B7600000}"/>
    <cellStyle name="Normal 3 36 3 2 10 2" xfId="31780" xr:uid="{00000000-0005-0000-0000-0000B8600000}"/>
    <cellStyle name="Normal 3 36 3 2 11" xfId="14283" xr:uid="{00000000-0005-0000-0000-0000B9600000}"/>
    <cellStyle name="Normal 3 36 3 2 11 2" xfId="31781" xr:uid="{00000000-0005-0000-0000-0000BA600000}"/>
    <cellStyle name="Normal 3 36 3 2 12" xfId="14284" xr:uid="{00000000-0005-0000-0000-0000BB600000}"/>
    <cellStyle name="Normal 3 36 3 2 12 2" xfId="31782" xr:uid="{00000000-0005-0000-0000-0000BC600000}"/>
    <cellStyle name="Normal 3 36 3 2 13" xfId="14285" xr:uid="{00000000-0005-0000-0000-0000BD600000}"/>
    <cellStyle name="Normal 3 36 3 2 13 2" xfId="31783" xr:uid="{00000000-0005-0000-0000-0000BE600000}"/>
    <cellStyle name="Normal 3 36 3 2 14" xfId="14286" xr:uid="{00000000-0005-0000-0000-0000BF600000}"/>
    <cellStyle name="Normal 3 36 3 2 14 2" xfId="31784" xr:uid="{00000000-0005-0000-0000-0000C0600000}"/>
    <cellStyle name="Normal 3 36 3 2 15" xfId="31779" xr:uid="{00000000-0005-0000-0000-0000C1600000}"/>
    <cellStyle name="Normal 3 36 3 2 2" xfId="14287" xr:uid="{00000000-0005-0000-0000-0000C2600000}"/>
    <cellStyle name="Normal 3 36 3 2 2 2" xfId="31785" xr:uid="{00000000-0005-0000-0000-0000C3600000}"/>
    <cellStyle name="Normal 3 36 3 2 3" xfId="14288" xr:uid="{00000000-0005-0000-0000-0000C4600000}"/>
    <cellStyle name="Normal 3 36 3 2 3 2" xfId="31786" xr:uid="{00000000-0005-0000-0000-0000C5600000}"/>
    <cellStyle name="Normal 3 36 3 2 4" xfId="14289" xr:uid="{00000000-0005-0000-0000-0000C6600000}"/>
    <cellStyle name="Normal 3 36 3 2 4 2" xfId="31787" xr:uid="{00000000-0005-0000-0000-0000C7600000}"/>
    <cellStyle name="Normal 3 36 3 2 5" xfId="14290" xr:uid="{00000000-0005-0000-0000-0000C8600000}"/>
    <cellStyle name="Normal 3 36 3 2 5 2" xfId="31788" xr:uid="{00000000-0005-0000-0000-0000C9600000}"/>
    <cellStyle name="Normal 3 36 3 2 6" xfId="14291" xr:uid="{00000000-0005-0000-0000-0000CA600000}"/>
    <cellStyle name="Normal 3 36 3 2 6 2" xfId="31789" xr:uid="{00000000-0005-0000-0000-0000CB600000}"/>
    <cellStyle name="Normal 3 36 3 2 7" xfId="14292" xr:uid="{00000000-0005-0000-0000-0000CC600000}"/>
    <cellStyle name="Normal 3 36 3 2 7 2" xfId="31790" xr:uid="{00000000-0005-0000-0000-0000CD600000}"/>
    <cellStyle name="Normal 3 36 3 2 8" xfId="14293" xr:uid="{00000000-0005-0000-0000-0000CE600000}"/>
    <cellStyle name="Normal 3 36 3 2 8 2" xfId="31791" xr:uid="{00000000-0005-0000-0000-0000CF600000}"/>
    <cellStyle name="Normal 3 36 3 2 9" xfId="14294" xr:uid="{00000000-0005-0000-0000-0000D0600000}"/>
    <cellStyle name="Normal 3 36 3 2 9 2" xfId="31792" xr:uid="{00000000-0005-0000-0000-0000D1600000}"/>
    <cellStyle name="Normal 3 36 3 3" xfId="14295" xr:uid="{00000000-0005-0000-0000-0000D2600000}"/>
    <cellStyle name="Normal 3 36 3 3 2" xfId="31793" xr:uid="{00000000-0005-0000-0000-0000D3600000}"/>
    <cellStyle name="Normal 3 36 3 4" xfId="14296" xr:uid="{00000000-0005-0000-0000-0000D4600000}"/>
    <cellStyle name="Normal 3 36 3 4 2" xfId="31794" xr:uid="{00000000-0005-0000-0000-0000D5600000}"/>
    <cellStyle name="Normal 3 36 3 5" xfId="14297" xr:uid="{00000000-0005-0000-0000-0000D6600000}"/>
    <cellStyle name="Normal 3 36 3 5 2" xfId="31795" xr:uid="{00000000-0005-0000-0000-0000D7600000}"/>
    <cellStyle name="Normal 3 36 3 6" xfId="14298" xr:uid="{00000000-0005-0000-0000-0000D8600000}"/>
    <cellStyle name="Normal 3 36 3 6 2" xfId="31796" xr:uid="{00000000-0005-0000-0000-0000D9600000}"/>
    <cellStyle name="Normal 3 36 3 7" xfId="14299" xr:uid="{00000000-0005-0000-0000-0000DA600000}"/>
    <cellStyle name="Normal 3 36 3 7 2" xfId="31797" xr:uid="{00000000-0005-0000-0000-0000DB600000}"/>
    <cellStyle name="Normal 3 36 3 8" xfId="14300" xr:uid="{00000000-0005-0000-0000-0000DC600000}"/>
    <cellStyle name="Normal 3 36 3 8 2" xfId="31798" xr:uid="{00000000-0005-0000-0000-0000DD600000}"/>
    <cellStyle name="Normal 3 36 3 9" xfId="14301" xr:uid="{00000000-0005-0000-0000-0000DE600000}"/>
    <cellStyle name="Normal 3 36 3 9 2" xfId="31799" xr:uid="{00000000-0005-0000-0000-0000DF600000}"/>
    <cellStyle name="Normal 3 36 4" xfId="14302" xr:uid="{00000000-0005-0000-0000-0000E0600000}"/>
    <cellStyle name="Normal 3 36 4 10" xfId="14303" xr:uid="{00000000-0005-0000-0000-0000E1600000}"/>
    <cellStyle name="Normal 3 36 4 10 2" xfId="31801" xr:uid="{00000000-0005-0000-0000-0000E2600000}"/>
    <cellStyle name="Normal 3 36 4 11" xfId="14304" xr:uid="{00000000-0005-0000-0000-0000E3600000}"/>
    <cellStyle name="Normal 3 36 4 11 2" xfId="31802" xr:uid="{00000000-0005-0000-0000-0000E4600000}"/>
    <cellStyle name="Normal 3 36 4 12" xfId="14305" xr:uid="{00000000-0005-0000-0000-0000E5600000}"/>
    <cellStyle name="Normal 3 36 4 12 2" xfId="31803" xr:uid="{00000000-0005-0000-0000-0000E6600000}"/>
    <cellStyle name="Normal 3 36 4 13" xfId="14306" xr:uid="{00000000-0005-0000-0000-0000E7600000}"/>
    <cellStyle name="Normal 3 36 4 13 2" xfId="31804" xr:uid="{00000000-0005-0000-0000-0000E8600000}"/>
    <cellStyle name="Normal 3 36 4 14" xfId="14307" xr:uid="{00000000-0005-0000-0000-0000E9600000}"/>
    <cellStyle name="Normal 3 36 4 14 2" xfId="31805" xr:uid="{00000000-0005-0000-0000-0000EA600000}"/>
    <cellStyle name="Normal 3 36 4 15" xfId="14308" xr:uid="{00000000-0005-0000-0000-0000EB600000}"/>
    <cellStyle name="Normal 3 36 4 15 2" xfId="31806" xr:uid="{00000000-0005-0000-0000-0000EC600000}"/>
    <cellStyle name="Normal 3 36 4 16" xfId="31800" xr:uid="{00000000-0005-0000-0000-0000ED600000}"/>
    <cellStyle name="Normal 3 36 4 2" xfId="14309" xr:uid="{00000000-0005-0000-0000-0000EE600000}"/>
    <cellStyle name="Normal 3 36 4 2 10" xfId="14310" xr:uid="{00000000-0005-0000-0000-0000EF600000}"/>
    <cellStyle name="Normal 3 36 4 2 10 2" xfId="31808" xr:uid="{00000000-0005-0000-0000-0000F0600000}"/>
    <cellStyle name="Normal 3 36 4 2 11" xfId="14311" xr:uid="{00000000-0005-0000-0000-0000F1600000}"/>
    <cellStyle name="Normal 3 36 4 2 11 2" xfId="31809" xr:uid="{00000000-0005-0000-0000-0000F2600000}"/>
    <cellStyle name="Normal 3 36 4 2 12" xfId="14312" xr:uid="{00000000-0005-0000-0000-0000F3600000}"/>
    <cellStyle name="Normal 3 36 4 2 12 2" xfId="31810" xr:uid="{00000000-0005-0000-0000-0000F4600000}"/>
    <cellStyle name="Normal 3 36 4 2 13" xfId="14313" xr:uid="{00000000-0005-0000-0000-0000F5600000}"/>
    <cellStyle name="Normal 3 36 4 2 13 2" xfId="31811" xr:uid="{00000000-0005-0000-0000-0000F6600000}"/>
    <cellStyle name="Normal 3 36 4 2 14" xfId="14314" xr:uid="{00000000-0005-0000-0000-0000F7600000}"/>
    <cellStyle name="Normal 3 36 4 2 14 2" xfId="31812" xr:uid="{00000000-0005-0000-0000-0000F8600000}"/>
    <cellStyle name="Normal 3 36 4 2 15" xfId="31807" xr:uid="{00000000-0005-0000-0000-0000F9600000}"/>
    <cellStyle name="Normal 3 36 4 2 2" xfId="14315" xr:uid="{00000000-0005-0000-0000-0000FA600000}"/>
    <cellStyle name="Normal 3 36 4 2 2 2" xfId="31813" xr:uid="{00000000-0005-0000-0000-0000FB600000}"/>
    <cellStyle name="Normal 3 36 4 2 3" xfId="14316" xr:uid="{00000000-0005-0000-0000-0000FC600000}"/>
    <cellStyle name="Normal 3 36 4 2 3 2" xfId="31814" xr:uid="{00000000-0005-0000-0000-0000FD600000}"/>
    <cellStyle name="Normal 3 36 4 2 4" xfId="14317" xr:uid="{00000000-0005-0000-0000-0000FE600000}"/>
    <cellStyle name="Normal 3 36 4 2 4 2" xfId="31815" xr:uid="{00000000-0005-0000-0000-0000FF600000}"/>
    <cellStyle name="Normal 3 36 4 2 5" xfId="14318" xr:uid="{00000000-0005-0000-0000-000000610000}"/>
    <cellStyle name="Normal 3 36 4 2 5 2" xfId="31816" xr:uid="{00000000-0005-0000-0000-000001610000}"/>
    <cellStyle name="Normal 3 36 4 2 6" xfId="14319" xr:uid="{00000000-0005-0000-0000-000002610000}"/>
    <cellStyle name="Normal 3 36 4 2 6 2" xfId="31817" xr:uid="{00000000-0005-0000-0000-000003610000}"/>
    <cellStyle name="Normal 3 36 4 2 7" xfId="14320" xr:uid="{00000000-0005-0000-0000-000004610000}"/>
    <cellStyle name="Normal 3 36 4 2 7 2" xfId="31818" xr:uid="{00000000-0005-0000-0000-000005610000}"/>
    <cellStyle name="Normal 3 36 4 2 8" xfId="14321" xr:uid="{00000000-0005-0000-0000-000006610000}"/>
    <cellStyle name="Normal 3 36 4 2 8 2" xfId="31819" xr:uid="{00000000-0005-0000-0000-000007610000}"/>
    <cellStyle name="Normal 3 36 4 2 9" xfId="14322" xr:uid="{00000000-0005-0000-0000-000008610000}"/>
    <cellStyle name="Normal 3 36 4 2 9 2" xfId="31820" xr:uid="{00000000-0005-0000-0000-000009610000}"/>
    <cellStyle name="Normal 3 36 4 3" xfId="14323" xr:uid="{00000000-0005-0000-0000-00000A610000}"/>
    <cellStyle name="Normal 3 36 4 3 2" xfId="31821" xr:uid="{00000000-0005-0000-0000-00000B610000}"/>
    <cellStyle name="Normal 3 36 4 4" xfId="14324" xr:uid="{00000000-0005-0000-0000-00000C610000}"/>
    <cellStyle name="Normal 3 36 4 4 2" xfId="31822" xr:uid="{00000000-0005-0000-0000-00000D610000}"/>
    <cellStyle name="Normal 3 36 4 5" xfId="14325" xr:uid="{00000000-0005-0000-0000-00000E610000}"/>
    <cellStyle name="Normal 3 36 4 5 2" xfId="31823" xr:uid="{00000000-0005-0000-0000-00000F610000}"/>
    <cellStyle name="Normal 3 36 4 6" xfId="14326" xr:uid="{00000000-0005-0000-0000-000010610000}"/>
    <cellStyle name="Normal 3 36 4 6 2" xfId="31824" xr:uid="{00000000-0005-0000-0000-000011610000}"/>
    <cellStyle name="Normal 3 36 4 7" xfId="14327" xr:uid="{00000000-0005-0000-0000-000012610000}"/>
    <cellStyle name="Normal 3 36 4 7 2" xfId="31825" xr:uid="{00000000-0005-0000-0000-000013610000}"/>
    <cellStyle name="Normal 3 36 4 8" xfId="14328" xr:uid="{00000000-0005-0000-0000-000014610000}"/>
    <cellStyle name="Normal 3 36 4 8 2" xfId="31826" xr:uid="{00000000-0005-0000-0000-000015610000}"/>
    <cellStyle name="Normal 3 36 4 9" xfId="14329" xr:uid="{00000000-0005-0000-0000-000016610000}"/>
    <cellStyle name="Normal 3 36 4 9 2" xfId="31827" xr:uid="{00000000-0005-0000-0000-000017610000}"/>
    <cellStyle name="Normal 3 36 5" xfId="14330" xr:uid="{00000000-0005-0000-0000-000018610000}"/>
    <cellStyle name="Normal 3 36 5 10" xfId="14331" xr:uid="{00000000-0005-0000-0000-000019610000}"/>
    <cellStyle name="Normal 3 36 5 10 2" xfId="31829" xr:uid="{00000000-0005-0000-0000-00001A610000}"/>
    <cellStyle name="Normal 3 36 5 11" xfId="14332" xr:uid="{00000000-0005-0000-0000-00001B610000}"/>
    <cellStyle name="Normal 3 36 5 11 2" xfId="31830" xr:uid="{00000000-0005-0000-0000-00001C610000}"/>
    <cellStyle name="Normal 3 36 5 12" xfId="14333" xr:uid="{00000000-0005-0000-0000-00001D610000}"/>
    <cellStyle name="Normal 3 36 5 12 2" xfId="31831" xr:uid="{00000000-0005-0000-0000-00001E610000}"/>
    <cellStyle name="Normal 3 36 5 13" xfId="14334" xr:uid="{00000000-0005-0000-0000-00001F610000}"/>
    <cellStyle name="Normal 3 36 5 13 2" xfId="31832" xr:uid="{00000000-0005-0000-0000-000020610000}"/>
    <cellStyle name="Normal 3 36 5 14" xfId="14335" xr:uid="{00000000-0005-0000-0000-000021610000}"/>
    <cellStyle name="Normal 3 36 5 14 2" xfId="31833" xr:uid="{00000000-0005-0000-0000-000022610000}"/>
    <cellStyle name="Normal 3 36 5 15" xfId="31828" xr:uid="{00000000-0005-0000-0000-000023610000}"/>
    <cellStyle name="Normal 3 36 5 2" xfId="14336" xr:uid="{00000000-0005-0000-0000-000024610000}"/>
    <cellStyle name="Normal 3 36 5 2 2" xfId="31834" xr:uid="{00000000-0005-0000-0000-000025610000}"/>
    <cellStyle name="Normal 3 36 5 3" xfId="14337" xr:uid="{00000000-0005-0000-0000-000026610000}"/>
    <cellStyle name="Normal 3 36 5 3 2" xfId="31835" xr:uid="{00000000-0005-0000-0000-000027610000}"/>
    <cellStyle name="Normal 3 36 5 4" xfId="14338" xr:uid="{00000000-0005-0000-0000-000028610000}"/>
    <cellStyle name="Normal 3 36 5 4 2" xfId="31836" xr:uid="{00000000-0005-0000-0000-000029610000}"/>
    <cellStyle name="Normal 3 36 5 5" xfId="14339" xr:uid="{00000000-0005-0000-0000-00002A610000}"/>
    <cellStyle name="Normal 3 36 5 5 2" xfId="31837" xr:uid="{00000000-0005-0000-0000-00002B610000}"/>
    <cellStyle name="Normal 3 36 5 6" xfId="14340" xr:uid="{00000000-0005-0000-0000-00002C610000}"/>
    <cellStyle name="Normal 3 36 5 6 2" xfId="31838" xr:uid="{00000000-0005-0000-0000-00002D610000}"/>
    <cellStyle name="Normal 3 36 5 7" xfId="14341" xr:uid="{00000000-0005-0000-0000-00002E610000}"/>
    <cellStyle name="Normal 3 36 5 7 2" xfId="31839" xr:uid="{00000000-0005-0000-0000-00002F610000}"/>
    <cellStyle name="Normal 3 36 5 8" xfId="14342" xr:uid="{00000000-0005-0000-0000-000030610000}"/>
    <cellStyle name="Normal 3 36 5 8 2" xfId="31840" xr:uid="{00000000-0005-0000-0000-000031610000}"/>
    <cellStyle name="Normal 3 36 5 9" xfId="14343" xr:uid="{00000000-0005-0000-0000-000032610000}"/>
    <cellStyle name="Normal 3 36 5 9 2" xfId="31841" xr:uid="{00000000-0005-0000-0000-000033610000}"/>
    <cellStyle name="Normal 3 36 6" xfId="14344" xr:uid="{00000000-0005-0000-0000-000034610000}"/>
    <cellStyle name="Normal 3 36 6 10" xfId="14345" xr:uid="{00000000-0005-0000-0000-000035610000}"/>
    <cellStyle name="Normal 3 36 6 10 2" xfId="31843" xr:uid="{00000000-0005-0000-0000-000036610000}"/>
    <cellStyle name="Normal 3 36 6 11" xfId="14346" xr:uid="{00000000-0005-0000-0000-000037610000}"/>
    <cellStyle name="Normal 3 36 6 11 2" xfId="31844" xr:uid="{00000000-0005-0000-0000-000038610000}"/>
    <cellStyle name="Normal 3 36 6 12" xfId="14347" xr:uid="{00000000-0005-0000-0000-000039610000}"/>
    <cellStyle name="Normal 3 36 6 12 2" xfId="31845" xr:uid="{00000000-0005-0000-0000-00003A610000}"/>
    <cellStyle name="Normal 3 36 6 13" xfId="14348" xr:uid="{00000000-0005-0000-0000-00003B610000}"/>
    <cellStyle name="Normal 3 36 6 13 2" xfId="31846" xr:uid="{00000000-0005-0000-0000-00003C610000}"/>
    <cellStyle name="Normal 3 36 6 14" xfId="14349" xr:uid="{00000000-0005-0000-0000-00003D610000}"/>
    <cellStyle name="Normal 3 36 6 14 2" xfId="31847" xr:uid="{00000000-0005-0000-0000-00003E610000}"/>
    <cellStyle name="Normal 3 36 6 15" xfId="31842" xr:uid="{00000000-0005-0000-0000-00003F610000}"/>
    <cellStyle name="Normal 3 36 6 2" xfId="14350" xr:uid="{00000000-0005-0000-0000-000040610000}"/>
    <cellStyle name="Normal 3 36 6 2 2" xfId="31848" xr:uid="{00000000-0005-0000-0000-000041610000}"/>
    <cellStyle name="Normal 3 36 6 3" xfId="14351" xr:uid="{00000000-0005-0000-0000-000042610000}"/>
    <cellStyle name="Normal 3 36 6 3 2" xfId="31849" xr:uid="{00000000-0005-0000-0000-000043610000}"/>
    <cellStyle name="Normal 3 36 6 4" xfId="14352" xr:uid="{00000000-0005-0000-0000-000044610000}"/>
    <cellStyle name="Normal 3 36 6 4 2" xfId="31850" xr:uid="{00000000-0005-0000-0000-000045610000}"/>
    <cellStyle name="Normal 3 36 6 5" xfId="14353" xr:uid="{00000000-0005-0000-0000-000046610000}"/>
    <cellStyle name="Normal 3 36 6 5 2" xfId="31851" xr:uid="{00000000-0005-0000-0000-000047610000}"/>
    <cellStyle name="Normal 3 36 6 6" xfId="14354" xr:uid="{00000000-0005-0000-0000-000048610000}"/>
    <cellStyle name="Normal 3 36 6 6 2" xfId="31852" xr:uid="{00000000-0005-0000-0000-000049610000}"/>
    <cellStyle name="Normal 3 36 6 7" xfId="14355" xr:uid="{00000000-0005-0000-0000-00004A610000}"/>
    <cellStyle name="Normal 3 36 6 7 2" xfId="31853" xr:uid="{00000000-0005-0000-0000-00004B610000}"/>
    <cellStyle name="Normal 3 36 6 8" xfId="14356" xr:uid="{00000000-0005-0000-0000-00004C610000}"/>
    <cellStyle name="Normal 3 36 6 8 2" xfId="31854" xr:uid="{00000000-0005-0000-0000-00004D610000}"/>
    <cellStyle name="Normal 3 36 6 9" xfId="14357" xr:uid="{00000000-0005-0000-0000-00004E610000}"/>
    <cellStyle name="Normal 3 36 6 9 2" xfId="31855" xr:uid="{00000000-0005-0000-0000-00004F610000}"/>
    <cellStyle name="Normal 3 36 7" xfId="14358" xr:uid="{00000000-0005-0000-0000-000050610000}"/>
    <cellStyle name="Normal 3 36 7 10" xfId="14359" xr:uid="{00000000-0005-0000-0000-000051610000}"/>
    <cellStyle name="Normal 3 36 7 10 2" xfId="31857" xr:uid="{00000000-0005-0000-0000-000052610000}"/>
    <cellStyle name="Normal 3 36 7 11" xfId="14360" xr:uid="{00000000-0005-0000-0000-000053610000}"/>
    <cellStyle name="Normal 3 36 7 11 2" xfId="31858" xr:uid="{00000000-0005-0000-0000-000054610000}"/>
    <cellStyle name="Normal 3 36 7 12" xfId="14361" xr:uid="{00000000-0005-0000-0000-000055610000}"/>
    <cellStyle name="Normal 3 36 7 12 2" xfId="31859" xr:uid="{00000000-0005-0000-0000-000056610000}"/>
    <cellStyle name="Normal 3 36 7 13" xfId="14362" xr:uid="{00000000-0005-0000-0000-000057610000}"/>
    <cellStyle name="Normal 3 36 7 13 2" xfId="31860" xr:uid="{00000000-0005-0000-0000-000058610000}"/>
    <cellStyle name="Normal 3 36 7 14" xfId="14363" xr:uid="{00000000-0005-0000-0000-000059610000}"/>
    <cellStyle name="Normal 3 36 7 14 2" xfId="31861" xr:uid="{00000000-0005-0000-0000-00005A610000}"/>
    <cellStyle name="Normal 3 36 7 15" xfId="31856" xr:uid="{00000000-0005-0000-0000-00005B610000}"/>
    <cellStyle name="Normal 3 36 7 2" xfId="14364" xr:uid="{00000000-0005-0000-0000-00005C610000}"/>
    <cellStyle name="Normal 3 36 7 2 2" xfId="31862" xr:uid="{00000000-0005-0000-0000-00005D610000}"/>
    <cellStyle name="Normal 3 36 7 3" xfId="14365" xr:uid="{00000000-0005-0000-0000-00005E610000}"/>
    <cellStyle name="Normal 3 36 7 3 2" xfId="31863" xr:uid="{00000000-0005-0000-0000-00005F610000}"/>
    <cellStyle name="Normal 3 36 7 4" xfId="14366" xr:uid="{00000000-0005-0000-0000-000060610000}"/>
    <cellStyle name="Normal 3 36 7 4 2" xfId="31864" xr:uid="{00000000-0005-0000-0000-000061610000}"/>
    <cellStyle name="Normal 3 36 7 5" xfId="14367" xr:uid="{00000000-0005-0000-0000-000062610000}"/>
    <cellStyle name="Normal 3 36 7 5 2" xfId="31865" xr:uid="{00000000-0005-0000-0000-000063610000}"/>
    <cellStyle name="Normal 3 36 7 6" xfId="14368" xr:uid="{00000000-0005-0000-0000-000064610000}"/>
    <cellStyle name="Normal 3 36 7 6 2" xfId="31866" xr:uid="{00000000-0005-0000-0000-000065610000}"/>
    <cellStyle name="Normal 3 36 7 7" xfId="14369" xr:uid="{00000000-0005-0000-0000-000066610000}"/>
    <cellStyle name="Normal 3 36 7 7 2" xfId="31867" xr:uid="{00000000-0005-0000-0000-000067610000}"/>
    <cellStyle name="Normal 3 36 7 8" xfId="14370" xr:uid="{00000000-0005-0000-0000-000068610000}"/>
    <cellStyle name="Normal 3 36 7 8 2" xfId="31868" xr:uid="{00000000-0005-0000-0000-000069610000}"/>
    <cellStyle name="Normal 3 36 7 9" xfId="14371" xr:uid="{00000000-0005-0000-0000-00006A610000}"/>
    <cellStyle name="Normal 3 36 7 9 2" xfId="31869" xr:uid="{00000000-0005-0000-0000-00006B610000}"/>
    <cellStyle name="Normal 3 36 8" xfId="14372" xr:uid="{00000000-0005-0000-0000-00006C610000}"/>
    <cellStyle name="Normal 3 36 8 10" xfId="14373" xr:uid="{00000000-0005-0000-0000-00006D610000}"/>
    <cellStyle name="Normal 3 36 8 10 2" xfId="31871" xr:uid="{00000000-0005-0000-0000-00006E610000}"/>
    <cellStyle name="Normal 3 36 8 11" xfId="14374" xr:uid="{00000000-0005-0000-0000-00006F610000}"/>
    <cellStyle name="Normal 3 36 8 11 2" xfId="31872" xr:uid="{00000000-0005-0000-0000-000070610000}"/>
    <cellStyle name="Normal 3 36 8 12" xfId="14375" xr:uid="{00000000-0005-0000-0000-000071610000}"/>
    <cellStyle name="Normal 3 36 8 12 2" xfId="31873" xr:uid="{00000000-0005-0000-0000-000072610000}"/>
    <cellStyle name="Normal 3 36 8 13" xfId="14376" xr:uid="{00000000-0005-0000-0000-000073610000}"/>
    <cellStyle name="Normal 3 36 8 13 2" xfId="31874" xr:uid="{00000000-0005-0000-0000-000074610000}"/>
    <cellStyle name="Normal 3 36 8 14" xfId="14377" xr:uid="{00000000-0005-0000-0000-000075610000}"/>
    <cellStyle name="Normal 3 36 8 14 2" xfId="31875" xr:uid="{00000000-0005-0000-0000-000076610000}"/>
    <cellStyle name="Normal 3 36 8 15" xfId="31870" xr:uid="{00000000-0005-0000-0000-000077610000}"/>
    <cellStyle name="Normal 3 36 8 2" xfId="14378" xr:uid="{00000000-0005-0000-0000-000078610000}"/>
    <cellStyle name="Normal 3 36 8 2 2" xfId="31876" xr:uid="{00000000-0005-0000-0000-000079610000}"/>
    <cellStyle name="Normal 3 36 8 3" xfId="14379" xr:uid="{00000000-0005-0000-0000-00007A610000}"/>
    <cellStyle name="Normal 3 36 8 3 2" xfId="31877" xr:uid="{00000000-0005-0000-0000-00007B610000}"/>
    <cellStyle name="Normal 3 36 8 4" xfId="14380" xr:uid="{00000000-0005-0000-0000-00007C610000}"/>
    <cellStyle name="Normal 3 36 8 4 2" xfId="31878" xr:uid="{00000000-0005-0000-0000-00007D610000}"/>
    <cellStyle name="Normal 3 36 8 5" xfId="14381" xr:uid="{00000000-0005-0000-0000-00007E610000}"/>
    <cellStyle name="Normal 3 36 8 5 2" xfId="31879" xr:uid="{00000000-0005-0000-0000-00007F610000}"/>
    <cellStyle name="Normal 3 36 8 6" xfId="14382" xr:uid="{00000000-0005-0000-0000-000080610000}"/>
    <cellStyle name="Normal 3 36 8 6 2" xfId="31880" xr:uid="{00000000-0005-0000-0000-000081610000}"/>
    <cellStyle name="Normal 3 36 8 7" xfId="14383" xr:uid="{00000000-0005-0000-0000-000082610000}"/>
    <cellStyle name="Normal 3 36 8 7 2" xfId="31881" xr:uid="{00000000-0005-0000-0000-000083610000}"/>
    <cellStyle name="Normal 3 36 8 8" xfId="14384" xr:uid="{00000000-0005-0000-0000-000084610000}"/>
    <cellStyle name="Normal 3 36 8 8 2" xfId="31882" xr:uid="{00000000-0005-0000-0000-000085610000}"/>
    <cellStyle name="Normal 3 36 8 9" xfId="14385" xr:uid="{00000000-0005-0000-0000-000086610000}"/>
    <cellStyle name="Normal 3 36 8 9 2" xfId="31883" xr:uid="{00000000-0005-0000-0000-000087610000}"/>
    <cellStyle name="Normal 3 36 9" xfId="14386" xr:uid="{00000000-0005-0000-0000-000088610000}"/>
    <cellStyle name="Normal 3 36 9 10" xfId="14387" xr:uid="{00000000-0005-0000-0000-000089610000}"/>
    <cellStyle name="Normal 3 36 9 10 2" xfId="31885" xr:uid="{00000000-0005-0000-0000-00008A610000}"/>
    <cellStyle name="Normal 3 36 9 11" xfId="14388" xr:uid="{00000000-0005-0000-0000-00008B610000}"/>
    <cellStyle name="Normal 3 36 9 11 2" xfId="31886" xr:uid="{00000000-0005-0000-0000-00008C610000}"/>
    <cellStyle name="Normal 3 36 9 12" xfId="14389" xr:uid="{00000000-0005-0000-0000-00008D610000}"/>
    <cellStyle name="Normal 3 36 9 12 2" xfId="31887" xr:uid="{00000000-0005-0000-0000-00008E610000}"/>
    <cellStyle name="Normal 3 36 9 13" xfId="14390" xr:uid="{00000000-0005-0000-0000-00008F610000}"/>
    <cellStyle name="Normal 3 36 9 13 2" xfId="31888" xr:uid="{00000000-0005-0000-0000-000090610000}"/>
    <cellStyle name="Normal 3 36 9 14" xfId="14391" xr:uid="{00000000-0005-0000-0000-000091610000}"/>
    <cellStyle name="Normal 3 36 9 14 2" xfId="31889" xr:uid="{00000000-0005-0000-0000-000092610000}"/>
    <cellStyle name="Normal 3 36 9 15" xfId="31884" xr:uid="{00000000-0005-0000-0000-000093610000}"/>
    <cellStyle name="Normal 3 36 9 2" xfId="14392" xr:uid="{00000000-0005-0000-0000-000094610000}"/>
    <cellStyle name="Normal 3 36 9 2 2" xfId="31890" xr:uid="{00000000-0005-0000-0000-000095610000}"/>
    <cellStyle name="Normal 3 36 9 3" xfId="14393" xr:uid="{00000000-0005-0000-0000-000096610000}"/>
    <cellStyle name="Normal 3 36 9 3 2" xfId="31891" xr:uid="{00000000-0005-0000-0000-000097610000}"/>
    <cellStyle name="Normal 3 36 9 4" xfId="14394" xr:uid="{00000000-0005-0000-0000-000098610000}"/>
    <cellStyle name="Normal 3 36 9 4 2" xfId="31892" xr:uid="{00000000-0005-0000-0000-000099610000}"/>
    <cellStyle name="Normal 3 36 9 5" xfId="14395" xr:uid="{00000000-0005-0000-0000-00009A610000}"/>
    <cellStyle name="Normal 3 36 9 5 2" xfId="31893" xr:uid="{00000000-0005-0000-0000-00009B610000}"/>
    <cellStyle name="Normal 3 36 9 6" xfId="14396" xr:uid="{00000000-0005-0000-0000-00009C610000}"/>
    <cellStyle name="Normal 3 36 9 6 2" xfId="31894" xr:uid="{00000000-0005-0000-0000-00009D610000}"/>
    <cellStyle name="Normal 3 36 9 7" xfId="14397" xr:uid="{00000000-0005-0000-0000-00009E610000}"/>
    <cellStyle name="Normal 3 36 9 7 2" xfId="31895" xr:uid="{00000000-0005-0000-0000-00009F610000}"/>
    <cellStyle name="Normal 3 36 9 8" xfId="14398" xr:uid="{00000000-0005-0000-0000-0000A0610000}"/>
    <cellStyle name="Normal 3 36 9 8 2" xfId="31896" xr:uid="{00000000-0005-0000-0000-0000A1610000}"/>
    <cellStyle name="Normal 3 36 9 9" xfId="14399" xr:uid="{00000000-0005-0000-0000-0000A2610000}"/>
    <cellStyle name="Normal 3 36 9 9 2" xfId="31897" xr:uid="{00000000-0005-0000-0000-0000A3610000}"/>
    <cellStyle name="Normal 3 37" xfId="14400" xr:uid="{00000000-0005-0000-0000-0000A4610000}"/>
    <cellStyle name="Normal 3 37 10" xfId="14401" xr:uid="{00000000-0005-0000-0000-0000A5610000}"/>
    <cellStyle name="Normal 3 37 10 10" xfId="14402" xr:uid="{00000000-0005-0000-0000-0000A6610000}"/>
    <cellStyle name="Normal 3 37 10 10 2" xfId="31900" xr:uid="{00000000-0005-0000-0000-0000A7610000}"/>
    <cellStyle name="Normal 3 37 10 11" xfId="14403" xr:uid="{00000000-0005-0000-0000-0000A8610000}"/>
    <cellStyle name="Normal 3 37 10 11 2" xfId="31901" xr:uid="{00000000-0005-0000-0000-0000A9610000}"/>
    <cellStyle name="Normal 3 37 10 12" xfId="14404" xr:uid="{00000000-0005-0000-0000-0000AA610000}"/>
    <cellStyle name="Normal 3 37 10 12 2" xfId="31902" xr:uid="{00000000-0005-0000-0000-0000AB610000}"/>
    <cellStyle name="Normal 3 37 10 13" xfId="14405" xr:uid="{00000000-0005-0000-0000-0000AC610000}"/>
    <cellStyle name="Normal 3 37 10 13 2" xfId="31903" xr:uid="{00000000-0005-0000-0000-0000AD610000}"/>
    <cellStyle name="Normal 3 37 10 14" xfId="14406" xr:uid="{00000000-0005-0000-0000-0000AE610000}"/>
    <cellStyle name="Normal 3 37 10 14 2" xfId="31904" xr:uid="{00000000-0005-0000-0000-0000AF610000}"/>
    <cellStyle name="Normal 3 37 10 15" xfId="31899" xr:uid="{00000000-0005-0000-0000-0000B0610000}"/>
    <cellStyle name="Normal 3 37 10 2" xfId="14407" xr:uid="{00000000-0005-0000-0000-0000B1610000}"/>
    <cellStyle name="Normal 3 37 10 2 2" xfId="31905" xr:uid="{00000000-0005-0000-0000-0000B2610000}"/>
    <cellStyle name="Normal 3 37 10 3" xfId="14408" xr:uid="{00000000-0005-0000-0000-0000B3610000}"/>
    <cellStyle name="Normal 3 37 10 3 2" xfId="31906" xr:uid="{00000000-0005-0000-0000-0000B4610000}"/>
    <cellStyle name="Normal 3 37 10 4" xfId="14409" xr:uid="{00000000-0005-0000-0000-0000B5610000}"/>
    <cellStyle name="Normal 3 37 10 4 2" xfId="31907" xr:uid="{00000000-0005-0000-0000-0000B6610000}"/>
    <cellStyle name="Normal 3 37 10 5" xfId="14410" xr:uid="{00000000-0005-0000-0000-0000B7610000}"/>
    <cellStyle name="Normal 3 37 10 5 2" xfId="31908" xr:uid="{00000000-0005-0000-0000-0000B8610000}"/>
    <cellStyle name="Normal 3 37 10 6" xfId="14411" xr:uid="{00000000-0005-0000-0000-0000B9610000}"/>
    <cellStyle name="Normal 3 37 10 6 2" xfId="31909" xr:uid="{00000000-0005-0000-0000-0000BA610000}"/>
    <cellStyle name="Normal 3 37 10 7" xfId="14412" xr:uid="{00000000-0005-0000-0000-0000BB610000}"/>
    <cellStyle name="Normal 3 37 10 7 2" xfId="31910" xr:uid="{00000000-0005-0000-0000-0000BC610000}"/>
    <cellStyle name="Normal 3 37 10 8" xfId="14413" xr:uid="{00000000-0005-0000-0000-0000BD610000}"/>
    <cellStyle name="Normal 3 37 10 8 2" xfId="31911" xr:uid="{00000000-0005-0000-0000-0000BE610000}"/>
    <cellStyle name="Normal 3 37 10 9" xfId="14414" xr:uid="{00000000-0005-0000-0000-0000BF610000}"/>
    <cellStyle name="Normal 3 37 10 9 2" xfId="31912" xr:uid="{00000000-0005-0000-0000-0000C0610000}"/>
    <cellStyle name="Normal 3 37 11" xfId="14415" xr:uid="{00000000-0005-0000-0000-0000C1610000}"/>
    <cellStyle name="Normal 3 37 11 2" xfId="31913" xr:uid="{00000000-0005-0000-0000-0000C2610000}"/>
    <cellStyle name="Normal 3 37 12" xfId="14416" xr:uid="{00000000-0005-0000-0000-0000C3610000}"/>
    <cellStyle name="Normal 3 37 12 2" xfId="31914" xr:uid="{00000000-0005-0000-0000-0000C4610000}"/>
    <cellStyle name="Normal 3 37 13" xfId="14417" xr:uid="{00000000-0005-0000-0000-0000C5610000}"/>
    <cellStyle name="Normal 3 37 13 2" xfId="31915" xr:uid="{00000000-0005-0000-0000-0000C6610000}"/>
    <cellStyle name="Normal 3 37 14" xfId="14418" xr:uid="{00000000-0005-0000-0000-0000C7610000}"/>
    <cellStyle name="Normal 3 37 14 2" xfId="31916" xr:uid="{00000000-0005-0000-0000-0000C8610000}"/>
    <cellStyle name="Normal 3 37 15" xfId="14419" xr:uid="{00000000-0005-0000-0000-0000C9610000}"/>
    <cellStyle name="Normal 3 37 15 2" xfId="31917" xr:uid="{00000000-0005-0000-0000-0000CA610000}"/>
    <cellStyle name="Normal 3 37 16" xfId="14420" xr:uid="{00000000-0005-0000-0000-0000CB610000}"/>
    <cellStyle name="Normal 3 37 16 2" xfId="31918" xr:uid="{00000000-0005-0000-0000-0000CC610000}"/>
    <cellStyle name="Normal 3 37 17" xfId="14421" xr:uid="{00000000-0005-0000-0000-0000CD610000}"/>
    <cellStyle name="Normal 3 37 17 2" xfId="31919" xr:uid="{00000000-0005-0000-0000-0000CE610000}"/>
    <cellStyle name="Normal 3 37 18" xfId="14422" xr:uid="{00000000-0005-0000-0000-0000CF610000}"/>
    <cellStyle name="Normal 3 37 18 2" xfId="31920" xr:uid="{00000000-0005-0000-0000-0000D0610000}"/>
    <cellStyle name="Normal 3 37 19" xfId="14423" xr:uid="{00000000-0005-0000-0000-0000D1610000}"/>
    <cellStyle name="Normal 3 37 19 2" xfId="31921" xr:uid="{00000000-0005-0000-0000-0000D2610000}"/>
    <cellStyle name="Normal 3 37 2" xfId="14424" xr:uid="{00000000-0005-0000-0000-0000D3610000}"/>
    <cellStyle name="Normal 3 37 2 10" xfId="14425" xr:uid="{00000000-0005-0000-0000-0000D4610000}"/>
    <cellStyle name="Normal 3 37 2 10 2" xfId="31923" xr:uid="{00000000-0005-0000-0000-0000D5610000}"/>
    <cellStyle name="Normal 3 37 2 11" xfId="14426" xr:uid="{00000000-0005-0000-0000-0000D6610000}"/>
    <cellStyle name="Normal 3 37 2 11 2" xfId="31924" xr:uid="{00000000-0005-0000-0000-0000D7610000}"/>
    <cellStyle name="Normal 3 37 2 12" xfId="14427" xr:uid="{00000000-0005-0000-0000-0000D8610000}"/>
    <cellStyle name="Normal 3 37 2 12 2" xfId="31925" xr:uid="{00000000-0005-0000-0000-0000D9610000}"/>
    <cellStyle name="Normal 3 37 2 13" xfId="14428" xr:uid="{00000000-0005-0000-0000-0000DA610000}"/>
    <cellStyle name="Normal 3 37 2 13 2" xfId="31926" xr:uid="{00000000-0005-0000-0000-0000DB610000}"/>
    <cellStyle name="Normal 3 37 2 14" xfId="14429" xr:uid="{00000000-0005-0000-0000-0000DC610000}"/>
    <cellStyle name="Normal 3 37 2 14 2" xfId="31927" xr:uid="{00000000-0005-0000-0000-0000DD610000}"/>
    <cellStyle name="Normal 3 37 2 15" xfId="14430" xr:uid="{00000000-0005-0000-0000-0000DE610000}"/>
    <cellStyle name="Normal 3 37 2 15 2" xfId="31928" xr:uid="{00000000-0005-0000-0000-0000DF610000}"/>
    <cellStyle name="Normal 3 37 2 16" xfId="31922" xr:uid="{00000000-0005-0000-0000-0000E0610000}"/>
    <cellStyle name="Normal 3 37 2 2" xfId="14431" xr:uid="{00000000-0005-0000-0000-0000E1610000}"/>
    <cellStyle name="Normal 3 37 2 2 10" xfId="14432" xr:uid="{00000000-0005-0000-0000-0000E2610000}"/>
    <cellStyle name="Normal 3 37 2 2 10 2" xfId="31930" xr:uid="{00000000-0005-0000-0000-0000E3610000}"/>
    <cellStyle name="Normal 3 37 2 2 11" xfId="14433" xr:uid="{00000000-0005-0000-0000-0000E4610000}"/>
    <cellStyle name="Normal 3 37 2 2 11 2" xfId="31931" xr:uid="{00000000-0005-0000-0000-0000E5610000}"/>
    <cellStyle name="Normal 3 37 2 2 12" xfId="14434" xr:uid="{00000000-0005-0000-0000-0000E6610000}"/>
    <cellStyle name="Normal 3 37 2 2 12 2" xfId="31932" xr:uid="{00000000-0005-0000-0000-0000E7610000}"/>
    <cellStyle name="Normal 3 37 2 2 13" xfId="14435" xr:uid="{00000000-0005-0000-0000-0000E8610000}"/>
    <cellStyle name="Normal 3 37 2 2 13 2" xfId="31933" xr:uid="{00000000-0005-0000-0000-0000E9610000}"/>
    <cellStyle name="Normal 3 37 2 2 14" xfId="14436" xr:uid="{00000000-0005-0000-0000-0000EA610000}"/>
    <cellStyle name="Normal 3 37 2 2 14 2" xfId="31934" xr:uid="{00000000-0005-0000-0000-0000EB610000}"/>
    <cellStyle name="Normal 3 37 2 2 15" xfId="31929" xr:uid="{00000000-0005-0000-0000-0000EC610000}"/>
    <cellStyle name="Normal 3 37 2 2 2" xfId="14437" xr:uid="{00000000-0005-0000-0000-0000ED610000}"/>
    <cellStyle name="Normal 3 37 2 2 2 2" xfId="31935" xr:uid="{00000000-0005-0000-0000-0000EE610000}"/>
    <cellStyle name="Normal 3 37 2 2 3" xfId="14438" xr:uid="{00000000-0005-0000-0000-0000EF610000}"/>
    <cellStyle name="Normal 3 37 2 2 3 2" xfId="31936" xr:uid="{00000000-0005-0000-0000-0000F0610000}"/>
    <cellStyle name="Normal 3 37 2 2 4" xfId="14439" xr:uid="{00000000-0005-0000-0000-0000F1610000}"/>
    <cellStyle name="Normal 3 37 2 2 4 2" xfId="31937" xr:uid="{00000000-0005-0000-0000-0000F2610000}"/>
    <cellStyle name="Normal 3 37 2 2 5" xfId="14440" xr:uid="{00000000-0005-0000-0000-0000F3610000}"/>
    <cellStyle name="Normal 3 37 2 2 5 2" xfId="31938" xr:uid="{00000000-0005-0000-0000-0000F4610000}"/>
    <cellStyle name="Normal 3 37 2 2 6" xfId="14441" xr:uid="{00000000-0005-0000-0000-0000F5610000}"/>
    <cellStyle name="Normal 3 37 2 2 6 2" xfId="31939" xr:uid="{00000000-0005-0000-0000-0000F6610000}"/>
    <cellStyle name="Normal 3 37 2 2 7" xfId="14442" xr:uid="{00000000-0005-0000-0000-0000F7610000}"/>
    <cellStyle name="Normal 3 37 2 2 7 2" xfId="31940" xr:uid="{00000000-0005-0000-0000-0000F8610000}"/>
    <cellStyle name="Normal 3 37 2 2 8" xfId="14443" xr:uid="{00000000-0005-0000-0000-0000F9610000}"/>
    <cellStyle name="Normal 3 37 2 2 8 2" xfId="31941" xr:uid="{00000000-0005-0000-0000-0000FA610000}"/>
    <cellStyle name="Normal 3 37 2 2 9" xfId="14444" xr:uid="{00000000-0005-0000-0000-0000FB610000}"/>
    <cellStyle name="Normal 3 37 2 2 9 2" xfId="31942" xr:uid="{00000000-0005-0000-0000-0000FC610000}"/>
    <cellStyle name="Normal 3 37 2 3" xfId="14445" xr:uid="{00000000-0005-0000-0000-0000FD610000}"/>
    <cellStyle name="Normal 3 37 2 3 2" xfId="31943" xr:uid="{00000000-0005-0000-0000-0000FE610000}"/>
    <cellStyle name="Normal 3 37 2 4" xfId="14446" xr:uid="{00000000-0005-0000-0000-0000FF610000}"/>
    <cellStyle name="Normal 3 37 2 4 2" xfId="31944" xr:uid="{00000000-0005-0000-0000-000000620000}"/>
    <cellStyle name="Normal 3 37 2 5" xfId="14447" xr:uid="{00000000-0005-0000-0000-000001620000}"/>
    <cellStyle name="Normal 3 37 2 5 2" xfId="31945" xr:uid="{00000000-0005-0000-0000-000002620000}"/>
    <cellStyle name="Normal 3 37 2 6" xfId="14448" xr:uid="{00000000-0005-0000-0000-000003620000}"/>
    <cellStyle name="Normal 3 37 2 6 2" xfId="31946" xr:uid="{00000000-0005-0000-0000-000004620000}"/>
    <cellStyle name="Normal 3 37 2 7" xfId="14449" xr:uid="{00000000-0005-0000-0000-000005620000}"/>
    <cellStyle name="Normal 3 37 2 7 2" xfId="31947" xr:uid="{00000000-0005-0000-0000-000006620000}"/>
    <cellStyle name="Normal 3 37 2 8" xfId="14450" xr:uid="{00000000-0005-0000-0000-000007620000}"/>
    <cellStyle name="Normal 3 37 2 8 2" xfId="31948" xr:uid="{00000000-0005-0000-0000-000008620000}"/>
    <cellStyle name="Normal 3 37 2 9" xfId="14451" xr:uid="{00000000-0005-0000-0000-000009620000}"/>
    <cellStyle name="Normal 3 37 2 9 2" xfId="31949" xr:uid="{00000000-0005-0000-0000-00000A620000}"/>
    <cellStyle name="Normal 3 37 20" xfId="14452" xr:uid="{00000000-0005-0000-0000-00000B620000}"/>
    <cellStyle name="Normal 3 37 20 2" xfId="31950" xr:uid="{00000000-0005-0000-0000-00000C620000}"/>
    <cellStyle name="Normal 3 37 21" xfId="14453" xr:uid="{00000000-0005-0000-0000-00000D620000}"/>
    <cellStyle name="Normal 3 37 21 2" xfId="31951" xr:uid="{00000000-0005-0000-0000-00000E620000}"/>
    <cellStyle name="Normal 3 37 22" xfId="14454" xr:uid="{00000000-0005-0000-0000-00000F620000}"/>
    <cellStyle name="Normal 3 37 22 2" xfId="31952" xr:uid="{00000000-0005-0000-0000-000010620000}"/>
    <cellStyle name="Normal 3 37 23" xfId="14455" xr:uid="{00000000-0005-0000-0000-000011620000}"/>
    <cellStyle name="Normal 3 37 23 2" xfId="31953" xr:uid="{00000000-0005-0000-0000-000012620000}"/>
    <cellStyle name="Normal 3 37 24" xfId="31898" xr:uid="{00000000-0005-0000-0000-000013620000}"/>
    <cellStyle name="Normal 3 37 3" xfId="14456" xr:uid="{00000000-0005-0000-0000-000014620000}"/>
    <cellStyle name="Normal 3 37 3 10" xfId="14457" xr:uid="{00000000-0005-0000-0000-000015620000}"/>
    <cellStyle name="Normal 3 37 3 10 2" xfId="31955" xr:uid="{00000000-0005-0000-0000-000016620000}"/>
    <cellStyle name="Normal 3 37 3 11" xfId="14458" xr:uid="{00000000-0005-0000-0000-000017620000}"/>
    <cellStyle name="Normal 3 37 3 11 2" xfId="31956" xr:uid="{00000000-0005-0000-0000-000018620000}"/>
    <cellStyle name="Normal 3 37 3 12" xfId="14459" xr:uid="{00000000-0005-0000-0000-000019620000}"/>
    <cellStyle name="Normal 3 37 3 12 2" xfId="31957" xr:uid="{00000000-0005-0000-0000-00001A620000}"/>
    <cellStyle name="Normal 3 37 3 13" xfId="14460" xr:uid="{00000000-0005-0000-0000-00001B620000}"/>
    <cellStyle name="Normal 3 37 3 13 2" xfId="31958" xr:uid="{00000000-0005-0000-0000-00001C620000}"/>
    <cellStyle name="Normal 3 37 3 14" xfId="14461" xr:uid="{00000000-0005-0000-0000-00001D620000}"/>
    <cellStyle name="Normal 3 37 3 14 2" xfId="31959" xr:uid="{00000000-0005-0000-0000-00001E620000}"/>
    <cellStyle name="Normal 3 37 3 15" xfId="14462" xr:uid="{00000000-0005-0000-0000-00001F620000}"/>
    <cellStyle name="Normal 3 37 3 15 2" xfId="31960" xr:uid="{00000000-0005-0000-0000-000020620000}"/>
    <cellStyle name="Normal 3 37 3 16" xfId="31954" xr:uid="{00000000-0005-0000-0000-000021620000}"/>
    <cellStyle name="Normal 3 37 3 2" xfId="14463" xr:uid="{00000000-0005-0000-0000-000022620000}"/>
    <cellStyle name="Normal 3 37 3 2 10" xfId="14464" xr:uid="{00000000-0005-0000-0000-000023620000}"/>
    <cellStyle name="Normal 3 37 3 2 10 2" xfId="31962" xr:uid="{00000000-0005-0000-0000-000024620000}"/>
    <cellStyle name="Normal 3 37 3 2 11" xfId="14465" xr:uid="{00000000-0005-0000-0000-000025620000}"/>
    <cellStyle name="Normal 3 37 3 2 11 2" xfId="31963" xr:uid="{00000000-0005-0000-0000-000026620000}"/>
    <cellStyle name="Normal 3 37 3 2 12" xfId="14466" xr:uid="{00000000-0005-0000-0000-000027620000}"/>
    <cellStyle name="Normal 3 37 3 2 12 2" xfId="31964" xr:uid="{00000000-0005-0000-0000-000028620000}"/>
    <cellStyle name="Normal 3 37 3 2 13" xfId="14467" xr:uid="{00000000-0005-0000-0000-000029620000}"/>
    <cellStyle name="Normal 3 37 3 2 13 2" xfId="31965" xr:uid="{00000000-0005-0000-0000-00002A620000}"/>
    <cellStyle name="Normal 3 37 3 2 14" xfId="14468" xr:uid="{00000000-0005-0000-0000-00002B620000}"/>
    <cellStyle name="Normal 3 37 3 2 14 2" xfId="31966" xr:uid="{00000000-0005-0000-0000-00002C620000}"/>
    <cellStyle name="Normal 3 37 3 2 15" xfId="31961" xr:uid="{00000000-0005-0000-0000-00002D620000}"/>
    <cellStyle name="Normal 3 37 3 2 2" xfId="14469" xr:uid="{00000000-0005-0000-0000-00002E620000}"/>
    <cellStyle name="Normal 3 37 3 2 2 2" xfId="31967" xr:uid="{00000000-0005-0000-0000-00002F620000}"/>
    <cellStyle name="Normal 3 37 3 2 3" xfId="14470" xr:uid="{00000000-0005-0000-0000-000030620000}"/>
    <cellStyle name="Normal 3 37 3 2 3 2" xfId="31968" xr:uid="{00000000-0005-0000-0000-000031620000}"/>
    <cellStyle name="Normal 3 37 3 2 4" xfId="14471" xr:uid="{00000000-0005-0000-0000-000032620000}"/>
    <cellStyle name="Normal 3 37 3 2 4 2" xfId="31969" xr:uid="{00000000-0005-0000-0000-000033620000}"/>
    <cellStyle name="Normal 3 37 3 2 5" xfId="14472" xr:uid="{00000000-0005-0000-0000-000034620000}"/>
    <cellStyle name="Normal 3 37 3 2 5 2" xfId="31970" xr:uid="{00000000-0005-0000-0000-000035620000}"/>
    <cellStyle name="Normal 3 37 3 2 6" xfId="14473" xr:uid="{00000000-0005-0000-0000-000036620000}"/>
    <cellStyle name="Normal 3 37 3 2 6 2" xfId="31971" xr:uid="{00000000-0005-0000-0000-000037620000}"/>
    <cellStyle name="Normal 3 37 3 2 7" xfId="14474" xr:uid="{00000000-0005-0000-0000-000038620000}"/>
    <cellStyle name="Normal 3 37 3 2 7 2" xfId="31972" xr:uid="{00000000-0005-0000-0000-000039620000}"/>
    <cellStyle name="Normal 3 37 3 2 8" xfId="14475" xr:uid="{00000000-0005-0000-0000-00003A620000}"/>
    <cellStyle name="Normal 3 37 3 2 8 2" xfId="31973" xr:uid="{00000000-0005-0000-0000-00003B620000}"/>
    <cellStyle name="Normal 3 37 3 2 9" xfId="14476" xr:uid="{00000000-0005-0000-0000-00003C620000}"/>
    <cellStyle name="Normal 3 37 3 2 9 2" xfId="31974" xr:uid="{00000000-0005-0000-0000-00003D620000}"/>
    <cellStyle name="Normal 3 37 3 3" xfId="14477" xr:uid="{00000000-0005-0000-0000-00003E620000}"/>
    <cellStyle name="Normal 3 37 3 3 2" xfId="31975" xr:uid="{00000000-0005-0000-0000-00003F620000}"/>
    <cellStyle name="Normal 3 37 3 4" xfId="14478" xr:uid="{00000000-0005-0000-0000-000040620000}"/>
    <cellStyle name="Normal 3 37 3 4 2" xfId="31976" xr:uid="{00000000-0005-0000-0000-000041620000}"/>
    <cellStyle name="Normal 3 37 3 5" xfId="14479" xr:uid="{00000000-0005-0000-0000-000042620000}"/>
    <cellStyle name="Normal 3 37 3 5 2" xfId="31977" xr:uid="{00000000-0005-0000-0000-000043620000}"/>
    <cellStyle name="Normal 3 37 3 6" xfId="14480" xr:uid="{00000000-0005-0000-0000-000044620000}"/>
    <cellStyle name="Normal 3 37 3 6 2" xfId="31978" xr:uid="{00000000-0005-0000-0000-000045620000}"/>
    <cellStyle name="Normal 3 37 3 7" xfId="14481" xr:uid="{00000000-0005-0000-0000-000046620000}"/>
    <cellStyle name="Normal 3 37 3 7 2" xfId="31979" xr:uid="{00000000-0005-0000-0000-000047620000}"/>
    <cellStyle name="Normal 3 37 3 8" xfId="14482" xr:uid="{00000000-0005-0000-0000-000048620000}"/>
    <cellStyle name="Normal 3 37 3 8 2" xfId="31980" xr:uid="{00000000-0005-0000-0000-000049620000}"/>
    <cellStyle name="Normal 3 37 3 9" xfId="14483" xr:uid="{00000000-0005-0000-0000-00004A620000}"/>
    <cellStyle name="Normal 3 37 3 9 2" xfId="31981" xr:uid="{00000000-0005-0000-0000-00004B620000}"/>
    <cellStyle name="Normal 3 37 4" xfId="14484" xr:uid="{00000000-0005-0000-0000-00004C620000}"/>
    <cellStyle name="Normal 3 37 4 10" xfId="14485" xr:uid="{00000000-0005-0000-0000-00004D620000}"/>
    <cellStyle name="Normal 3 37 4 10 2" xfId="31983" xr:uid="{00000000-0005-0000-0000-00004E620000}"/>
    <cellStyle name="Normal 3 37 4 11" xfId="14486" xr:uid="{00000000-0005-0000-0000-00004F620000}"/>
    <cellStyle name="Normal 3 37 4 11 2" xfId="31984" xr:uid="{00000000-0005-0000-0000-000050620000}"/>
    <cellStyle name="Normal 3 37 4 12" xfId="14487" xr:uid="{00000000-0005-0000-0000-000051620000}"/>
    <cellStyle name="Normal 3 37 4 12 2" xfId="31985" xr:uid="{00000000-0005-0000-0000-000052620000}"/>
    <cellStyle name="Normal 3 37 4 13" xfId="14488" xr:uid="{00000000-0005-0000-0000-000053620000}"/>
    <cellStyle name="Normal 3 37 4 13 2" xfId="31986" xr:uid="{00000000-0005-0000-0000-000054620000}"/>
    <cellStyle name="Normal 3 37 4 14" xfId="14489" xr:uid="{00000000-0005-0000-0000-000055620000}"/>
    <cellStyle name="Normal 3 37 4 14 2" xfId="31987" xr:uid="{00000000-0005-0000-0000-000056620000}"/>
    <cellStyle name="Normal 3 37 4 15" xfId="14490" xr:uid="{00000000-0005-0000-0000-000057620000}"/>
    <cellStyle name="Normal 3 37 4 15 2" xfId="31988" xr:uid="{00000000-0005-0000-0000-000058620000}"/>
    <cellStyle name="Normal 3 37 4 16" xfId="31982" xr:uid="{00000000-0005-0000-0000-000059620000}"/>
    <cellStyle name="Normal 3 37 4 2" xfId="14491" xr:uid="{00000000-0005-0000-0000-00005A620000}"/>
    <cellStyle name="Normal 3 37 4 2 10" xfId="14492" xr:uid="{00000000-0005-0000-0000-00005B620000}"/>
    <cellStyle name="Normal 3 37 4 2 10 2" xfId="31990" xr:uid="{00000000-0005-0000-0000-00005C620000}"/>
    <cellStyle name="Normal 3 37 4 2 11" xfId="14493" xr:uid="{00000000-0005-0000-0000-00005D620000}"/>
    <cellStyle name="Normal 3 37 4 2 11 2" xfId="31991" xr:uid="{00000000-0005-0000-0000-00005E620000}"/>
    <cellStyle name="Normal 3 37 4 2 12" xfId="14494" xr:uid="{00000000-0005-0000-0000-00005F620000}"/>
    <cellStyle name="Normal 3 37 4 2 12 2" xfId="31992" xr:uid="{00000000-0005-0000-0000-000060620000}"/>
    <cellStyle name="Normal 3 37 4 2 13" xfId="14495" xr:uid="{00000000-0005-0000-0000-000061620000}"/>
    <cellStyle name="Normal 3 37 4 2 13 2" xfId="31993" xr:uid="{00000000-0005-0000-0000-000062620000}"/>
    <cellStyle name="Normal 3 37 4 2 14" xfId="14496" xr:uid="{00000000-0005-0000-0000-000063620000}"/>
    <cellStyle name="Normal 3 37 4 2 14 2" xfId="31994" xr:uid="{00000000-0005-0000-0000-000064620000}"/>
    <cellStyle name="Normal 3 37 4 2 15" xfId="31989" xr:uid="{00000000-0005-0000-0000-000065620000}"/>
    <cellStyle name="Normal 3 37 4 2 2" xfId="14497" xr:uid="{00000000-0005-0000-0000-000066620000}"/>
    <cellStyle name="Normal 3 37 4 2 2 2" xfId="31995" xr:uid="{00000000-0005-0000-0000-000067620000}"/>
    <cellStyle name="Normal 3 37 4 2 3" xfId="14498" xr:uid="{00000000-0005-0000-0000-000068620000}"/>
    <cellStyle name="Normal 3 37 4 2 3 2" xfId="31996" xr:uid="{00000000-0005-0000-0000-000069620000}"/>
    <cellStyle name="Normal 3 37 4 2 4" xfId="14499" xr:uid="{00000000-0005-0000-0000-00006A620000}"/>
    <cellStyle name="Normal 3 37 4 2 4 2" xfId="31997" xr:uid="{00000000-0005-0000-0000-00006B620000}"/>
    <cellStyle name="Normal 3 37 4 2 5" xfId="14500" xr:uid="{00000000-0005-0000-0000-00006C620000}"/>
    <cellStyle name="Normal 3 37 4 2 5 2" xfId="31998" xr:uid="{00000000-0005-0000-0000-00006D620000}"/>
    <cellStyle name="Normal 3 37 4 2 6" xfId="14501" xr:uid="{00000000-0005-0000-0000-00006E620000}"/>
    <cellStyle name="Normal 3 37 4 2 6 2" xfId="31999" xr:uid="{00000000-0005-0000-0000-00006F620000}"/>
    <cellStyle name="Normal 3 37 4 2 7" xfId="14502" xr:uid="{00000000-0005-0000-0000-000070620000}"/>
    <cellStyle name="Normal 3 37 4 2 7 2" xfId="32000" xr:uid="{00000000-0005-0000-0000-000071620000}"/>
    <cellStyle name="Normal 3 37 4 2 8" xfId="14503" xr:uid="{00000000-0005-0000-0000-000072620000}"/>
    <cellStyle name="Normal 3 37 4 2 8 2" xfId="32001" xr:uid="{00000000-0005-0000-0000-000073620000}"/>
    <cellStyle name="Normal 3 37 4 2 9" xfId="14504" xr:uid="{00000000-0005-0000-0000-000074620000}"/>
    <cellStyle name="Normal 3 37 4 2 9 2" xfId="32002" xr:uid="{00000000-0005-0000-0000-000075620000}"/>
    <cellStyle name="Normal 3 37 4 3" xfId="14505" xr:uid="{00000000-0005-0000-0000-000076620000}"/>
    <cellStyle name="Normal 3 37 4 3 2" xfId="32003" xr:uid="{00000000-0005-0000-0000-000077620000}"/>
    <cellStyle name="Normal 3 37 4 4" xfId="14506" xr:uid="{00000000-0005-0000-0000-000078620000}"/>
    <cellStyle name="Normal 3 37 4 4 2" xfId="32004" xr:uid="{00000000-0005-0000-0000-000079620000}"/>
    <cellStyle name="Normal 3 37 4 5" xfId="14507" xr:uid="{00000000-0005-0000-0000-00007A620000}"/>
    <cellStyle name="Normal 3 37 4 5 2" xfId="32005" xr:uid="{00000000-0005-0000-0000-00007B620000}"/>
    <cellStyle name="Normal 3 37 4 6" xfId="14508" xr:uid="{00000000-0005-0000-0000-00007C620000}"/>
    <cellStyle name="Normal 3 37 4 6 2" xfId="32006" xr:uid="{00000000-0005-0000-0000-00007D620000}"/>
    <cellStyle name="Normal 3 37 4 7" xfId="14509" xr:uid="{00000000-0005-0000-0000-00007E620000}"/>
    <cellStyle name="Normal 3 37 4 7 2" xfId="32007" xr:uid="{00000000-0005-0000-0000-00007F620000}"/>
    <cellStyle name="Normal 3 37 4 8" xfId="14510" xr:uid="{00000000-0005-0000-0000-000080620000}"/>
    <cellStyle name="Normal 3 37 4 8 2" xfId="32008" xr:uid="{00000000-0005-0000-0000-000081620000}"/>
    <cellStyle name="Normal 3 37 4 9" xfId="14511" xr:uid="{00000000-0005-0000-0000-000082620000}"/>
    <cellStyle name="Normal 3 37 4 9 2" xfId="32009" xr:uid="{00000000-0005-0000-0000-000083620000}"/>
    <cellStyle name="Normal 3 37 5" xfId="14512" xr:uid="{00000000-0005-0000-0000-000084620000}"/>
    <cellStyle name="Normal 3 37 5 10" xfId="14513" xr:uid="{00000000-0005-0000-0000-000085620000}"/>
    <cellStyle name="Normal 3 37 5 10 2" xfId="32011" xr:uid="{00000000-0005-0000-0000-000086620000}"/>
    <cellStyle name="Normal 3 37 5 11" xfId="14514" xr:uid="{00000000-0005-0000-0000-000087620000}"/>
    <cellStyle name="Normal 3 37 5 11 2" xfId="32012" xr:uid="{00000000-0005-0000-0000-000088620000}"/>
    <cellStyle name="Normal 3 37 5 12" xfId="14515" xr:uid="{00000000-0005-0000-0000-000089620000}"/>
    <cellStyle name="Normal 3 37 5 12 2" xfId="32013" xr:uid="{00000000-0005-0000-0000-00008A620000}"/>
    <cellStyle name="Normal 3 37 5 13" xfId="14516" xr:uid="{00000000-0005-0000-0000-00008B620000}"/>
    <cellStyle name="Normal 3 37 5 13 2" xfId="32014" xr:uid="{00000000-0005-0000-0000-00008C620000}"/>
    <cellStyle name="Normal 3 37 5 14" xfId="14517" xr:uid="{00000000-0005-0000-0000-00008D620000}"/>
    <cellStyle name="Normal 3 37 5 14 2" xfId="32015" xr:uid="{00000000-0005-0000-0000-00008E620000}"/>
    <cellStyle name="Normal 3 37 5 15" xfId="32010" xr:uid="{00000000-0005-0000-0000-00008F620000}"/>
    <cellStyle name="Normal 3 37 5 2" xfId="14518" xr:uid="{00000000-0005-0000-0000-000090620000}"/>
    <cellStyle name="Normal 3 37 5 2 2" xfId="32016" xr:uid="{00000000-0005-0000-0000-000091620000}"/>
    <cellStyle name="Normal 3 37 5 3" xfId="14519" xr:uid="{00000000-0005-0000-0000-000092620000}"/>
    <cellStyle name="Normal 3 37 5 3 2" xfId="32017" xr:uid="{00000000-0005-0000-0000-000093620000}"/>
    <cellStyle name="Normal 3 37 5 4" xfId="14520" xr:uid="{00000000-0005-0000-0000-000094620000}"/>
    <cellStyle name="Normal 3 37 5 4 2" xfId="32018" xr:uid="{00000000-0005-0000-0000-000095620000}"/>
    <cellStyle name="Normal 3 37 5 5" xfId="14521" xr:uid="{00000000-0005-0000-0000-000096620000}"/>
    <cellStyle name="Normal 3 37 5 5 2" xfId="32019" xr:uid="{00000000-0005-0000-0000-000097620000}"/>
    <cellStyle name="Normal 3 37 5 6" xfId="14522" xr:uid="{00000000-0005-0000-0000-000098620000}"/>
    <cellStyle name="Normal 3 37 5 6 2" xfId="32020" xr:uid="{00000000-0005-0000-0000-000099620000}"/>
    <cellStyle name="Normal 3 37 5 7" xfId="14523" xr:uid="{00000000-0005-0000-0000-00009A620000}"/>
    <cellStyle name="Normal 3 37 5 7 2" xfId="32021" xr:uid="{00000000-0005-0000-0000-00009B620000}"/>
    <cellStyle name="Normal 3 37 5 8" xfId="14524" xr:uid="{00000000-0005-0000-0000-00009C620000}"/>
    <cellStyle name="Normal 3 37 5 8 2" xfId="32022" xr:uid="{00000000-0005-0000-0000-00009D620000}"/>
    <cellStyle name="Normal 3 37 5 9" xfId="14525" xr:uid="{00000000-0005-0000-0000-00009E620000}"/>
    <cellStyle name="Normal 3 37 5 9 2" xfId="32023" xr:uid="{00000000-0005-0000-0000-00009F620000}"/>
    <cellStyle name="Normal 3 37 6" xfId="14526" xr:uid="{00000000-0005-0000-0000-0000A0620000}"/>
    <cellStyle name="Normal 3 37 6 10" xfId="14527" xr:uid="{00000000-0005-0000-0000-0000A1620000}"/>
    <cellStyle name="Normal 3 37 6 10 2" xfId="32025" xr:uid="{00000000-0005-0000-0000-0000A2620000}"/>
    <cellStyle name="Normal 3 37 6 11" xfId="14528" xr:uid="{00000000-0005-0000-0000-0000A3620000}"/>
    <cellStyle name="Normal 3 37 6 11 2" xfId="32026" xr:uid="{00000000-0005-0000-0000-0000A4620000}"/>
    <cellStyle name="Normal 3 37 6 12" xfId="14529" xr:uid="{00000000-0005-0000-0000-0000A5620000}"/>
    <cellStyle name="Normal 3 37 6 12 2" xfId="32027" xr:uid="{00000000-0005-0000-0000-0000A6620000}"/>
    <cellStyle name="Normal 3 37 6 13" xfId="14530" xr:uid="{00000000-0005-0000-0000-0000A7620000}"/>
    <cellStyle name="Normal 3 37 6 13 2" xfId="32028" xr:uid="{00000000-0005-0000-0000-0000A8620000}"/>
    <cellStyle name="Normal 3 37 6 14" xfId="14531" xr:uid="{00000000-0005-0000-0000-0000A9620000}"/>
    <cellStyle name="Normal 3 37 6 14 2" xfId="32029" xr:uid="{00000000-0005-0000-0000-0000AA620000}"/>
    <cellStyle name="Normal 3 37 6 15" xfId="32024" xr:uid="{00000000-0005-0000-0000-0000AB620000}"/>
    <cellStyle name="Normal 3 37 6 2" xfId="14532" xr:uid="{00000000-0005-0000-0000-0000AC620000}"/>
    <cellStyle name="Normal 3 37 6 2 2" xfId="32030" xr:uid="{00000000-0005-0000-0000-0000AD620000}"/>
    <cellStyle name="Normal 3 37 6 3" xfId="14533" xr:uid="{00000000-0005-0000-0000-0000AE620000}"/>
    <cellStyle name="Normal 3 37 6 3 2" xfId="32031" xr:uid="{00000000-0005-0000-0000-0000AF620000}"/>
    <cellStyle name="Normal 3 37 6 4" xfId="14534" xr:uid="{00000000-0005-0000-0000-0000B0620000}"/>
    <cellStyle name="Normal 3 37 6 4 2" xfId="32032" xr:uid="{00000000-0005-0000-0000-0000B1620000}"/>
    <cellStyle name="Normal 3 37 6 5" xfId="14535" xr:uid="{00000000-0005-0000-0000-0000B2620000}"/>
    <cellStyle name="Normal 3 37 6 5 2" xfId="32033" xr:uid="{00000000-0005-0000-0000-0000B3620000}"/>
    <cellStyle name="Normal 3 37 6 6" xfId="14536" xr:uid="{00000000-0005-0000-0000-0000B4620000}"/>
    <cellStyle name="Normal 3 37 6 6 2" xfId="32034" xr:uid="{00000000-0005-0000-0000-0000B5620000}"/>
    <cellStyle name="Normal 3 37 6 7" xfId="14537" xr:uid="{00000000-0005-0000-0000-0000B6620000}"/>
    <cellStyle name="Normal 3 37 6 7 2" xfId="32035" xr:uid="{00000000-0005-0000-0000-0000B7620000}"/>
    <cellStyle name="Normal 3 37 6 8" xfId="14538" xr:uid="{00000000-0005-0000-0000-0000B8620000}"/>
    <cellStyle name="Normal 3 37 6 8 2" xfId="32036" xr:uid="{00000000-0005-0000-0000-0000B9620000}"/>
    <cellStyle name="Normal 3 37 6 9" xfId="14539" xr:uid="{00000000-0005-0000-0000-0000BA620000}"/>
    <cellStyle name="Normal 3 37 6 9 2" xfId="32037" xr:uid="{00000000-0005-0000-0000-0000BB620000}"/>
    <cellStyle name="Normal 3 37 7" xfId="14540" xr:uid="{00000000-0005-0000-0000-0000BC620000}"/>
    <cellStyle name="Normal 3 37 7 10" xfId="14541" xr:uid="{00000000-0005-0000-0000-0000BD620000}"/>
    <cellStyle name="Normal 3 37 7 10 2" xfId="32039" xr:uid="{00000000-0005-0000-0000-0000BE620000}"/>
    <cellStyle name="Normal 3 37 7 11" xfId="14542" xr:uid="{00000000-0005-0000-0000-0000BF620000}"/>
    <cellStyle name="Normal 3 37 7 11 2" xfId="32040" xr:uid="{00000000-0005-0000-0000-0000C0620000}"/>
    <cellStyle name="Normal 3 37 7 12" xfId="14543" xr:uid="{00000000-0005-0000-0000-0000C1620000}"/>
    <cellStyle name="Normal 3 37 7 12 2" xfId="32041" xr:uid="{00000000-0005-0000-0000-0000C2620000}"/>
    <cellStyle name="Normal 3 37 7 13" xfId="14544" xr:uid="{00000000-0005-0000-0000-0000C3620000}"/>
    <cellStyle name="Normal 3 37 7 13 2" xfId="32042" xr:uid="{00000000-0005-0000-0000-0000C4620000}"/>
    <cellStyle name="Normal 3 37 7 14" xfId="14545" xr:uid="{00000000-0005-0000-0000-0000C5620000}"/>
    <cellStyle name="Normal 3 37 7 14 2" xfId="32043" xr:uid="{00000000-0005-0000-0000-0000C6620000}"/>
    <cellStyle name="Normal 3 37 7 15" xfId="32038" xr:uid="{00000000-0005-0000-0000-0000C7620000}"/>
    <cellStyle name="Normal 3 37 7 2" xfId="14546" xr:uid="{00000000-0005-0000-0000-0000C8620000}"/>
    <cellStyle name="Normal 3 37 7 2 2" xfId="32044" xr:uid="{00000000-0005-0000-0000-0000C9620000}"/>
    <cellStyle name="Normal 3 37 7 3" xfId="14547" xr:uid="{00000000-0005-0000-0000-0000CA620000}"/>
    <cellStyle name="Normal 3 37 7 3 2" xfId="32045" xr:uid="{00000000-0005-0000-0000-0000CB620000}"/>
    <cellStyle name="Normal 3 37 7 4" xfId="14548" xr:uid="{00000000-0005-0000-0000-0000CC620000}"/>
    <cellStyle name="Normal 3 37 7 4 2" xfId="32046" xr:uid="{00000000-0005-0000-0000-0000CD620000}"/>
    <cellStyle name="Normal 3 37 7 5" xfId="14549" xr:uid="{00000000-0005-0000-0000-0000CE620000}"/>
    <cellStyle name="Normal 3 37 7 5 2" xfId="32047" xr:uid="{00000000-0005-0000-0000-0000CF620000}"/>
    <cellStyle name="Normal 3 37 7 6" xfId="14550" xr:uid="{00000000-0005-0000-0000-0000D0620000}"/>
    <cellStyle name="Normal 3 37 7 6 2" xfId="32048" xr:uid="{00000000-0005-0000-0000-0000D1620000}"/>
    <cellStyle name="Normal 3 37 7 7" xfId="14551" xr:uid="{00000000-0005-0000-0000-0000D2620000}"/>
    <cellStyle name="Normal 3 37 7 7 2" xfId="32049" xr:uid="{00000000-0005-0000-0000-0000D3620000}"/>
    <cellStyle name="Normal 3 37 7 8" xfId="14552" xr:uid="{00000000-0005-0000-0000-0000D4620000}"/>
    <cellStyle name="Normal 3 37 7 8 2" xfId="32050" xr:uid="{00000000-0005-0000-0000-0000D5620000}"/>
    <cellStyle name="Normal 3 37 7 9" xfId="14553" xr:uid="{00000000-0005-0000-0000-0000D6620000}"/>
    <cellStyle name="Normal 3 37 7 9 2" xfId="32051" xr:uid="{00000000-0005-0000-0000-0000D7620000}"/>
    <cellStyle name="Normal 3 37 8" xfId="14554" xr:uid="{00000000-0005-0000-0000-0000D8620000}"/>
    <cellStyle name="Normal 3 37 8 10" xfId="14555" xr:uid="{00000000-0005-0000-0000-0000D9620000}"/>
    <cellStyle name="Normal 3 37 8 10 2" xfId="32053" xr:uid="{00000000-0005-0000-0000-0000DA620000}"/>
    <cellStyle name="Normal 3 37 8 11" xfId="14556" xr:uid="{00000000-0005-0000-0000-0000DB620000}"/>
    <cellStyle name="Normal 3 37 8 11 2" xfId="32054" xr:uid="{00000000-0005-0000-0000-0000DC620000}"/>
    <cellStyle name="Normal 3 37 8 12" xfId="14557" xr:uid="{00000000-0005-0000-0000-0000DD620000}"/>
    <cellStyle name="Normal 3 37 8 12 2" xfId="32055" xr:uid="{00000000-0005-0000-0000-0000DE620000}"/>
    <cellStyle name="Normal 3 37 8 13" xfId="14558" xr:uid="{00000000-0005-0000-0000-0000DF620000}"/>
    <cellStyle name="Normal 3 37 8 13 2" xfId="32056" xr:uid="{00000000-0005-0000-0000-0000E0620000}"/>
    <cellStyle name="Normal 3 37 8 14" xfId="14559" xr:uid="{00000000-0005-0000-0000-0000E1620000}"/>
    <cellStyle name="Normal 3 37 8 14 2" xfId="32057" xr:uid="{00000000-0005-0000-0000-0000E2620000}"/>
    <cellStyle name="Normal 3 37 8 15" xfId="32052" xr:uid="{00000000-0005-0000-0000-0000E3620000}"/>
    <cellStyle name="Normal 3 37 8 2" xfId="14560" xr:uid="{00000000-0005-0000-0000-0000E4620000}"/>
    <cellStyle name="Normal 3 37 8 2 2" xfId="32058" xr:uid="{00000000-0005-0000-0000-0000E5620000}"/>
    <cellStyle name="Normal 3 37 8 3" xfId="14561" xr:uid="{00000000-0005-0000-0000-0000E6620000}"/>
    <cellStyle name="Normal 3 37 8 3 2" xfId="32059" xr:uid="{00000000-0005-0000-0000-0000E7620000}"/>
    <cellStyle name="Normal 3 37 8 4" xfId="14562" xr:uid="{00000000-0005-0000-0000-0000E8620000}"/>
    <cellStyle name="Normal 3 37 8 4 2" xfId="32060" xr:uid="{00000000-0005-0000-0000-0000E9620000}"/>
    <cellStyle name="Normal 3 37 8 5" xfId="14563" xr:uid="{00000000-0005-0000-0000-0000EA620000}"/>
    <cellStyle name="Normal 3 37 8 5 2" xfId="32061" xr:uid="{00000000-0005-0000-0000-0000EB620000}"/>
    <cellStyle name="Normal 3 37 8 6" xfId="14564" xr:uid="{00000000-0005-0000-0000-0000EC620000}"/>
    <cellStyle name="Normal 3 37 8 6 2" xfId="32062" xr:uid="{00000000-0005-0000-0000-0000ED620000}"/>
    <cellStyle name="Normal 3 37 8 7" xfId="14565" xr:uid="{00000000-0005-0000-0000-0000EE620000}"/>
    <cellStyle name="Normal 3 37 8 7 2" xfId="32063" xr:uid="{00000000-0005-0000-0000-0000EF620000}"/>
    <cellStyle name="Normal 3 37 8 8" xfId="14566" xr:uid="{00000000-0005-0000-0000-0000F0620000}"/>
    <cellStyle name="Normal 3 37 8 8 2" xfId="32064" xr:uid="{00000000-0005-0000-0000-0000F1620000}"/>
    <cellStyle name="Normal 3 37 8 9" xfId="14567" xr:uid="{00000000-0005-0000-0000-0000F2620000}"/>
    <cellStyle name="Normal 3 37 8 9 2" xfId="32065" xr:uid="{00000000-0005-0000-0000-0000F3620000}"/>
    <cellStyle name="Normal 3 37 9" xfId="14568" xr:uid="{00000000-0005-0000-0000-0000F4620000}"/>
    <cellStyle name="Normal 3 37 9 10" xfId="14569" xr:uid="{00000000-0005-0000-0000-0000F5620000}"/>
    <cellStyle name="Normal 3 37 9 10 2" xfId="32067" xr:uid="{00000000-0005-0000-0000-0000F6620000}"/>
    <cellStyle name="Normal 3 37 9 11" xfId="14570" xr:uid="{00000000-0005-0000-0000-0000F7620000}"/>
    <cellStyle name="Normal 3 37 9 11 2" xfId="32068" xr:uid="{00000000-0005-0000-0000-0000F8620000}"/>
    <cellStyle name="Normal 3 37 9 12" xfId="14571" xr:uid="{00000000-0005-0000-0000-0000F9620000}"/>
    <cellStyle name="Normal 3 37 9 12 2" xfId="32069" xr:uid="{00000000-0005-0000-0000-0000FA620000}"/>
    <cellStyle name="Normal 3 37 9 13" xfId="14572" xr:uid="{00000000-0005-0000-0000-0000FB620000}"/>
    <cellStyle name="Normal 3 37 9 13 2" xfId="32070" xr:uid="{00000000-0005-0000-0000-0000FC620000}"/>
    <cellStyle name="Normal 3 37 9 14" xfId="14573" xr:uid="{00000000-0005-0000-0000-0000FD620000}"/>
    <cellStyle name="Normal 3 37 9 14 2" xfId="32071" xr:uid="{00000000-0005-0000-0000-0000FE620000}"/>
    <cellStyle name="Normal 3 37 9 15" xfId="32066" xr:uid="{00000000-0005-0000-0000-0000FF620000}"/>
    <cellStyle name="Normal 3 37 9 2" xfId="14574" xr:uid="{00000000-0005-0000-0000-000000630000}"/>
    <cellStyle name="Normal 3 37 9 2 2" xfId="32072" xr:uid="{00000000-0005-0000-0000-000001630000}"/>
    <cellStyle name="Normal 3 37 9 3" xfId="14575" xr:uid="{00000000-0005-0000-0000-000002630000}"/>
    <cellStyle name="Normal 3 37 9 3 2" xfId="32073" xr:uid="{00000000-0005-0000-0000-000003630000}"/>
    <cellStyle name="Normal 3 37 9 4" xfId="14576" xr:uid="{00000000-0005-0000-0000-000004630000}"/>
    <cellStyle name="Normal 3 37 9 4 2" xfId="32074" xr:uid="{00000000-0005-0000-0000-000005630000}"/>
    <cellStyle name="Normal 3 37 9 5" xfId="14577" xr:uid="{00000000-0005-0000-0000-000006630000}"/>
    <cellStyle name="Normal 3 37 9 5 2" xfId="32075" xr:uid="{00000000-0005-0000-0000-000007630000}"/>
    <cellStyle name="Normal 3 37 9 6" xfId="14578" xr:uid="{00000000-0005-0000-0000-000008630000}"/>
    <cellStyle name="Normal 3 37 9 6 2" xfId="32076" xr:uid="{00000000-0005-0000-0000-000009630000}"/>
    <cellStyle name="Normal 3 37 9 7" xfId="14579" xr:uid="{00000000-0005-0000-0000-00000A630000}"/>
    <cellStyle name="Normal 3 37 9 7 2" xfId="32077" xr:uid="{00000000-0005-0000-0000-00000B630000}"/>
    <cellStyle name="Normal 3 37 9 8" xfId="14580" xr:uid="{00000000-0005-0000-0000-00000C630000}"/>
    <cellStyle name="Normal 3 37 9 8 2" xfId="32078" xr:uid="{00000000-0005-0000-0000-00000D630000}"/>
    <cellStyle name="Normal 3 37 9 9" xfId="14581" xr:uid="{00000000-0005-0000-0000-00000E630000}"/>
    <cellStyle name="Normal 3 37 9 9 2" xfId="32079" xr:uid="{00000000-0005-0000-0000-00000F630000}"/>
    <cellStyle name="Normal 3 38" xfId="14582" xr:uid="{00000000-0005-0000-0000-000010630000}"/>
    <cellStyle name="Normal 3 38 10" xfId="14583" xr:uid="{00000000-0005-0000-0000-000011630000}"/>
    <cellStyle name="Normal 3 38 10 10" xfId="14584" xr:uid="{00000000-0005-0000-0000-000012630000}"/>
    <cellStyle name="Normal 3 38 10 10 2" xfId="32082" xr:uid="{00000000-0005-0000-0000-000013630000}"/>
    <cellStyle name="Normal 3 38 10 11" xfId="14585" xr:uid="{00000000-0005-0000-0000-000014630000}"/>
    <cellStyle name="Normal 3 38 10 11 2" xfId="32083" xr:uid="{00000000-0005-0000-0000-000015630000}"/>
    <cellStyle name="Normal 3 38 10 12" xfId="14586" xr:uid="{00000000-0005-0000-0000-000016630000}"/>
    <cellStyle name="Normal 3 38 10 12 2" xfId="32084" xr:uid="{00000000-0005-0000-0000-000017630000}"/>
    <cellStyle name="Normal 3 38 10 13" xfId="14587" xr:uid="{00000000-0005-0000-0000-000018630000}"/>
    <cellStyle name="Normal 3 38 10 13 2" xfId="32085" xr:uid="{00000000-0005-0000-0000-000019630000}"/>
    <cellStyle name="Normal 3 38 10 14" xfId="14588" xr:uid="{00000000-0005-0000-0000-00001A630000}"/>
    <cellStyle name="Normal 3 38 10 14 2" xfId="32086" xr:uid="{00000000-0005-0000-0000-00001B630000}"/>
    <cellStyle name="Normal 3 38 10 15" xfId="32081" xr:uid="{00000000-0005-0000-0000-00001C630000}"/>
    <cellStyle name="Normal 3 38 10 2" xfId="14589" xr:uid="{00000000-0005-0000-0000-00001D630000}"/>
    <cellStyle name="Normal 3 38 10 2 2" xfId="32087" xr:uid="{00000000-0005-0000-0000-00001E630000}"/>
    <cellStyle name="Normal 3 38 10 3" xfId="14590" xr:uid="{00000000-0005-0000-0000-00001F630000}"/>
    <cellStyle name="Normal 3 38 10 3 2" xfId="32088" xr:uid="{00000000-0005-0000-0000-000020630000}"/>
    <cellStyle name="Normal 3 38 10 4" xfId="14591" xr:uid="{00000000-0005-0000-0000-000021630000}"/>
    <cellStyle name="Normal 3 38 10 4 2" xfId="32089" xr:uid="{00000000-0005-0000-0000-000022630000}"/>
    <cellStyle name="Normal 3 38 10 5" xfId="14592" xr:uid="{00000000-0005-0000-0000-000023630000}"/>
    <cellStyle name="Normal 3 38 10 5 2" xfId="32090" xr:uid="{00000000-0005-0000-0000-000024630000}"/>
    <cellStyle name="Normal 3 38 10 6" xfId="14593" xr:uid="{00000000-0005-0000-0000-000025630000}"/>
    <cellStyle name="Normal 3 38 10 6 2" xfId="32091" xr:uid="{00000000-0005-0000-0000-000026630000}"/>
    <cellStyle name="Normal 3 38 10 7" xfId="14594" xr:uid="{00000000-0005-0000-0000-000027630000}"/>
    <cellStyle name="Normal 3 38 10 7 2" xfId="32092" xr:uid="{00000000-0005-0000-0000-000028630000}"/>
    <cellStyle name="Normal 3 38 10 8" xfId="14595" xr:uid="{00000000-0005-0000-0000-000029630000}"/>
    <cellStyle name="Normal 3 38 10 8 2" xfId="32093" xr:uid="{00000000-0005-0000-0000-00002A630000}"/>
    <cellStyle name="Normal 3 38 10 9" xfId="14596" xr:uid="{00000000-0005-0000-0000-00002B630000}"/>
    <cellStyle name="Normal 3 38 10 9 2" xfId="32094" xr:uid="{00000000-0005-0000-0000-00002C630000}"/>
    <cellStyle name="Normal 3 38 11" xfId="14597" xr:uid="{00000000-0005-0000-0000-00002D630000}"/>
    <cellStyle name="Normal 3 38 11 2" xfId="32095" xr:uid="{00000000-0005-0000-0000-00002E630000}"/>
    <cellStyle name="Normal 3 38 12" xfId="14598" xr:uid="{00000000-0005-0000-0000-00002F630000}"/>
    <cellStyle name="Normal 3 38 12 2" xfId="32096" xr:uid="{00000000-0005-0000-0000-000030630000}"/>
    <cellStyle name="Normal 3 38 13" xfId="14599" xr:uid="{00000000-0005-0000-0000-000031630000}"/>
    <cellStyle name="Normal 3 38 13 2" xfId="32097" xr:uid="{00000000-0005-0000-0000-000032630000}"/>
    <cellStyle name="Normal 3 38 14" xfId="14600" xr:uid="{00000000-0005-0000-0000-000033630000}"/>
    <cellStyle name="Normal 3 38 14 2" xfId="32098" xr:uid="{00000000-0005-0000-0000-000034630000}"/>
    <cellStyle name="Normal 3 38 15" xfId="14601" xr:uid="{00000000-0005-0000-0000-000035630000}"/>
    <cellStyle name="Normal 3 38 15 2" xfId="32099" xr:uid="{00000000-0005-0000-0000-000036630000}"/>
    <cellStyle name="Normal 3 38 16" xfId="14602" xr:uid="{00000000-0005-0000-0000-000037630000}"/>
    <cellStyle name="Normal 3 38 16 2" xfId="32100" xr:uid="{00000000-0005-0000-0000-000038630000}"/>
    <cellStyle name="Normal 3 38 17" xfId="14603" xr:uid="{00000000-0005-0000-0000-000039630000}"/>
    <cellStyle name="Normal 3 38 17 2" xfId="32101" xr:uid="{00000000-0005-0000-0000-00003A630000}"/>
    <cellStyle name="Normal 3 38 18" xfId="14604" xr:uid="{00000000-0005-0000-0000-00003B630000}"/>
    <cellStyle name="Normal 3 38 18 2" xfId="32102" xr:uid="{00000000-0005-0000-0000-00003C630000}"/>
    <cellStyle name="Normal 3 38 19" xfId="14605" xr:uid="{00000000-0005-0000-0000-00003D630000}"/>
    <cellStyle name="Normal 3 38 19 2" xfId="32103" xr:uid="{00000000-0005-0000-0000-00003E630000}"/>
    <cellStyle name="Normal 3 38 2" xfId="14606" xr:uid="{00000000-0005-0000-0000-00003F630000}"/>
    <cellStyle name="Normal 3 38 2 10" xfId="14607" xr:uid="{00000000-0005-0000-0000-000040630000}"/>
    <cellStyle name="Normal 3 38 2 10 2" xfId="32105" xr:uid="{00000000-0005-0000-0000-000041630000}"/>
    <cellStyle name="Normal 3 38 2 11" xfId="14608" xr:uid="{00000000-0005-0000-0000-000042630000}"/>
    <cellStyle name="Normal 3 38 2 11 2" xfId="32106" xr:uid="{00000000-0005-0000-0000-000043630000}"/>
    <cellStyle name="Normal 3 38 2 12" xfId="14609" xr:uid="{00000000-0005-0000-0000-000044630000}"/>
    <cellStyle name="Normal 3 38 2 12 2" xfId="32107" xr:uid="{00000000-0005-0000-0000-000045630000}"/>
    <cellStyle name="Normal 3 38 2 13" xfId="14610" xr:uid="{00000000-0005-0000-0000-000046630000}"/>
    <cellStyle name="Normal 3 38 2 13 2" xfId="32108" xr:uid="{00000000-0005-0000-0000-000047630000}"/>
    <cellStyle name="Normal 3 38 2 14" xfId="14611" xr:uid="{00000000-0005-0000-0000-000048630000}"/>
    <cellStyle name="Normal 3 38 2 14 2" xfId="32109" xr:uid="{00000000-0005-0000-0000-000049630000}"/>
    <cellStyle name="Normal 3 38 2 15" xfId="14612" xr:uid="{00000000-0005-0000-0000-00004A630000}"/>
    <cellStyle name="Normal 3 38 2 15 2" xfId="32110" xr:uid="{00000000-0005-0000-0000-00004B630000}"/>
    <cellStyle name="Normal 3 38 2 16" xfId="32104" xr:uid="{00000000-0005-0000-0000-00004C630000}"/>
    <cellStyle name="Normal 3 38 2 2" xfId="14613" xr:uid="{00000000-0005-0000-0000-00004D630000}"/>
    <cellStyle name="Normal 3 38 2 2 10" xfId="14614" xr:uid="{00000000-0005-0000-0000-00004E630000}"/>
    <cellStyle name="Normal 3 38 2 2 10 2" xfId="32112" xr:uid="{00000000-0005-0000-0000-00004F630000}"/>
    <cellStyle name="Normal 3 38 2 2 11" xfId="14615" xr:uid="{00000000-0005-0000-0000-000050630000}"/>
    <cellStyle name="Normal 3 38 2 2 11 2" xfId="32113" xr:uid="{00000000-0005-0000-0000-000051630000}"/>
    <cellStyle name="Normal 3 38 2 2 12" xfId="14616" xr:uid="{00000000-0005-0000-0000-000052630000}"/>
    <cellStyle name="Normal 3 38 2 2 12 2" xfId="32114" xr:uid="{00000000-0005-0000-0000-000053630000}"/>
    <cellStyle name="Normal 3 38 2 2 13" xfId="14617" xr:uid="{00000000-0005-0000-0000-000054630000}"/>
    <cellStyle name="Normal 3 38 2 2 13 2" xfId="32115" xr:uid="{00000000-0005-0000-0000-000055630000}"/>
    <cellStyle name="Normal 3 38 2 2 14" xfId="14618" xr:uid="{00000000-0005-0000-0000-000056630000}"/>
    <cellStyle name="Normal 3 38 2 2 14 2" xfId="32116" xr:uid="{00000000-0005-0000-0000-000057630000}"/>
    <cellStyle name="Normal 3 38 2 2 15" xfId="32111" xr:uid="{00000000-0005-0000-0000-000058630000}"/>
    <cellStyle name="Normal 3 38 2 2 2" xfId="14619" xr:uid="{00000000-0005-0000-0000-000059630000}"/>
    <cellStyle name="Normal 3 38 2 2 2 2" xfId="32117" xr:uid="{00000000-0005-0000-0000-00005A630000}"/>
    <cellStyle name="Normal 3 38 2 2 3" xfId="14620" xr:uid="{00000000-0005-0000-0000-00005B630000}"/>
    <cellStyle name="Normal 3 38 2 2 3 2" xfId="32118" xr:uid="{00000000-0005-0000-0000-00005C630000}"/>
    <cellStyle name="Normal 3 38 2 2 4" xfId="14621" xr:uid="{00000000-0005-0000-0000-00005D630000}"/>
    <cellStyle name="Normal 3 38 2 2 4 2" xfId="32119" xr:uid="{00000000-0005-0000-0000-00005E630000}"/>
    <cellStyle name="Normal 3 38 2 2 5" xfId="14622" xr:uid="{00000000-0005-0000-0000-00005F630000}"/>
    <cellStyle name="Normal 3 38 2 2 5 2" xfId="32120" xr:uid="{00000000-0005-0000-0000-000060630000}"/>
    <cellStyle name="Normal 3 38 2 2 6" xfId="14623" xr:uid="{00000000-0005-0000-0000-000061630000}"/>
    <cellStyle name="Normal 3 38 2 2 6 2" xfId="32121" xr:uid="{00000000-0005-0000-0000-000062630000}"/>
    <cellStyle name="Normal 3 38 2 2 7" xfId="14624" xr:uid="{00000000-0005-0000-0000-000063630000}"/>
    <cellStyle name="Normal 3 38 2 2 7 2" xfId="32122" xr:uid="{00000000-0005-0000-0000-000064630000}"/>
    <cellStyle name="Normal 3 38 2 2 8" xfId="14625" xr:uid="{00000000-0005-0000-0000-000065630000}"/>
    <cellStyle name="Normal 3 38 2 2 8 2" xfId="32123" xr:uid="{00000000-0005-0000-0000-000066630000}"/>
    <cellStyle name="Normal 3 38 2 2 9" xfId="14626" xr:uid="{00000000-0005-0000-0000-000067630000}"/>
    <cellStyle name="Normal 3 38 2 2 9 2" xfId="32124" xr:uid="{00000000-0005-0000-0000-000068630000}"/>
    <cellStyle name="Normal 3 38 2 3" xfId="14627" xr:uid="{00000000-0005-0000-0000-000069630000}"/>
    <cellStyle name="Normal 3 38 2 3 2" xfId="32125" xr:uid="{00000000-0005-0000-0000-00006A630000}"/>
    <cellStyle name="Normal 3 38 2 4" xfId="14628" xr:uid="{00000000-0005-0000-0000-00006B630000}"/>
    <cellStyle name="Normal 3 38 2 4 2" xfId="32126" xr:uid="{00000000-0005-0000-0000-00006C630000}"/>
    <cellStyle name="Normal 3 38 2 5" xfId="14629" xr:uid="{00000000-0005-0000-0000-00006D630000}"/>
    <cellStyle name="Normal 3 38 2 5 2" xfId="32127" xr:uid="{00000000-0005-0000-0000-00006E630000}"/>
    <cellStyle name="Normal 3 38 2 6" xfId="14630" xr:uid="{00000000-0005-0000-0000-00006F630000}"/>
    <cellStyle name="Normal 3 38 2 6 2" xfId="32128" xr:uid="{00000000-0005-0000-0000-000070630000}"/>
    <cellStyle name="Normal 3 38 2 7" xfId="14631" xr:uid="{00000000-0005-0000-0000-000071630000}"/>
    <cellStyle name="Normal 3 38 2 7 2" xfId="32129" xr:uid="{00000000-0005-0000-0000-000072630000}"/>
    <cellStyle name="Normal 3 38 2 8" xfId="14632" xr:uid="{00000000-0005-0000-0000-000073630000}"/>
    <cellStyle name="Normal 3 38 2 8 2" xfId="32130" xr:uid="{00000000-0005-0000-0000-000074630000}"/>
    <cellStyle name="Normal 3 38 2 9" xfId="14633" xr:uid="{00000000-0005-0000-0000-000075630000}"/>
    <cellStyle name="Normal 3 38 2 9 2" xfId="32131" xr:uid="{00000000-0005-0000-0000-000076630000}"/>
    <cellStyle name="Normal 3 38 20" xfId="14634" xr:uid="{00000000-0005-0000-0000-000077630000}"/>
    <cellStyle name="Normal 3 38 20 2" xfId="32132" xr:uid="{00000000-0005-0000-0000-000078630000}"/>
    <cellStyle name="Normal 3 38 21" xfId="14635" xr:uid="{00000000-0005-0000-0000-000079630000}"/>
    <cellStyle name="Normal 3 38 21 2" xfId="32133" xr:uid="{00000000-0005-0000-0000-00007A630000}"/>
    <cellStyle name="Normal 3 38 22" xfId="14636" xr:uid="{00000000-0005-0000-0000-00007B630000}"/>
    <cellStyle name="Normal 3 38 22 2" xfId="32134" xr:uid="{00000000-0005-0000-0000-00007C630000}"/>
    <cellStyle name="Normal 3 38 23" xfId="14637" xr:uid="{00000000-0005-0000-0000-00007D630000}"/>
    <cellStyle name="Normal 3 38 23 2" xfId="32135" xr:uid="{00000000-0005-0000-0000-00007E630000}"/>
    <cellStyle name="Normal 3 38 24" xfId="32080" xr:uid="{00000000-0005-0000-0000-00007F630000}"/>
    <cellStyle name="Normal 3 38 3" xfId="14638" xr:uid="{00000000-0005-0000-0000-000080630000}"/>
    <cellStyle name="Normal 3 38 3 10" xfId="14639" xr:uid="{00000000-0005-0000-0000-000081630000}"/>
    <cellStyle name="Normal 3 38 3 10 2" xfId="32137" xr:uid="{00000000-0005-0000-0000-000082630000}"/>
    <cellStyle name="Normal 3 38 3 11" xfId="14640" xr:uid="{00000000-0005-0000-0000-000083630000}"/>
    <cellStyle name="Normal 3 38 3 11 2" xfId="32138" xr:uid="{00000000-0005-0000-0000-000084630000}"/>
    <cellStyle name="Normal 3 38 3 12" xfId="14641" xr:uid="{00000000-0005-0000-0000-000085630000}"/>
    <cellStyle name="Normal 3 38 3 12 2" xfId="32139" xr:uid="{00000000-0005-0000-0000-000086630000}"/>
    <cellStyle name="Normal 3 38 3 13" xfId="14642" xr:uid="{00000000-0005-0000-0000-000087630000}"/>
    <cellStyle name="Normal 3 38 3 13 2" xfId="32140" xr:uid="{00000000-0005-0000-0000-000088630000}"/>
    <cellStyle name="Normal 3 38 3 14" xfId="14643" xr:uid="{00000000-0005-0000-0000-000089630000}"/>
    <cellStyle name="Normal 3 38 3 14 2" xfId="32141" xr:uid="{00000000-0005-0000-0000-00008A630000}"/>
    <cellStyle name="Normal 3 38 3 15" xfId="14644" xr:uid="{00000000-0005-0000-0000-00008B630000}"/>
    <cellStyle name="Normal 3 38 3 15 2" xfId="32142" xr:uid="{00000000-0005-0000-0000-00008C630000}"/>
    <cellStyle name="Normal 3 38 3 16" xfId="32136" xr:uid="{00000000-0005-0000-0000-00008D630000}"/>
    <cellStyle name="Normal 3 38 3 2" xfId="14645" xr:uid="{00000000-0005-0000-0000-00008E630000}"/>
    <cellStyle name="Normal 3 38 3 2 10" xfId="14646" xr:uid="{00000000-0005-0000-0000-00008F630000}"/>
    <cellStyle name="Normal 3 38 3 2 10 2" xfId="32144" xr:uid="{00000000-0005-0000-0000-000090630000}"/>
    <cellStyle name="Normal 3 38 3 2 11" xfId="14647" xr:uid="{00000000-0005-0000-0000-000091630000}"/>
    <cellStyle name="Normal 3 38 3 2 11 2" xfId="32145" xr:uid="{00000000-0005-0000-0000-000092630000}"/>
    <cellStyle name="Normal 3 38 3 2 12" xfId="14648" xr:uid="{00000000-0005-0000-0000-000093630000}"/>
    <cellStyle name="Normal 3 38 3 2 12 2" xfId="32146" xr:uid="{00000000-0005-0000-0000-000094630000}"/>
    <cellStyle name="Normal 3 38 3 2 13" xfId="14649" xr:uid="{00000000-0005-0000-0000-000095630000}"/>
    <cellStyle name="Normal 3 38 3 2 13 2" xfId="32147" xr:uid="{00000000-0005-0000-0000-000096630000}"/>
    <cellStyle name="Normal 3 38 3 2 14" xfId="14650" xr:uid="{00000000-0005-0000-0000-000097630000}"/>
    <cellStyle name="Normal 3 38 3 2 14 2" xfId="32148" xr:uid="{00000000-0005-0000-0000-000098630000}"/>
    <cellStyle name="Normal 3 38 3 2 15" xfId="32143" xr:uid="{00000000-0005-0000-0000-000099630000}"/>
    <cellStyle name="Normal 3 38 3 2 2" xfId="14651" xr:uid="{00000000-0005-0000-0000-00009A630000}"/>
    <cellStyle name="Normal 3 38 3 2 2 2" xfId="32149" xr:uid="{00000000-0005-0000-0000-00009B630000}"/>
    <cellStyle name="Normal 3 38 3 2 3" xfId="14652" xr:uid="{00000000-0005-0000-0000-00009C630000}"/>
    <cellStyle name="Normal 3 38 3 2 3 2" xfId="32150" xr:uid="{00000000-0005-0000-0000-00009D630000}"/>
    <cellStyle name="Normal 3 38 3 2 4" xfId="14653" xr:uid="{00000000-0005-0000-0000-00009E630000}"/>
    <cellStyle name="Normal 3 38 3 2 4 2" xfId="32151" xr:uid="{00000000-0005-0000-0000-00009F630000}"/>
    <cellStyle name="Normal 3 38 3 2 5" xfId="14654" xr:uid="{00000000-0005-0000-0000-0000A0630000}"/>
    <cellStyle name="Normal 3 38 3 2 5 2" xfId="32152" xr:uid="{00000000-0005-0000-0000-0000A1630000}"/>
    <cellStyle name="Normal 3 38 3 2 6" xfId="14655" xr:uid="{00000000-0005-0000-0000-0000A2630000}"/>
    <cellStyle name="Normal 3 38 3 2 6 2" xfId="32153" xr:uid="{00000000-0005-0000-0000-0000A3630000}"/>
    <cellStyle name="Normal 3 38 3 2 7" xfId="14656" xr:uid="{00000000-0005-0000-0000-0000A4630000}"/>
    <cellStyle name="Normal 3 38 3 2 7 2" xfId="32154" xr:uid="{00000000-0005-0000-0000-0000A5630000}"/>
    <cellStyle name="Normal 3 38 3 2 8" xfId="14657" xr:uid="{00000000-0005-0000-0000-0000A6630000}"/>
    <cellStyle name="Normal 3 38 3 2 8 2" xfId="32155" xr:uid="{00000000-0005-0000-0000-0000A7630000}"/>
    <cellStyle name="Normal 3 38 3 2 9" xfId="14658" xr:uid="{00000000-0005-0000-0000-0000A8630000}"/>
    <cellStyle name="Normal 3 38 3 2 9 2" xfId="32156" xr:uid="{00000000-0005-0000-0000-0000A9630000}"/>
    <cellStyle name="Normal 3 38 3 3" xfId="14659" xr:uid="{00000000-0005-0000-0000-0000AA630000}"/>
    <cellStyle name="Normal 3 38 3 3 2" xfId="32157" xr:uid="{00000000-0005-0000-0000-0000AB630000}"/>
    <cellStyle name="Normal 3 38 3 4" xfId="14660" xr:uid="{00000000-0005-0000-0000-0000AC630000}"/>
    <cellStyle name="Normal 3 38 3 4 2" xfId="32158" xr:uid="{00000000-0005-0000-0000-0000AD630000}"/>
    <cellStyle name="Normal 3 38 3 5" xfId="14661" xr:uid="{00000000-0005-0000-0000-0000AE630000}"/>
    <cellStyle name="Normal 3 38 3 5 2" xfId="32159" xr:uid="{00000000-0005-0000-0000-0000AF630000}"/>
    <cellStyle name="Normal 3 38 3 6" xfId="14662" xr:uid="{00000000-0005-0000-0000-0000B0630000}"/>
    <cellStyle name="Normal 3 38 3 6 2" xfId="32160" xr:uid="{00000000-0005-0000-0000-0000B1630000}"/>
    <cellStyle name="Normal 3 38 3 7" xfId="14663" xr:uid="{00000000-0005-0000-0000-0000B2630000}"/>
    <cellStyle name="Normal 3 38 3 7 2" xfId="32161" xr:uid="{00000000-0005-0000-0000-0000B3630000}"/>
    <cellStyle name="Normal 3 38 3 8" xfId="14664" xr:uid="{00000000-0005-0000-0000-0000B4630000}"/>
    <cellStyle name="Normal 3 38 3 8 2" xfId="32162" xr:uid="{00000000-0005-0000-0000-0000B5630000}"/>
    <cellStyle name="Normal 3 38 3 9" xfId="14665" xr:uid="{00000000-0005-0000-0000-0000B6630000}"/>
    <cellStyle name="Normal 3 38 3 9 2" xfId="32163" xr:uid="{00000000-0005-0000-0000-0000B7630000}"/>
    <cellStyle name="Normal 3 38 4" xfId="14666" xr:uid="{00000000-0005-0000-0000-0000B8630000}"/>
    <cellStyle name="Normal 3 38 4 10" xfId="14667" xr:uid="{00000000-0005-0000-0000-0000B9630000}"/>
    <cellStyle name="Normal 3 38 4 10 2" xfId="32165" xr:uid="{00000000-0005-0000-0000-0000BA630000}"/>
    <cellStyle name="Normal 3 38 4 11" xfId="14668" xr:uid="{00000000-0005-0000-0000-0000BB630000}"/>
    <cellStyle name="Normal 3 38 4 11 2" xfId="32166" xr:uid="{00000000-0005-0000-0000-0000BC630000}"/>
    <cellStyle name="Normal 3 38 4 12" xfId="14669" xr:uid="{00000000-0005-0000-0000-0000BD630000}"/>
    <cellStyle name="Normal 3 38 4 12 2" xfId="32167" xr:uid="{00000000-0005-0000-0000-0000BE630000}"/>
    <cellStyle name="Normal 3 38 4 13" xfId="14670" xr:uid="{00000000-0005-0000-0000-0000BF630000}"/>
    <cellStyle name="Normal 3 38 4 13 2" xfId="32168" xr:uid="{00000000-0005-0000-0000-0000C0630000}"/>
    <cellStyle name="Normal 3 38 4 14" xfId="14671" xr:uid="{00000000-0005-0000-0000-0000C1630000}"/>
    <cellStyle name="Normal 3 38 4 14 2" xfId="32169" xr:uid="{00000000-0005-0000-0000-0000C2630000}"/>
    <cellStyle name="Normal 3 38 4 15" xfId="14672" xr:uid="{00000000-0005-0000-0000-0000C3630000}"/>
    <cellStyle name="Normal 3 38 4 15 2" xfId="32170" xr:uid="{00000000-0005-0000-0000-0000C4630000}"/>
    <cellStyle name="Normal 3 38 4 16" xfId="32164" xr:uid="{00000000-0005-0000-0000-0000C5630000}"/>
    <cellStyle name="Normal 3 38 4 2" xfId="14673" xr:uid="{00000000-0005-0000-0000-0000C6630000}"/>
    <cellStyle name="Normal 3 38 4 2 10" xfId="14674" xr:uid="{00000000-0005-0000-0000-0000C7630000}"/>
    <cellStyle name="Normal 3 38 4 2 10 2" xfId="32172" xr:uid="{00000000-0005-0000-0000-0000C8630000}"/>
    <cellStyle name="Normal 3 38 4 2 11" xfId="14675" xr:uid="{00000000-0005-0000-0000-0000C9630000}"/>
    <cellStyle name="Normal 3 38 4 2 11 2" xfId="32173" xr:uid="{00000000-0005-0000-0000-0000CA630000}"/>
    <cellStyle name="Normal 3 38 4 2 12" xfId="14676" xr:uid="{00000000-0005-0000-0000-0000CB630000}"/>
    <cellStyle name="Normal 3 38 4 2 12 2" xfId="32174" xr:uid="{00000000-0005-0000-0000-0000CC630000}"/>
    <cellStyle name="Normal 3 38 4 2 13" xfId="14677" xr:uid="{00000000-0005-0000-0000-0000CD630000}"/>
    <cellStyle name="Normal 3 38 4 2 13 2" xfId="32175" xr:uid="{00000000-0005-0000-0000-0000CE630000}"/>
    <cellStyle name="Normal 3 38 4 2 14" xfId="14678" xr:uid="{00000000-0005-0000-0000-0000CF630000}"/>
    <cellStyle name="Normal 3 38 4 2 14 2" xfId="32176" xr:uid="{00000000-0005-0000-0000-0000D0630000}"/>
    <cellStyle name="Normal 3 38 4 2 15" xfId="32171" xr:uid="{00000000-0005-0000-0000-0000D1630000}"/>
    <cellStyle name="Normal 3 38 4 2 2" xfId="14679" xr:uid="{00000000-0005-0000-0000-0000D2630000}"/>
    <cellStyle name="Normal 3 38 4 2 2 2" xfId="32177" xr:uid="{00000000-0005-0000-0000-0000D3630000}"/>
    <cellStyle name="Normal 3 38 4 2 3" xfId="14680" xr:uid="{00000000-0005-0000-0000-0000D4630000}"/>
    <cellStyle name="Normal 3 38 4 2 3 2" xfId="32178" xr:uid="{00000000-0005-0000-0000-0000D5630000}"/>
    <cellStyle name="Normal 3 38 4 2 4" xfId="14681" xr:uid="{00000000-0005-0000-0000-0000D6630000}"/>
    <cellStyle name="Normal 3 38 4 2 4 2" xfId="32179" xr:uid="{00000000-0005-0000-0000-0000D7630000}"/>
    <cellStyle name="Normal 3 38 4 2 5" xfId="14682" xr:uid="{00000000-0005-0000-0000-0000D8630000}"/>
    <cellStyle name="Normal 3 38 4 2 5 2" xfId="32180" xr:uid="{00000000-0005-0000-0000-0000D9630000}"/>
    <cellStyle name="Normal 3 38 4 2 6" xfId="14683" xr:uid="{00000000-0005-0000-0000-0000DA630000}"/>
    <cellStyle name="Normal 3 38 4 2 6 2" xfId="32181" xr:uid="{00000000-0005-0000-0000-0000DB630000}"/>
    <cellStyle name="Normal 3 38 4 2 7" xfId="14684" xr:uid="{00000000-0005-0000-0000-0000DC630000}"/>
    <cellStyle name="Normal 3 38 4 2 7 2" xfId="32182" xr:uid="{00000000-0005-0000-0000-0000DD630000}"/>
    <cellStyle name="Normal 3 38 4 2 8" xfId="14685" xr:uid="{00000000-0005-0000-0000-0000DE630000}"/>
    <cellStyle name="Normal 3 38 4 2 8 2" xfId="32183" xr:uid="{00000000-0005-0000-0000-0000DF630000}"/>
    <cellStyle name="Normal 3 38 4 2 9" xfId="14686" xr:uid="{00000000-0005-0000-0000-0000E0630000}"/>
    <cellStyle name="Normal 3 38 4 2 9 2" xfId="32184" xr:uid="{00000000-0005-0000-0000-0000E1630000}"/>
    <cellStyle name="Normal 3 38 4 3" xfId="14687" xr:uid="{00000000-0005-0000-0000-0000E2630000}"/>
    <cellStyle name="Normal 3 38 4 3 2" xfId="32185" xr:uid="{00000000-0005-0000-0000-0000E3630000}"/>
    <cellStyle name="Normal 3 38 4 4" xfId="14688" xr:uid="{00000000-0005-0000-0000-0000E4630000}"/>
    <cellStyle name="Normal 3 38 4 4 2" xfId="32186" xr:uid="{00000000-0005-0000-0000-0000E5630000}"/>
    <cellStyle name="Normal 3 38 4 5" xfId="14689" xr:uid="{00000000-0005-0000-0000-0000E6630000}"/>
    <cellStyle name="Normal 3 38 4 5 2" xfId="32187" xr:uid="{00000000-0005-0000-0000-0000E7630000}"/>
    <cellStyle name="Normal 3 38 4 6" xfId="14690" xr:uid="{00000000-0005-0000-0000-0000E8630000}"/>
    <cellStyle name="Normal 3 38 4 6 2" xfId="32188" xr:uid="{00000000-0005-0000-0000-0000E9630000}"/>
    <cellStyle name="Normal 3 38 4 7" xfId="14691" xr:uid="{00000000-0005-0000-0000-0000EA630000}"/>
    <cellStyle name="Normal 3 38 4 7 2" xfId="32189" xr:uid="{00000000-0005-0000-0000-0000EB630000}"/>
    <cellStyle name="Normal 3 38 4 8" xfId="14692" xr:uid="{00000000-0005-0000-0000-0000EC630000}"/>
    <cellStyle name="Normal 3 38 4 8 2" xfId="32190" xr:uid="{00000000-0005-0000-0000-0000ED630000}"/>
    <cellStyle name="Normal 3 38 4 9" xfId="14693" xr:uid="{00000000-0005-0000-0000-0000EE630000}"/>
    <cellStyle name="Normal 3 38 4 9 2" xfId="32191" xr:uid="{00000000-0005-0000-0000-0000EF630000}"/>
    <cellStyle name="Normal 3 38 5" xfId="14694" xr:uid="{00000000-0005-0000-0000-0000F0630000}"/>
    <cellStyle name="Normal 3 38 5 10" xfId="14695" xr:uid="{00000000-0005-0000-0000-0000F1630000}"/>
    <cellStyle name="Normal 3 38 5 10 2" xfId="32193" xr:uid="{00000000-0005-0000-0000-0000F2630000}"/>
    <cellStyle name="Normal 3 38 5 11" xfId="14696" xr:uid="{00000000-0005-0000-0000-0000F3630000}"/>
    <cellStyle name="Normal 3 38 5 11 2" xfId="32194" xr:uid="{00000000-0005-0000-0000-0000F4630000}"/>
    <cellStyle name="Normal 3 38 5 12" xfId="14697" xr:uid="{00000000-0005-0000-0000-0000F5630000}"/>
    <cellStyle name="Normal 3 38 5 12 2" xfId="32195" xr:uid="{00000000-0005-0000-0000-0000F6630000}"/>
    <cellStyle name="Normal 3 38 5 13" xfId="14698" xr:uid="{00000000-0005-0000-0000-0000F7630000}"/>
    <cellStyle name="Normal 3 38 5 13 2" xfId="32196" xr:uid="{00000000-0005-0000-0000-0000F8630000}"/>
    <cellStyle name="Normal 3 38 5 14" xfId="14699" xr:uid="{00000000-0005-0000-0000-0000F9630000}"/>
    <cellStyle name="Normal 3 38 5 14 2" xfId="32197" xr:uid="{00000000-0005-0000-0000-0000FA630000}"/>
    <cellStyle name="Normal 3 38 5 15" xfId="32192" xr:uid="{00000000-0005-0000-0000-0000FB630000}"/>
    <cellStyle name="Normal 3 38 5 2" xfId="14700" xr:uid="{00000000-0005-0000-0000-0000FC630000}"/>
    <cellStyle name="Normal 3 38 5 2 2" xfId="32198" xr:uid="{00000000-0005-0000-0000-0000FD630000}"/>
    <cellStyle name="Normal 3 38 5 3" xfId="14701" xr:uid="{00000000-0005-0000-0000-0000FE630000}"/>
    <cellStyle name="Normal 3 38 5 3 2" xfId="32199" xr:uid="{00000000-0005-0000-0000-0000FF630000}"/>
    <cellStyle name="Normal 3 38 5 4" xfId="14702" xr:uid="{00000000-0005-0000-0000-000000640000}"/>
    <cellStyle name="Normal 3 38 5 4 2" xfId="32200" xr:uid="{00000000-0005-0000-0000-000001640000}"/>
    <cellStyle name="Normal 3 38 5 5" xfId="14703" xr:uid="{00000000-0005-0000-0000-000002640000}"/>
    <cellStyle name="Normal 3 38 5 5 2" xfId="32201" xr:uid="{00000000-0005-0000-0000-000003640000}"/>
    <cellStyle name="Normal 3 38 5 6" xfId="14704" xr:uid="{00000000-0005-0000-0000-000004640000}"/>
    <cellStyle name="Normal 3 38 5 6 2" xfId="32202" xr:uid="{00000000-0005-0000-0000-000005640000}"/>
    <cellStyle name="Normal 3 38 5 7" xfId="14705" xr:uid="{00000000-0005-0000-0000-000006640000}"/>
    <cellStyle name="Normal 3 38 5 7 2" xfId="32203" xr:uid="{00000000-0005-0000-0000-000007640000}"/>
    <cellStyle name="Normal 3 38 5 8" xfId="14706" xr:uid="{00000000-0005-0000-0000-000008640000}"/>
    <cellStyle name="Normal 3 38 5 8 2" xfId="32204" xr:uid="{00000000-0005-0000-0000-000009640000}"/>
    <cellStyle name="Normal 3 38 5 9" xfId="14707" xr:uid="{00000000-0005-0000-0000-00000A640000}"/>
    <cellStyle name="Normal 3 38 5 9 2" xfId="32205" xr:uid="{00000000-0005-0000-0000-00000B640000}"/>
    <cellStyle name="Normal 3 38 6" xfId="14708" xr:uid="{00000000-0005-0000-0000-00000C640000}"/>
    <cellStyle name="Normal 3 38 6 10" xfId="14709" xr:uid="{00000000-0005-0000-0000-00000D640000}"/>
    <cellStyle name="Normal 3 38 6 10 2" xfId="32207" xr:uid="{00000000-0005-0000-0000-00000E640000}"/>
    <cellStyle name="Normal 3 38 6 11" xfId="14710" xr:uid="{00000000-0005-0000-0000-00000F640000}"/>
    <cellStyle name="Normal 3 38 6 11 2" xfId="32208" xr:uid="{00000000-0005-0000-0000-000010640000}"/>
    <cellStyle name="Normal 3 38 6 12" xfId="14711" xr:uid="{00000000-0005-0000-0000-000011640000}"/>
    <cellStyle name="Normal 3 38 6 12 2" xfId="32209" xr:uid="{00000000-0005-0000-0000-000012640000}"/>
    <cellStyle name="Normal 3 38 6 13" xfId="14712" xr:uid="{00000000-0005-0000-0000-000013640000}"/>
    <cellStyle name="Normal 3 38 6 13 2" xfId="32210" xr:uid="{00000000-0005-0000-0000-000014640000}"/>
    <cellStyle name="Normal 3 38 6 14" xfId="14713" xr:uid="{00000000-0005-0000-0000-000015640000}"/>
    <cellStyle name="Normal 3 38 6 14 2" xfId="32211" xr:uid="{00000000-0005-0000-0000-000016640000}"/>
    <cellStyle name="Normal 3 38 6 15" xfId="32206" xr:uid="{00000000-0005-0000-0000-000017640000}"/>
    <cellStyle name="Normal 3 38 6 2" xfId="14714" xr:uid="{00000000-0005-0000-0000-000018640000}"/>
    <cellStyle name="Normal 3 38 6 2 2" xfId="32212" xr:uid="{00000000-0005-0000-0000-000019640000}"/>
    <cellStyle name="Normal 3 38 6 3" xfId="14715" xr:uid="{00000000-0005-0000-0000-00001A640000}"/>
    <cellStyle name="Normal 3 38 6 3 2" xfId="32213" xr:uid="{00000000-0005-0000-0000-00001B640000}"/>
    <cellStyle name="Normal 3 38 6 4" xfId="14716" xr:uid="{00000000-0005-0000-0000-00001C640000}"/>
    <cellStyle name="Normal 3 38 6 4 2" xfId="32214" xr:uid="{00000000-0005-0000-0000-00001D640000}"/>
    <cellStyle name="Normal 3 38 6 5" xfId="14717" xr:uid="{00000000-0005-0000-0000-00001E640000}"/>
    <cellStyle name="Normal 3 38 6 5 2" xfId="32215" xr:uid="{00000000-0005-0000-0000-00001F640000}"/>
    <cellStyle name="Normal 3 38 6 6" xfId="14718" xr:uid="{00000000-0005-0000-0000-000020640000}"/>
    <cellStyle name="Normal 3 38 6 6 2" xfId="32216" xr:uid="{00000000-0005-0000-0000-000021640000}"/>
    <cellStyle name="Normal 3 38 6 7" xfId="14719" xr:uid="{00000000-0005-0000-0000-000022640000}"/>
    <cellStyle name="Normal 3 38 6 7 2" xfId="32217" xr:uid="{00000000-0005-0000-0000-000023640000}"/>
    <cellStyle name="Normal 3 38 6 8" xfId="14720" xr:uid="{00000000-0005-0000-0000-000024640000}"/>
    <cellStyle name="Normal 3 38 6 8 2" xfId="32218" xr:uid="{00000000-0005-0000-0000-000025640000}"/>
    <cellStyle name="Normal 3 38 6 9" xfId="14721" xr:uid="{00000000-0005-0000-0000-000026640000}"/>
    <cellStyle name="Normal 3 38 6 9 2" xfId="32219" xr:uid="{00000000-0005-0000-0000-000027640000}"/>
    <cellStyle name="Normal 3 38 7" xfId="14722" xr:uid="{00000000-0005-0000-0000-000028640000}"/>
    <cellStyle name="Normal 3 38 7 10" xfId="14723" xr:uid="{00000000-0005-0000-0000-000029640000}"/>
    <cellStyle name="Normal 3 38 7 10 2" xfId="32221" xr:uid="{00000000-0005-0000-0000-00002A640000}"/>
    <cellStyle name="Normal 3 38 7 11" xfId="14724" xr:uid="{00000000-0005-0000-0000-00002B640000}"/>
    <cellStyle name="Normal 3 38 7 11 2" xfId="32222" xr:uid="{00000000-0005-0000-0000-00002C640000}"/>
    <cellStyle name="Normal 3 38 7 12" xfId="14725" xr:uid="{00000000-0005-0000-0000-00002D640000}"/>
    <cellStyle name="Normal 3 38 7 12 2" xfId="32223" xr:uid="{00000000-0005-0000-0000-00002E640000}"/>
    <cellStyle name="Normal 3 38 7 13" xfId="14726" xr:uid="{00000000-0005-0000-0000-00002F640000}"/>
    <cellStyle name="Normal 3 38 7 13 2" xfId="32224" xr:uid="{00000000-0005-0000-0000-000030640000}"/>
    <cellStyle name="Normal 3 38 7 14" xfId="14727" xr:uid="{00000000-0005-0000-0000-000031640000}"/>
    <cellStyle name="Normal 3 38 7 14 2" xfId="32225" xr:uid="{00000000-0005-0000-0000-000032640000}"/>
    <cellStyle name="Normal 3 38 7 15" xfId="32220" xr:uid="{00000000-0005-0000-0000-000033640000}"/>
    <cellStyle name="Normal 3 38 7 2" xfId="14728" xr:uid="{00000000-0005-0000-0000-000034640000}"/>
    <cellStyle name="Normal 3 38 7 2 2" xfId="32226" xr:uid="{00000000-0005-0000-0000-000035640000}"/>
    <cellStyle name="Normal 3 38 7 3" xfId="14729" xr:uid="{00000000-0005-0000-0000-000036640000}"/>
    <cellStyle name="Normal 3 38 7 3 2" xfId="32227" xr:uid="{00000000-0005-0000-0000-000037640000}"/>
    <cellStyle name="Normal 3 38 7 4" xfId="14730" xr:uid="{00000000-0005-0000-0000-000038640000}"/>
    <cellStyle name="Normal 3 38 7 4 2" xfId="32228" xr:uid="{00000000-0005-0000-0000-000039640000}"/>
    <cellStyle name="Normal 3 38 7 5" xfId="14731" xr:uid="{00000000-0005-0000-0000-00003A640000}"/>
    <cellStyle name="Normal 3 38 7 5 2" xfId="32229" xr:uid="{00000000-0005-0000-0000-00003B640000}"/>
    <cellStyle name="Normal 3 38 7 6" xfId="14732" xr:uid="{00000000-0005-0000-0000-00003C640000}"/>
    <cellStyle name="Normal 3 38 7 6 2" xfId="32230" xr:uid="{00000000-0005-0000-0000-00003D640000}"/>
    <cellStyle name="Normal 3 38 7 7" xfId="14733" xr:uid="{00000000-0005-0000-0000-00003E640000}"/>
    <cellStyle name="Normal 3 38 7 7 2" xfId="32231" xr:uid="{00000000-0005-0000-0000-00003F640000}"/>
    <cellStyle name="Normal 3 38 7 8" xfId="14734" xr:uid="{00000000-0005-0000-0000-000040640000}"/>
    <cellStyle name="Normal 3 38 7 8 2" xfId="32232" xr:uid="{00000000-0005-0000-0000-000041640000}"/>
    <cellStyle name="Normal 3 38 7 9" xfId="14735" xr:uid="{00000000-0005-0000-0000-000042640000}"/>
    <cellStyle name="Normal 3 38 7 9 2" xfId="32233" xr:uid="{00000000-0005-0000-0000-000043640000}"/>
    <cellStyle name="Normal 3 38 8" xfId="14736" xr:uid="{00000000-0005-0000-0000-000044640000}"/>
    <cellStyle name="Normal 3 38 8 10" xfId="14737" xr:uid="{00000000-0005-0000-0000-000045640000}"/>
    <cellStyle name="Normal 3 38 8 10 2" xfId="32235" xr:uid="{00000000-0005-0000-0000-000046640000}"/>
    <cellStyle name="Normal 3 38 8 11" xfId="14738" xr:uid="{00000000-0005-0000-0000-000047640000}"/>
    <cellStyle name="Normal 3 38 8 11 2" xfId="32236" xr:uid="{00000000-0005-0000-0000-000048640000}"/>
    <cellStyle name="Normal 3 38 8 12" xfId="14739" xr:uid="{00000000-0005-0000-0000-000049640000}"/>
    <cellStyle name="Normal 3 38 8 12 2" xfId="32237" xr:uid="{00000000-0005-0000-0000-00004A640000}"/>
    <cellStyle name="Normal 3 38 8 13" xfId="14740" xr:uid="{00000000-0005-0000-0000-00004B640000}"/>
    <cellStyle name="Normal 3 38 8 13 2" xfId="32238" xr:uid="{00000000-0005-0000-0000-00004C640000}"/>
    <cellStyle name="Normal 3 38 8 14" xfId="14741" xr:uid="{00000000-0005-0000-0000-00004D640000}"/>
    <cellStyle name="Normal 3 38 8 14 2" xfId="32239" xr:uid="{00000000-0005-0000-0000-00004E640000}"/>
    <cellStyle name="Normal 3 38 8 15" xfId="32234" xr:uid="{00000000-0005-0000-0000-00004F640000}"/>
    <cellStyle name="Normal 3 38 8 2" xfId="14742" xr:uid="{00000000-0005-0000-0000-000050640000}"/>
    <cellStyle name="Normal 3 38 8 2 2" xfId="32240" xr:uid="{00000000-0005-0000-0000-000051640000}"/>
    <cellStyle name="Normal 3 38 8 3" xfId="14743" xr:uid="{00000000-0005-0000-0000-000052640000}"/>
    <cellStyle name="Normal 3 38 8 3 2" xfId="32241" xr:uid="{00000000-0005-0000-0000-000053640000}"/>
    <cellStyle name="Normal 3 38 8 4" xfId="14744" xr:uid="{00000000-0005-0000-0000-000054640000}"/>
    <cellStyle name="Normal 3 38 8 4 2" xfId="32242" xr:uid="{00000000-0005-0000-0000-000055640000}"/>
    <cellStyle name="Normal 3 38 8 5" xfId="14745" xr:uid="{00000000-0005-0000-0000-000056640000}"/>
    <cellStyle name="Normal 3 38 8 5 2" xfId="32243" xr:uid="{00000000-0005-0000-0000-000057640000}"/>
    <cellStyle name="Normal 3 38 8 6" xfId="14746" xr:uid="{00000000-0005-0000-0000-000058640000}"/>
    <cellStyle name="Normal 3 38 8 6 2" xfId="32244" xr:uid="{00000000-0005-0000-0000-000059640000}"/>
    <cellStyle name="Normal 3 38 8 7" xfId="14747" xr:uid="{00000000-0005-0000-0000-00005A640000}"/>
    <cellStyle name="Normal 3 38 8 7 2" xfId="32245" xr:uid="{00000000-0005-0000-0000-00005B640000}"/>
    <cellStyle name="Normal 3 38 8 8" xfId="14748" xr:uid="{00000000-0005-0000-0000-00005C640000}"/>
    <cellStyle name="Normal 3 38 8 8 2" xfId="32246" xr:uid="{00000000-0005-0000-0000-00005D640000}"/>
    <cellStyle name="Normal 3 38 8 9" xfId="14749" xr:uid="{00000000-0005-0000-0000-00005E640000}"/>
    <cellStyle name="Normal 3 38 8 9 2" xfId="32247" xr:uid="{00000000-0005-0000-0000-00005F640000}"/>
    <cellStyle name="Normal 3 38 9" xfId="14750" xr:uid="{00000000-0005-0000-0000-000060640000}"/>
    <cellStyle name="Normal 3 38 9 10" xfId="14751" xr:uid="{00000000-0005-0000-0000-000061640000}"/>
    <cellStyle name="Normal 3 38 9 10 2" xfId="32249" xr:uid="{00000000-0005-0000-0000-000062640000}"/>
    <cellStyle name="Normal 3 38 9 11" xfId="14752" xr:uid="{00000000-0005-0000-0000-000063640000}"/>
    <cellStyle name="Normal 3 38 9 11 2" xfId="32250" xr:uid="{00000000-0005-0000-0000-000064640000}"/>
    <cellStyle name="Normal 3 38 9 12" xfId="14753" xr:uid="{00000000-0005-0000-0000-000065640000}"/>
    <cellStyle name="Normal 3 38 9 12 2" xfId="32251" xr:uid="{00000000-0005-0000-0000-000066640000}"/>
    <cellStyle name="Normal 3 38 9 13" xfId="14754" xr:uid="{00000000-0005-0000-0000-000067640000}"/>
    <cellStyle name="Normal 3 38 9 13 2" xfId="32252" xr:uid="{00000000-0005-0000-0000-000068640000}"/>
    <cellStyle name="Normal 3 38 9 14" xfId="14755" xr:uid="{00000000-0005-0000-0000-000069640000}"/>
    <cellStyle name="Normal 3 38 9 14 2" xfId="32253" xr:uid="{00000000-0005-0000-0000-00006A640000}"/>
    <cellStyle name="Normal 3 38 9 15" xfId="32248" xr:uid="{00000000-0005-0000-0000-00006B640000}"/>
    <cellStyle name="Normal 3 38 9 2" xfId="14756" xr:uid="{00000000-0005-0000-0000-00006C640000}"/>
    <cellStyle name="Normal 3 38 9 2 2" xfId="32254" xr:uid="{00000000-0005-0000-0000-00006D640000}"/>
    <cellStyle name="Normal 3 38 9 3" xfId="14757" xr:uid="{00000000-0005-0000-0000-00006E640000}"/>
    <cellStyle name="Normal 3 38 9 3 2" xfId="32255" xr:uid="{00000000-0005-0000-0000-00006F640000}"/>
    <cellStyle name="Normal 3 38 9 4" xfId="14758" xr:uid="{00000000-0005-0000-0000-000070640000}"/>
    <cellStyle name="Normal 3 38 9 4 2" xfId="32256" xr:uid="{00000000-0005-0000-0000-000071640000}"/>
    <cellStyle name="Normal 3 38 9 5" xfId="14759" xr:uid="{00000000-0005-0000-0000-000072640000}"/>
    <cellStyle name="Normal 3 38 9 5 2" xfId="32257" xr:uid="{00000000-0005-0000-0000-000073640000}"/>
    <cellStyle name="Normal 3 38 9 6" xfId="14760" xr:uid="{00000000-0005-0000-0000-000074640000}"/>
    <cellStyle name="Normal 3 38 9 6 2" xfId="32258" xr:uid="{00000000-0005-0000-0000-000075640000}"/>
    <cellStyle name="Normal 3 38 9 7" xfId="14761" xr:uid="{00000000-0005-0000-0000-000076640000}"/>
    <cellStyle name="Normal 3 38 9 7 2" xfId="32259" xr:uid="{00000000-0005-0000-0000-000077640000}"/>
    <cellStyle name="Normal 3 38 9 8" xfId="14762" xr:uid="{00000000-0005-0000-0000-000078640000}"/>
    <cellStyle name="Normal 3 38 9 8 2" xfId="32260" xr:uid="{00000000-0005-0000-0000-000079640000}"/>
    <cellStyle name="Normal 3 38 9 9" xfId="14763" xr:uid="{00000000-0005-0000-0000-00007A640000}"/>
    <cellStyle name="Normal 3 38 9 9 2" xfId="32261" xr:uid="{00000000-0005-0000-0000-00007B640000}"/>
    <cellStyle name="Normal 3 39" xfId="14764" xr:uid="{00000000-0005-0000-0000-00007C640000}"/>
    <cellStyle name="Normal 3 4" xfId="324" xr:uid="{00000000-0005-0000-0000-00007D640000}"/>
    <cellStyle name="Normal 3 4 10" xfId="14765" xr:uid="{00000000-0005-0000-0000-00007E640000}"/>
    <cellStyle name="Normal 3 4 10 10" xfId="14766" xr:uid="{00000000-0005-0000-0000-00007F640000}"/>
    <cellStyle name="Normal 3 4 10 10 10" xfId="14767" xr:uid="{00000000-0005-0000-0000-000080640000}"/>
    <cellStyle name="Normal 3 4 10 10 10 2" xfId="32264" xr:uid="{00000000-0005-0000-0000-000081640000}"/>
    <cellStyle name="Normal 3 4 10 10 11" xfId="14768" xr:uid="{00000000-0005-0000-0000-000082640000}"/>
    <cellStyle name="Normal 3 4 10 10 11 2" xfId="32265" xr:uid="{00000000-0005-0000-0000-000083640000}"/>
    <cellStyle name="Normal 3 4 10 10 12" xfId="14769" xr:uid="{00000000-0005-0000-0000-000084640000}"/>
    <cellStyle name="Normal 3 4 10 10 12 2" xfId="32266" xr:uid="{00000000-0005-0000-0000-000085640000}"/>
    <cellStyle name="Normal 3 4 10 10 13" xfId="14770" xr:uid="{00000000-0005-0000-0000-000086640000}"/>
    <cellStyle name="Normal 3 4 10 10 13 2" xfId="32267" xr:uid="{00000000-0005-0000-0000-000087640000}"/>
    <cellStyle name="Normal 3 4 10 10 14" xfId="14771" xr:uid="{00000000-0005-0000-0000-000088640000}"/>
    <cellStyle name="Normal 3 4 10 10 14 2" xfId="32268" xr:uid="{00000000-0005-0000-0000-000089640000}"/>
    <cellStyle name="Normal 3 4 10 10 15" xfId="32263" xr:uid="{00000000-0005-0000-0000-00008A640000}"/>
    <cellStyle name="Normal 3 4 10 10 2" xfId="14772" xr:uid="{00000000-0005-0000-0000-00008B640000}"/>
    <cellStyle name="Normal 3 4 10 10 2 2" xfId="32269" xr:uid="{00000000-0005-0000-0000-00008C640000}"/>
    <cellStyle name="Normal 3 4 10 10 3" xfId="14773" xr:uid="{00000000-0005-0000-0000-00008D640000}"/>
    <cellStyle name="Normal 3 4 10 10 3 2" xfId="32270" xr:uid="{00000000-0005-0000-0000-00008E640000}"/>
    <cellStyle name="Normal 3 4 10 10 4" xfId="14774" xr:uid="{00000000-0005-0000-0000-00008F640000}"/>
    <cellStyle name="Normal 3 4 10 10 4 2" xfId="32271" xr:uid="{00000000-0005-0000-0000-000090640000}"/>
    <cellStyle name="Normal 3 4 10 10 5" xfId="14775" xr:uid="{00000000-0005-0000-0000-000091640000}"/>
    <cellStyle name="Normal 3 4 10 10 5 2" xfId="32272" xr:uid="{00000000-0005-0000-0000-000092640000}"/>
    <cellStyle name="Normal 3 4 10 10 6" xfId="14776" xr:uid="{00000000-0005-0000-0000-000093640000}"/>
    <cellStyle name="Normal 3 4 10 10 6 2" xfId="32273" xr:uid="{00000000-0005-0000-0000-000094640000}"/>
    <cellStyle name="Normal 3 4 10 10 7" xfId="14777" xr:uid="{00000000-0005-0000-0000-000095640000}"/>
    <cellStyle name="Normal 3 4 10 10 7 2" xfId="32274" xr:uid="{00000000-0005-0000-0000-000096640000}"/>
    <cellStyle name="Normal 3 4 10 10 8" xfId="14778" xr:uid="{00000000-0005-0000-0000-000097640000}"/>
    <cellStyle name="Normal 3 4 10 10 8 2" xfId="32275" xr:uid="{00000000-0005-0000-0000-000098640000}"/>
    <cellStyle name="Normal 3 4 10 10 9" xfId="14779" xr:uid="{00000000-0005-0000-0000-000099640000}"/>
    <cellStyle name="Normal 3 4 10 10 9 2" xfId="32276" xr:uid="{00000000-0005-0000-0000-00009A640000}"/>
    <cellStyle name="Normal 3 4 10 11" xfId="14780" xr:uid="{00000000-0005-0000-0000-00009B640000}"/>
    <cellStyle name="Normal 3 4 10 11 2" xfId="32277" xr:uid="{00000000-0005-0000-0000-00009C640000}"/>
    <cellStyle name="Normal 3 4 10 12" xfId="14781" xr:uid="{00000000-0005-0000-0000-00009D640000}"/>
    <cellStyle name="Normal 3 4 10 12 2" xfId="32278" xr:uid="{00000000-0005-0000-0000-00009E640000}"/>
    <cellStyle name="Normal 3 4 10 13" xfId="14782" xr:uid="{00000000-0005-0000-0000-00009F640000}"/>
    <cellStyle name="Normal 3 4 10 13 2" xfId="32279" xr:uid="{00000000-0005-0000-0000-0000A0640000}"/>
    <cellStyle name="Normal 3 4 10 14" xfId="14783" xr:uid="{00000000-0005-0000-0000-0000A1640000}"/>
    <cellStyle name="Normal 3 4 10 14 2" xfId="32280" xr:uid="{00000000-0005-0000-0000-0000A2640000}"/>
    <cellStyle name="Normal 3 4 10 15" xfId="14784" xr:uid="{00000000-0005-0000-0000-0000A3640000}"/>
    <cellStyle name="Normal 3 4 10 15 2" xfId="32281" xr:uid="{00000000-0005-0000-0000-0000A4640000}"/>
    <cellStyle name="Normal 3 4 10 16" xfId="14785" xr:uid="{00000000-0005-0000-0000-0000A5640000}"/>
    <cellStyle name="Normal 3 4 10 16 2" xfId="32282" xr:uid="{00000000-0005-0000-0000-0000A6640000}"/>
    <cellStyle name="Normal 3 4 10 17" xfId="14786" xr:uid="{00000000-0005-0000-0000-0000A7640000}"/>
    <cellStyle name="Normal 3 4 10 17 2" xfId="32283" xr:uid="{00000000-0005-0000-0000-0000A8640000}"/>
    <cellStyle name="Normal 3 4 10 18" xfId="14787" xr:uid="{00000000-0005-0000-0000-0000A9640000}"/>
    <cellStyle name="Normal 3 4 10 18 2" xfId="32284" xr:uid="{00000000-0005-0000-0000-0000AA640000}"/>
    <cellStyle name="Normal 3 4 10 19" xfId="14788" xr:uid="{00000000-0005-0000-0000-0000AB640000}"/>
    <cellStyle name="Normal 3 4 10 19 2" xfId="32285" xr:uid="{00000000-0005-0000-0000-0000AC640000}"/>
    <cellStyle name="Normal 3 4 10 2" xfId="14789" xr:uid="{00000000-0005-0000-0000-0000AD640000}"/>
    <cellStyle name="Normal 3 4 10 2 10" xfId="14790" xr:uid="{00000000-0005-0000-0000-0000AE640000}"/>
    <cellStyle name="Normal 3 4 10 2 10 2" xfId="32287" xr:uid="{00000000-0005-0000-0000-0000AF640000}"/>
    <cellStyle name="Normal 3 4 10 2 11" xfId="14791" xr:uid="{00000000-0005-0000-0000-0000B0640000}"/>
    <cellStyle name="Normal 3 4 10 2 11 2" xfId="32288" xr:uid="{00000000-0005-0000-0000-0000B1640000}"/>
    <cellStyle name="Normal 3 4 10 2 12" xfId="14792" xr:uid="{00000000-0005-0000-0000-0000B2640000}"/>
    <cellStyle name="Normal 3 4 10 2 12 2" xfId="32289" xr:uid="{00000000-0005-0000-0000-0000B3640000}"/>
    <cellStyle name="Normal 3 4 10 2 13" xfId="14793" xr:uid="{00000000-0005-0000-0000-0000B4640000}"/>
    <cellStyle name="Normal 3 4 10 2 13 2" xfId="32290" xr:uid="{00000000-0005-0000-0000-0000B5640000}"/>
    <cellStyle name="Normal 3 4 10 2 14" xfId="14794" xr:uid="{00000000-0005-0000-0000-0000B6640000}"/>
    <cellStyle name="Normal 3 4 10 2 14 2" xfId="32291" xr:uid="{00000000-0005-0000-0000-0000B7640000}"/>
    <cellStyle name="Normal 3 4 10 2 15" xfId="14795" xr:uid="{00000000-0005-0000-0000-0000B8640000}"/>
    <cellStyle name="Normal 3 4 10 2 15 2" xfId="32292" xr:uid="{00000000-0005-0000-0000-0000B9640000}"/>
    <cellStyle name="Normal 3 4 10 2 16" xfId="32286" xr:uid="{00000000-0005-0000-0000-0000BA640000}"/>
    <cellStyle name="Normal 3 4 10 2 2" xfId="14796" xr:uid="{00000000-0005-0000-0000-0000BB640000}"/>
    <cellStyle name="Normal 3 4 10 2 2 10" xfId="14797" xr:uid="{00000000-0005-0000-0000-0000BC640000}"/>
    <cellStyle name="Normal 3 4 10 2 2 10 2" xfId="32294" xr:uid="{00000000-0005-0000-0000-0000BD640000}"/>
    <cellStyle name="Normal 3 4 10 2 2 11" xfId="14798" xr:uid="{00000000-0005-0000-0000-0000BE640000}"/>
    <cellStyle name="Normal 3 4 10 2 2 11 2" xfId="32295" xr:uid="{00000000-0005-0000-0000-0000BF640000}"/>
    <cellStyle name="Normal 3 4 10 2 2 12" xfId="14799" xr:uid="{00000000-0005-0000-0000-0000C0640000}"/>
    <cellStyle name="Normal 3 4 10 2 2 12 2" xfId="32296" xr:uid="{00000000-0005-0000-0000-0000C1640000}"/>
    <cellStyle name="Normal 3 4 10 2 2 13" xfId="14800" xr:uid="{00000000-0005-0000-0000-0000C2640000}"/>
    <cellStyle name="Normal 3 4 10 2 2 13 2" xfId="32297" xr:uid="{00000000-0005-0000-0000-0000C3640000}"/>
    <cellStyle name="Normal 3 4 10 2 2 14" xfId="14801" xr:uid="{00000000-0005-0000-0000-0000C4640000}"/>
    <cellStyle name="Normal 3 4 10 2 2 14 2" xfId="32298" xr:uid="{00000000-0005-0000-0000-0000C5640000}"/>
    <cellStyle name="Normal 3 4 10 2 2 15" xfId="32293" xr:uid="{00000000-0005-0000-0000-0000C6640000}"/>
    <cellStyle name="Normal 3 4 10 2 2 2" xfId="14802" xr:uid="{00000000-0005-0000-0000-0000C7640000}"/>
    <cellStyle name="Normal 3 4 10 2 2 2 2" xfId="32299" xr:uid="{00000000-0005-0000-0000-0000C8640000}"/>
    <cellStyle name="Normal 3 4 10 2 2 3" xfId="14803" xr:uid="{00000000-0005-0000-0000-0000C9640000}"/>
    <cellStyle name="Normal 3 4 10 2 2 3 2" xfId="32300" xr:uid="{00000000-0005-0000-0000-0000CA640000}"/>
    <cellStyle name="Normal 3 4 10 2 2 4" xfId="14804" xr:uid="{00000000-0005-0000-0000-0000CB640000}"/>
    <cellStyle name="Normal 3 4 10 2 2 4 2" xfId="32301" xr:uid="{00000000-0005-0000-0000-0000CC640000}"/>
    <cellStyle name="Normal 3 4 10 2 2 5" xfId="14805" xr:uid="{00000000-0005-0000-0000-0000CD640000}"/>
    <cellStyle name="Normal 3 4 10 2 2 5 2" xfId="32302" xr:uid="{00000000-0005-0000-0000-0000CE640000}"/>
    <cellStyle name="Normal 3 4 10 2 2 6" xfId="14806" xr:uid="{00000000-0005-0000-0000-0000CF640000}"/>
    <cellStyle name="Normal 3 4 10 2 2 6 2" xfId="32303" xr:uid="{00000000-0005-0000-0000-0000D0640000}"/>
    <cellStyle name="Normal 3 4 10 2 2 7" xfId="14807" xr:uid="{00000000-0005-0000-0000-0000D1640000}"/>
    <cellStyle name="Normal 3 4 10 2 2 7 2" xfId="32304" xr:uid="{00000000-0005-0000-0000-0000D2640000}"/>
    <cellStyle name="Normal 3 4 10 2 2 8" xfId="14808" xr:uid="{00000000-0005-0000-0000-0000D3640000}"/>
    <cellStyle name="Normal 3 4 10 2 2 8 2" xfId="32305" xr:uid="{00000000-0005-0000-0000-0000D4640000}"/>
    <cellStyle name="Normal 3 4 10 2 2 9" xfId="14809" xr:uid="{00000000-0005-0000-0000-0000D5640000}"/>
    <cellStyle name="Normal 3 4 10 2 2 9 2" xfId="32306" xr:uid="{00000000-0005-0000-0000-0000D6640000}"/>
    <cellStyle name="Normal 3 4 10 2 3" xfId="14810" xr:uid="{00000000-0005-0000-0000-0000D7640000}"/>
    <cellStyle name="Normal 3 4 10 2 3 2" xfId="32307" xr:uid="{00000000-0005-0000-0000-0000D8640000}"/>
    <cellStyle name="Normal 3 4 10 2 4" xfId="14811" xr:uid="{00000000-0005-0000-0000-0000D9640000}"/>
    <cellStyle name="Normal 3 4 10 2 4 2" xfId="32308" xr:uid="{00000000-0005-0000-0000-0000DA640000}"/>
    <cellStyle name="Normal 3 4 10 2 5" xfId="14812" xr:uid="{00000000-0005-0000-0000-0000DB640000}"/>
    <cellStyle name="Normal 3 4 10 2 5 2" xfId="32309" xr:uid="{00000000-0005-0000-0000-0000DC640000}"/>
    <cellStyle name="Normal 3 4 10 2 6" xfId="14813" xr:uid="{00000000-0005-0000-0000-0000DD640000}"/>
    <cellStyle name="Normal 3 4 10 2 6 2" xfId="32310" xr:uid="{00000000-0005-0000-0000-0000DE640000}"/>
    <cellStyle name="Normal 3 4 10 2 7" xfId="14814" xr:uid="{00000000-0005-0000-0000-0000DF640000}"/>
    <cellStyle name="Normal 3 4 10 2 7 2" xfId="32311" xr:uid="{00000000-0005-0000-0000-0000E0640000}"/>
    <cellStyle name="Normal 3 4 10 2 8" xfId="14815" xr:uid="{00000000-0005-0000-0000-0000E1640000}"/>
    <cellStyle name="Normal 3 4 10 2 8 2" xfId="32312" xr:uid="{00000000-0005-0000-0000-0000E2640000}"/>
    <cellStyle name="Normal 3 4 10 2 9" xfId="14816" xr:uid="{00000000-0005-0000-0000-0000E3640000}"/>
    <cellStyle name="Normal 3 4 10 2 9 2" xfId="32313" xr:uid="{00000000-0005-0000-0000-0000E4640000}"/>
    <cellStyle name="Normal 3 4 10 20" xfId="14817" xr:uid="{00000000-0005-0000-0000-0000E5640000}"/>
    <cellStyle name="Normal 3 4 10 20 2" xfId="32314" xr:uid="{00000000-0005-0000-0000-0000E6640000}"/>
    <cellStyle name="Normal 3 4 10 21" xfId="14818" xr:uid="{00000000-0005-0000-0000-0000E7640000}"/>
    <cellStyle name="Normal 3 4 10 21 2" xfId="32315" xr:uid="{00000000-0005-0000-0000-0000E8640000}"/>
    <cellStyle name="Normal 3 4 10 22" xfId="14819" xr:uid="{00000000-0005-0000-0000-0000E9640000}"/>
    <cellStyle name="Normal 3 4 10 22 2" xfId="32316" xr:uid="{00000000-0005-0000-0000-0000EA640000}"/>
    <cellStyle name="Normal 3 4 10 23" xfId="14820" xr:uid="{00000000-0005-0000-0000-0000EB640000}"/>
    <cellStyle name="Normal 3 4 10 23 2" xfId="32317" xr:uid="{00000000-0005-0000-0000-0000EC640000}"/>
    <cellStyle name="Normal 3 4 10 24" xfId="32262" xr:uid="{00000000-0005-0000-0000-0000ED640000}"/>
    <cellStyle name="Normal 3 4 10 3" xfId="14821" xr:uid="{00000000-0005-0000-0000-0000EE640000}"/>
    <cellStyle name="Normal 3 4 10 3 10" xfId="14822" xr:uid="{00000000-0005-0000-0000-0000EF640000}"/>
    <cellStyle name="Normal 3 4 10 3 10 2" xfId="32319" xr:uid="{00000000-0005-0000-0000-0000F0640000}"/>
    <cellStyle name="Normal 3 4 10 3 11" xfId="14823" xr:uid="{00000000-0005-0000-0000-0000F1640000}"/>
    <cellStyle name="Normal 3 4 10 3 11 2" xfId="32320" xr:uid="{00000000-0005-0000-0000-0000F2640000}"/>
    <cellStyle name="Normal 3 4 10 3 12" xfId="14824" xr:uid="{00000000-0005-0000-0000-0000F3640000}"/>
    <cellStyle name="Normal 3 4 10 3 12 2" xfId="32321" xr:uid="{00000000-0005-0000-0000-0000F4640000}"/>
    <cellStyle name="Normal 3 4 10 3 13" xfId="14825" xr:uid="{00000000-0005-0000-0000-0000F5640000}"/>
    <cellStyle name="Normal 3 4 10 3 13 2" xfId="32322" xr:uid="{00000000-0005-0000-0000-0000F6640000}"/>
    <cellStyle name="Normal 3 4 10 3 14" xfId="14826" xr:uid="{00000000-0005-0000-0000-0000F7640000}"/>
    <cellStyle name="Normal 3 4 10 3 14 2" xfId="32323" xr:uid="{00000000-0005-0000-0000-0000F8640000}"/>
    <cellStyle name="Normal 3 4 10 3 15" xfId="14827" xr:uid="{00000000-0005-0000-0000-0000F9640000}"/>
    <cellStyle name="Normal 3 4 10 3 15 2" xfId="32324" xr:uid="{00000000-0005-0000-0000-0000FA640000}"/>
    <cellStyle name="Normal 3 4 10 3 16" xfId="32318" xr:uid="{00000000-0005-0000-0000-0000FB640000}"/>
    <cellStyle name="Normal 3 4 10 3 2" xfId="14828" xr:uid="{00000000-0005-0000-0000-0000FC640000}"/>
    <cellStyle name="Normal 3 4 10 3 2 10" xfId="14829" xr:uid="{00000000-0005-0000-0000-0000FD640000}"/>
    <cellStyle name="Normal 3 4 10 3 2 10 2" xfId="32326" xr:uid="{00000000-0005-0000-0000-0000FE640000}"/>
    <cellStyle name="Normal 3 4 10 3 2 11" xfId="14830" xr:uid="{00000000-0005-0000-0000-0000FF640000}"/>
    <cellStyle name="Normal 3 4 10 3 2 11 2" xfId="32327" xr:uid="{00000000-0005-0000-0000-000000650000}"/>
    <cellStyle name="Normal 3 4 10 3 2 12" xfId="14831" xr:uid="{00000000-0005-0000-0000-000001650000}"/>
    <cellStyle name="Normal 3 4 10 3 2 12 2" xfId="32328" xr:uid="{00000000-0005-0000-0000-000002650000}"/>
    <cellStyle name="Normal 3 4 10 3 2 13" xfId="14832" xr:uid="{00000000-0005-0000-0000-000003650000}"/>
    <cellStyle name="Normal 3 4 10 3 2 13 2" xfId="32329" xr:uid="{00000000-0005-0000-0000-000004650000}"/>
    <cellStyle name="Normal 3 4 10 3 2 14" xfId="14833" xr:uid="{00000000-0005-0000-0000-000005650000}"/>
    <cellStyle name="Normal 3 4 10 3 2 14 2" xfId="32330" xr:uid="{00000000-0005-0000-0000-000006650000}"/>
    <cellStyle name="Normal 3 4 10 3 2 15" xfId="32325" xr:uid="{00000000-0005-0000-0000-000007650000}"/>
    <cellStyle name="Normal 3 4 10 3 2 2" xfId="14834" xr:uid="{00000000-0005-0000-0000-000008650000}"/>
    <cellStyle name="Normal 3 4 10 3 2 2 2" xfId="32331" xr:uid="{00000000-0005-0000-0000-000009650000}"/>
    <cellStyle name="Normal 3 4 10 3 2 3" xfId="14835" xr:uid="{00000000-0005-0000-0000-00000A650000}"/>
    <cellStyle name="Normal 3 4 10 3 2 3 2" xfId="32332" xr:uid="{00000000-0005-0000-0000-00000B650000}"/>
    <cellStyle name="Normal 3 4 10 3 2 4" xfId="14836" xr:uid="{00000000-0005-0000-0000-00000C650000}"/>
    <cellStyle name="Normal 3 4 10 3 2 4 2" xfId="32333" xr:uid="{00000000-0005-0000-0000-00000D650000}"/>
    <cellStyle name="Normal 3 4 10 3 2 5" xfId="14837" xr:uid="{00000000-0005-0000-0000-00000E650000}"/>
    <cellStyle name="Normal 3 4 10 3 2 5 2" xfId="32334" xr:uid="{00000000-0005-0000-0000-00000F650000}"/>
    <cellStyle name="Normal 3 4 10 3 2 6" xfId="14838" xr:uid="{00000000-0005-0000-0000-000010650000}"/>
    <cellStyle name="Normal 3 4 10 3 2 6 2" xfId="32335" xr:uid="{00000000-0005-0000-0000-000011650000}"/>
    <cellStyle name="Normal 3 4 10 3 2 7" xfId="14839" xr:uid="{00000000-0005-0000-0000-000012650000}"/>
    <cellStyle name="Normal 3 4 10 3 2 7 2" xfId="32336" xr:uid="{00000000-0005-0000-0000-000013650000}"/>
    <cellStyle name="Normal 3 4 10 3 2 8" xfId="14840" xr:uid="{00000000-0005-0000-0000-000014650000}"/>
    <cellStyle name="Normal 3 4 10 3 2 8 2" xfId="32337" xr:uid="{00000000-0005-0000-0000-000015650000}"/>
    <cellStyle name="Normal 3 4 10 3 2 9" xfId="14841" xr:uid="{00000000-0005-0000-0000-000016650000}"/>
    <cellStyle name="Normal 3 4 10 3 2 9 2" xfId="32338" xr:uid="{00000000-0005-0000-0000-000017650000}"/>
    <cellStyle name="Normal 3 4 10 3 3" xfId="14842" xr:uid="{00000000-0005-0000-0000-000018650000}"/>
    <cellStyle name="Normal 3 4 10 3 3 2" xfId="32339" xr:uid="{00000000-0005-0000-0000-000019650000}"/>
    <cellStyle name="Normal 3 4 10 3 4" xfId="14843" xr:uid="{00000000-0005-0000-0000-00001A650000}"/>
    <cellStyle name="Normal 3 4 10 3 4 2" xfId="32340" xr:uid="{00000000-0005-0000-0000-00001B650000}"/>
    <cellStyle name="Normal 3 4 10 3 5" xfId="14844" xr:uid="{00000000-0005-0000-0000-00001C650000}"/>
    <cellStyle name="Normal 3 4 10 3 5 2" xfId="32341" xr:uid="{00000000-0005-0000-0000-00001D650000}"/>
    <cellStyle name="Normal 3 4 10 3 6" xfId="14845" xr:uid="{00000000-0005-0000-0000-00001E650000}"/>
    <cellStyle name="Normal 3 4 10 3 6 2" xfId="32342" xr:uid="{00000000-0005-0000-0000-00001F650000}"/>
    <cellStyle name="Normal 3 4 10 3 7" xfId="14846" xr:uid="{00000000-0005-0000-0000-000020650000}"/>
    <cellStyle name="Normal 3 4 10 3 7 2" xfId="32343" xr:uid="{00000000-0005-0000-0000-000021650000}"/>
    <cellStyle name="Normal 3 4 10 3 8" xfId="14847" xr:uid="{00000000-0005-0000-0000-000022650000}"/>
    <cellStyle name="Normal 3 4 10 3 8 2" xfId="32344" xr:uid="{00000000-0005-0000-0000-000023650000}"/>
    <cellStyle name="Normal 3 4 10 3 9" xfId="14848" xr:uid="{00000000-0005-0000-0000-000024650000}"/>
    <cellStyle name="Normal 3 4 10 3 9 2" xfId="32345" xr:uid="{00000000-0005-0000-0000-000025650000}"/>
    <cellStyle name="Normal 3 4 10 4" xfId="14849" xr:uid="{00000000-0005-0000-0000-000026650000}"/>
    <cellStyle name="Normal 3 4 10 4 10" xfId="14850" xr:uid="{00000000-0005-0000-0000-000027650000}"/>
    <cellStyle name="Normal 3 4 10 4 10 2" xfId="32347" xr:uid="{00000000-0005-0000-0000-000028650000}"/>
    <cellStyle name="Normal 3 4 10 4 11" xfId="14851" xr:uid="{00000000-0005-0000-0000-000029650000}"/>
    <cellStyle name="Normal 3 4 10 4 11 2" xfId="32348" xr:uid="{00000000-0005-0000-0000-00002A650000}"/>
    <cellStyle name="Normal 3 4 10 4 12" xfId="14852" xr:uid="{00000000-0005-0000-0000-00002B650000}"/>
    <cellStyle name="Normal 3 4 10 4 12 2" xfId="32349" xr:uid="{00000000-0005-0000-0000-00002C650000}"/>
    <cellStyle name="Normal 3 4 10 4 13" xfId="14853" xr:uid="{00000000-0005-0000-0000-00002D650000}"/>
    <cellStyle name="Normal 3 4 10 4 13 2" xfId="32350" xr:uid="{00000000-0005-0000-0000-00002E650000}"/>
    <cellStyle name="Normal 3 4 10 4 14" xfId="14854" xr:uid="{00000000-0005-0000-0000-00002F650000}"/>
    <cellStyle name="Normal 3 4 10 4 14 2" xfId="32351" xr:uid="{00000000-0005-0000-0000-000030650000}"/>
    <cellStyle name="Normal 3 4 10 4 15" xfId="14855" xr:uid="{00000000-0005-0000-0000-000031650000}"/>
    <cellStyle name="Normal 3 4 10 4 15 2" xfId="32352" xr:uid="{00000000-0005-0000-0000-000032650000}"/>
    <cellStyle name="Normal 3 4 10 4 16" xfId="32346" xr:uid="{00000000-0005-0000-0000-000033650000}"/>
    <cellStyle name="Normal 3 4 10 4 2" xfId="14856" xr:uid="{00000000-0005-0000-0000-000034650000}"/>
    <cellStyle name="Normal 3 4 10 4 2 10" xfId="14857" xr:uid="{00000000-0005-0000-0000-000035650000}"/>
    <cellStyle name="Normal 3 4 10 4 2 10 2" xfId="32354" xr:uid="{00000000-0005-0000-0000-000036650000}"/>
    <cellStyle name="Normal 3 4 10 4 2 11" xfId="14858" xr:uid="{00000000-0005-0000-0000-000037650000}"/>
    <cellStyle name="Normal 3 4 10 4 2 11 2" xfId="32355" xr:uid="{00000000-0005-0000-0000-000038650000}"/>
    <cellStyle name="Normal 3 4 10 4 2 12" xfId="14859" xr:uid="{00000000-0005-0000-0000-000039650000}"/>
    <cellStyle name="Normal 3 4 10 4 2 12 2" xfId="32356" xr:uid="{00000000-0005-0000-0000-00003A650000}"/>
    <cellStyle name="Normal 3 4 10 4 2 13" xfId="14860" xr:uid="{00000000-0005-0000-0000-00003B650000}"/>
    <cellStyle name="Normal 3 4 10 4 2 13 2" xfId="32357" xr:uid="{00000000-0005-0000-0000-00003C650000}"/>
    <cellStyle name="Normal 3 4 10 4 2 14" xfId="14861" xr:uid="{00000000-0005-0000-0000-00003D650000}"/>
    <cellStyle name="Normal 3 4 10 4 2 14 2" xfId="32358" xr:uid="{00000000-0005-0000-0000-00003E650000}"/>
    <cellStyle name="Normal 3 4 10 4 2 15" xfId="32353" xr:uid="{00000000-0005-0000-0000-00003F650000}"/>
    <cellStyle name="Normal 3 4 10 4 2 2" xfId="14862" xr:uid="{00000000-0005-0000-0000-000040650000}"/>
    <cellStyle name="Normal 3 4 10 4 2 2 2" xfId="32359" xr:uid="{00000000-0005-0000-0000-000041650000}"/>
    <cellStyle name="Normal 3 4 10 4 2 3" xfId="14863" xr:uid="{00000000-0005-0000-0000-000042650000}"/>
    <cellStyle name="Normal 3 4 10 4 2 3 2" xfId="32360" xr:uid="{00000000-0005-0000-0000-000043650000}"/>
    <cellStyle name="Normal 3 4 10 4 2 4" xfId="14864" xr:uid="{00000000-0005-0000-0000-000044650000}"/>
    <cellStyle name="Normal 3 4 10 4 2 4 2" xfId="32361" xr:uid="{00000000-0005-0000-0000-000045650000}"/>
    <cellStyle name="Normal 3 4 10 4 2 5" xfId="14865" xr:uid="{00000000-0005-0000-0000-000046650000}"/>
    <cellStyle name="Normal 3 4 10 4 2 5 2" xfId="32362" xr:uid="{00000000-0005-0000-0000-000047650000}"/>
    <cellStyle name="Normal 3 4 10 4 2 6" xfId="14866" xr:uid="{00000000-0005-0000-0000-000048650000}"/>
    <cellStyle name="Normal 3 4 10 4 2 6 2" xfId="32363" xr:uid="{00000000-0005-0000-0000-000049650000}"/>
    <cellStyle name="Normal 3 4 10 4 2 7" xfId="14867" xr:uid="{00000000-0005-0000-0000-00004A650000}"/>
    <cellStyle name="Normal 3 4 10 4 2 7 2" xfId="32364" xr:uid="{00000000-0005-0000-0000-00004B650000}"/>
    <cellStyle name="Normal 3 4 10 4 2 8" xfId="14868" xr:uid="{00000000-0005-0000-0000-00004C650000}"/>
    <cellStyle name="Normal 3 4 10 4 2 8 2" xfId="32365" xr:uid="{00000000-0005-0000-0000-00004D650000}"/>
    <cellStyle name="Normal 3 4 10 4 2 9" xfId="14869" xr:uid="{00000000-0005-0000-0000-00004E650000}"/>
    <cellStyle name="Normal 3 4 10 4 2 9 2" xfId="32366" xr:uid="{00000000-0005-0000-0000-00004F650000}"/>
    <cellStyle name="Normal 3 4 10 4 3" xfId="14870" xr:uid="{00000000-0005-0000-0000-000050650000}"/>
    <cellStyle name="Normal 3 4 10 4 3 2" xfId="32367" xr:uid="{00000000-0005-0000-0000-000051650000}"/>
    <cellStyle name="Normal 3 4 10 4 4" xfId="14871" xr:uid="{00000000-0005-0000-0000-000052650000}"/>
    <cellStyle name="Normal 3 4 10 4 4 2" xfId="32368" xr:uid="{00000000-0005-0000-0000-000053650000}"/>
    <cellStyle name="Normal 3 4 10 4 5" xfId="14872" xr:uid="{00000000-0005-0000-0000-000054650000}"/>
    <cellStyle name="Normal 3 4 10 4 5 2" xfId="32369" xr:uid="{00000000-0005-0000-0000-000055650000}"/>
    <cellStyle name="Normal 3 4 10 4 6" xfId="14873" xr:uid="{00000000-0005-0000-0000-000056650000}"/>
    <cellStyle name="Normal 3 4 10 4 6 2" xfId="32370" xr:uid="{00000000-0005-0000-0000-000057650000}"/>
    <cellStyle name="Normal 3 4 10 4 7" xfId="14874" xr:uid="{00000000-0005-0000-0000-000058650000}"/>
    <cellStyle name="Normal 3 4 10 4 7 2" xfId="32371" xr:uid="{00000000-0005-0000-0000-000059650000}"/>
    <cellStyle name="Normal 3 4 10 4 8" xfId="14875" xr:uid="{00000000-0005-0000-0000-00005A650000}"/>
    <cellStyle name="Normal 3 4 10 4 8 2" xfId="32372" xr:uid="{00000000-0005-0000-0000-00005B650000}"/>
    <cellStyle name="Normal 3 4 10 4 9" xfId="14876" xr:uid="{00000000-0005-0000-0000-00005C650000}"/>
    <cellStyle name="Normal 3 4 10 4 9 2" xfId="32373" xr:uid="{00000000-0005-0000-0000-00005D650000}"/>
    <cellStyle name="Normal 3 4 10 5" xfId="14877" xr:uid="{00000000-0005-0000-0000-00005E650000}"/>
    <cellStyle name="Normal 3 4 10 5 10" xfId="14878" xr:uid="{00000000-0005-0000-0000-00005F650000}"/>
    <cellStyle name="Normal 3 4 10 5 10 2" xfId="32375" xr:uid="{00000000-0005-0000-0000-000060650000}"/>
    <cellStyle name="Normal 3 4 10 5 11" xfId="14879" xr:uid="{00000000-0005-0000-0000-000061650000}"/>
    <cellStyle name="Normal 3 4 10 5 11 2" xfId="32376" xr:uid="{00000000-0005-0000-0000-000062650000}"/>
    <cellStyle name="Normal 3 4 10 5 12" xfId="14880" xr:uid="{00000000-0005-0000-0000-000063650000}"/>
    <cellStyle name="Normal 3 4 10 5 12 2" xfId="32377" xr:uid="{00000000-0005-0000-0000-000064650000}"/>
    <cellStyle name="Normal 3 4 10 5 13" xfId="14881" xr:uid="{00000000-0005-0000-0000-000065650000}"/>
    <cellStyle name="Normal 3 4 10 5 13 2" xfId="32378" xr:uid="{00000000-0005-0000-0000-000066650000}"/>
    <cellStyle name="Normal 3 4 10 5 14" xfId="14882" xr:uid="{00000000-0005-0000-0000-000067650000}"/>
    <cellStyle name="Normal 3 4 10 5 14 2" xfId="32379" xr:uid="{00000000-0005-0000-0000-000068650000}"/>
    <cellStyle name="Normal 3 4 10 5 15" xfId="32374" xr:uid="{00000000-0005-0000-0000-000069650000}"/>
    <cellStyle name="Normal 3 4 10 5 2" xfId="14883" xr:uid="{00000000-0005-0000-0000-00006A650000}"/>
    <cellStyle name="Normal 3 4 10 5 2 2" xfId="32380" xr:uid="{00000000-0005-0000-0000-00006B650000}"/>
    <cellStyle name="Normal 3 4 10 5 3" xfId="14884" xr:uid="{00000000-0005-0000-0000-00006C650000}"/>
    <cellStyle name="Normal 3 4 10 5 3 2" xfId="32381" xr:uid="{00000000-0005-0000-0000-00006D650000}"/>
    <cellStyle name="Normal 3 4 10 5 4" xfId="14885" xr:uid="{00000000-0005-0000-0000-00006E650000}"/>
    <cellStyle name="Normal 3 4 10 5 4 2" xfId="32382" xr:uid="{00000000-0005-0000-0000-00006F650000}"/>
    <cellStyle name="Normal 3 4 10 5 5" xfId="14886" xr:uid="{00000000-0005-0000-0000-000070650000}"/>
    <cellStyle name="Normal 3 4 10 5 5 2" xfId="32383" xr:uid="{00000000-0005-0000-0000-000071650000}"/>
    <cellStyle name="Normal 3 4 10 5 6" xfId="14887" xr:uid="{00000000-0005-0000-0000-000072650000}"/>
    <cellStyle name="Normal 3 4 10 5 6 2" xfId="32384" xr:uid="{00000000-0005-0000-0000-000073650000}"/>
    <cellStyle name="Normal 3 4 10 5 7" xfId="14888" xr:uid="{00000000-0005-0000-0000-000074650000}"/>
    <cellStyle name="Normal 3 4 10 5 7 2" xfId="32385" xr:uid="{00000000-0005-0000-0000-000075650000}"/>
    <cellStyle name="Normal 3 4 10 5 8" xfId="14889" xr:uid="{00000000-0005-0000-0000-000076650000}"/>
    <cellStyle name="Normal 3 4 10 5 8 2" xfId="32386" xr:uid="{00000000-0005-0000-0000-000077650000}"/>
    <cellStyle name="Normal 3 4 10 5 9" xfId="14890" xr:uid="{00000000-0005-0000-0000-000078650000}"/>
    <cellStyle name="Normal 3 4 10 5 9 2" xfId="32387" xr:uid="{00000000-0005-0000-0000-000079650000}"/>
    <cellStyle name="Normal 3 4 10 6" xfId="14891" xr:uid="{00000000-0005-0000-0000-00007A650000}"/>
    <cellStyle name="Normal 3 4 10 6 10" xfId="14892" xr:uid="{00000000-0005-0000-0000-00007B650000}"/>
    <cellStyle name="Normal 3 4 10 6 10 2" xfId="32389" xr:uid="{00000000-0005-0000-0000-00007C650000}"/>
    <cellStyle name="Normal 3 4 10 6 11" xfId="14893" xr:uid="{00000000-0005-0000-0000-00007D650000}"/>
    <cellStyle name="Normal 3 4 10 6 11 2" xfId="32390" xr:uid="{00000000-0005-0000-0000-00007E650000}"/>
    <cellStyle name="Normal 3 4 10 6 12" xfId="14894" xr:uid="{00000000-0005-0000-0000-00007F650000}"/>
    <cellStyle name="Normal 3 4 10 6 12 2" xfId="32391" xr:uid="{00000000-0005-0000-0000-000080650000}"/>
    <cellStyle name="Normal 3 4 10 6 13" xfId="14895" xr:uid="{00000000-0005-0000-0000-000081650000}"/>
    <cellStyle name="Normal 3 4 10 6 13 2" xfId="32392" xr:uid="{00000000-0005-0000-0000-000082650000}"/>
    <cellStyle name="Normal 3 4 10 6 14" xfId="14896" xr:uid="{00000000-0005-0000-0000-000083650000}"/>
    <cellStyle name="Normal 3 4 10 6 14 2" xfId="32393" xr:uid="{00000000-0005-0000-0000-000084650000}"/>
    <cellStyle name="Normal 3 4 10 6 15" xfId="32388" xr:uid="{00000000-0005-0000-0000-000085650000}"/>
    <cellStyle name="Normal 3 4 10 6 2" xfId="14897" xr:uid="{00000000-0005-0000-0000-000086650000}"/>
    <cellStyle name="Normal 3 4 10 6 2 2" xfId="32394" xr:uid="{00000000-0005-0000-0000-000087650000}"/>
    <cellStyle name="Normal 3 4 10 6 3" xfId="14898" xr:uid="{00000000-0005-0000-0000-000088650000}"/>
    <cellStyle name="Normal 3 4 10 6 3 2" xfId="32395" xr:uid="{00000000-0005-0000-0000-000089650000}"/>
    <cellStyle name="Normal 3 4 10 6 4" xfId="14899" xr:uid="{00000000-0005-0000-0000-00008A650000}"/>
    <cellStyle name="Normal 3 4 10 6 4 2" xfId="32396" xr:uid="{00000000-0005-0000-0000-00008B650000}"/>
    <cellStyle name="Normal 3 4 10 6 5" xfId="14900" xr:uid="{00000000-0005-0000-0000-00008C650000}"/>
    <cellStyle name="Normal 3 4 10 6 5 2" xfId="32397" xr:uid="{00000000-0005-0000-0000-00008D650000}"/>
    <cellStyle name="Normal 3 4 10 6 6" xfId="14901" xr:uid="{00000000-0005-0000-0000-00008E650000}"/>
    <cellStyle name="Normal 3 4 10 6 6 2" xfId="32398" xr:uid="{00000000-0005-0000-0000-00008F650000}"/>
    <cellStyle name="Normal 3 4 10 6 7" xfId="14902" xr:uid="{00000000-0005-0000-0000-000090650000}"/>
    <cellStyle name="Normal 3 4 10 6 7 2" xfId="32399" xr:uid="{00000000-0005-0000-0000-000091650000}"/>
    <cellStyle name="Normal 3 4 10 6 8" xfId="14903" xr:uid="{00000000-0005-0000-0000-000092650000}"/>
    <cellStyle name="Normal 3 4 10 6 8 2" xfId="32400" xr:uid="{00000000-0005-0000-0000-000093650000}"/>
    <cellStyle name="Normal 3 4 10 6 9" xfId="14904" xr:uid="{00000000-0005-0000-0000-000094650000}"/>
    <cellStyle name="Normal 3 4 10 6 9 2" xfId="32401" xr:uid="{00000000-0005-0000-0000-000095650000}"/>
    <cellStyle name="Normal 3 4 10 7" xfId="14905" xr:uid="{00000000-0005-0000-0000-000096650000}"/>
    <cellStyle name="Normal 3 4 10 7 10" xfId="14906" xr:uid="{00000000-0005-0000-0000-000097650000}"/>
    <cellStyle name="Normal 3 4 10 7 10 2" xfId="32403" xr:uid="{00000000-0005-0000-0000-000098650000}"/>
    <cellStyle name="Normal 3 4 10 7 11" xfId="14907" xr:uid="{00000000-0005-0000-0000-000099650000}"/>
    <cellStyle name="Normal 3 4 10 7 11 2" xfId="32404" xr:uid="{00000000-0005-0000-0000-00009A650000}"/>
    <cellStyle name="Normal 3 4 10 7 12" xfId="14908" xr:uid="{00000000-0005-0000-0000-00009B650000}"/>
    <cellStyle name="Normal 3 4 10 7 12 2" xfId="32405" xr:uid="{00000000-0005-0000-0000-00009C650000}"/>
    <cellStyle name="Normal 3 4 10 7 13" xfId="14909" xr:uid="{00000000-0005-0000-0000-00009D650000}"/>
    <cellStyle name="Normal 3 4 10 7 13 2" xfId="32406" xr:uid="{00000000-0005-0000-0000-00009E650000}"/>
    <cellStyle name="Normal 3 4 10 7 14" xfId="14910" xr:uid="{00000000-0005-0000-0000-00009F650000}"/>
    <cellStyle name="Normal 3 4 10 7 14 2" xfId="32407" xr:uid="{00000000-0005-0000-0000-0000A0650000}"/>
    <cellStyle name="Normal 3 4 10 7 15" xfId="32402" xr:uid="{00000000-0005-0000-0000-0000A1650000}"/>
    <cellStyle name="Normal 3 4 10 7 2" xfId="14911" xr:uid="{00000000-0005-0000-0000-0000A2650000}"/>
    <cellStyle name="Normal 3 4 10 7 2 2" xfId="32408" xr:uid="{00000000-0005-0000-0000-0000A3650000}"/>
    <cellStyle name="Normal 3 4 10 7 3" xfId="14912" xr:uid="{00000000-0005-0000-0000-0000A4650000}"/>
    <cellStyle name="Normal 3 4 10 7 3 2" xfId="32409" xr:uid="{00000000-0005-0000-0000-0000A5650000}"/>
    <cellStyle name="Normal 3 4 10 7 4" xfId="14913" xr:uid="{00000000-0005-0000-0000-0000A6650000}"/>
    <cellStyle name="Normal 3 4 10 7 4 2" xfId="32410" xr:uid="{00000000-0005-0000-0000-0000A7650000}"/>
    <cellStyle name="Normal 3 4 10 7 5" xfId="14914" xr:uid="{00000000-0005-0000-0000-0000A8650000}"/>
    <cellStyle name="Normal 3 4 10 7 5 2" xfId="32411" xr:uid="{00000000-0005-0000-0000-0000A9650000}"/>
    <cellStyle name="Normal 3 4 10 7 6" xfId="14915" xr:uid="{00000000-0005-0000-0000-0000AA650000}"/>
    <cellStyle name="Normal 3 4 10 7 6 2" xfId="32412" xr:uid="{00000000-0005-0000-0000-0000AB650000}"/>
    <cellStyle name="Normal 3 4 10 7 7" xfId="14916" xr:uid="{00000000-0005-0000-0000-0000AC650000}"/>
    <cellStyle name="Normal 3 4 10 7 7 2" xfId="32413" xr:uid="{00000000-0005-0000-0000-0000AD650000}"/>
    <cellStyle name="Normal 3 4 10 7 8" xfId="14917" xr:uid="{00000000-0005-0000-0000-0000AE650000}"/>
    <cellStyle name="Normal 3 4 10 7 8 2" xfId="32414" xr:uid="{00000000-0005-0000-0000-0000AF650000}"/>
    <cellStyle name="Normal 3 4 10 7 9" xfId="14918" xr:uid="{00000000-0005-0000-0000-0000B0650000}"/>
    <cellStyle name="Normal 3 4 10 7 9 2" xfId="32415" xr:uid="{00000000-0005-0000-0000-0000B1650000}"/>
    <cellStyle name="Normal 3 4 10 8" xfId="14919" xr:uid="{00000000-0005-0000-0000-0000B2650000}"/>
    <cellStyle name="Normal 3 4 10 8 10" xfId="14920" xr:uid="{00000000-0005-0000-0000-0000B3650000}"/>
    <cellStyle name="Normal 3 4 10 8 10 2" xfId="32417" xr:uid="{00000000-0005-0000-0000-0000B4650000}"/>
    <cellStyle name="Normal 3 4 10 8 11" xfId="14921" xr:uid="{00000000-0005-0000-0000-0000B5650000}"/>
    <cellStyle name="Normal 3 4 10 8 11 2" xfId="32418" xr:uid="{00000000-0005-0000-0000-0000B6650000}"/>
    <cellStyle name="Normal 3 4 10 8 12" xfId="14922" xr:uid="{00000000-0005-0000-0000-0000B7650000}"/>
    <cellStyle name="Normal 3 4 10 8 12 2" xfId="32419" xr:uid="{00000000-0005-0000-0000-0000B8650000}"/>
    <cellStyle name="Normal 3 4 10 8 13" xfId="14923" xr:uid="{00000000-0005-0000-0000-0000B9650000}"/>
    <cellStyle name="Normal 3 4 10 8 13 2" xfId="32420" xr:uid="{00000000-0005-0000-0000-0000BA650000}"/>
    <cellStyle name="Normal 3 4 10 8 14" xfId="14924" xr:uid="{00000000-0005-0000-0000-0000BB650000}"/>
    <cellStyle name="Normal 3 4 10 8 14 2" xfId="32421" xr:uid="{00000000-0005-0000-0000-0000BC650000}"/>
    <cellStyle name="Normal 3 4 10 8 15" xfId="32416" xr:uid="{00000000-0005-0000-0000-0000BD650000}"/>
    <cellStyle name="Normal 3 4 10 8 2" xfId="14925" xr:uid="{00000000-0005-0000-0000-0000BE650000}"/>
    <cellStyle name="Normal 3 4 10 8 2 2" xfId="32422" xr:uid="{00000000-0005-0000-0000-0000BF650000}"/>
    <cellStyle name="Normal 3 4 10 8 3" xfId="14926" xr:uid="{00000000-0005-0000-0000-0000C0650000}"/>
    <cellStyle name="Normal 3 4 10 8 3 2" xfId="32423" xr:uid="{00000000-0005-0000-0000-0000C1650000}"/>
    <cellStyle name="Normal 3 4 10 8 4" xfId="14927" xr:uid="{00000000-0005-0000-0000-0000C2650000}"/>
    <cellStyle name="Normal 3 4 10 8 4 2" xfId="32424" xr:uid="{00000000-0005-0000-0000-0000C3650000}"/>
    <cellStyle name="Normal 3 4 10 8 5" xfId="14928" xr:uid="{00000000-0005-0000-0000-0000C4650000}"/>
    <cellStyle name="Normal 3 4 10 8 5 2" xfId="32425" xr:uid="{00000000-0005-0000-0000-0000C5650000}"/>
    <cellStyle name="Normal 3 4 10 8 6" xfId="14929" xr:uid="{00000000-0005-0000-0000-0000C6650000}"/>
    <cellStyle name="Normal 3 4 10 8 6 2" xfId="32426" xr:uid="{00000000-0005-0000-0000-0000C7650000}"/>
    <cellStyle name="Normal 3 4 10 8 7" xfId="14930" xr:uid="{00000000-0005-0000-0000-0000C8650000}"/>
    <cellStyle name="Normal 3 4 10 8 7 2" xfId="32427" xr:uid="{00000000-0005-0000-0000-0000C9650000}"/>
    <cellStyle name="Normal 3 4 10 8 8" xfId="14931" xr:uid="{00000000-0005-0000-0000-0000CA650000}"/>
    <cellStyle name="Normal 3 4 10 8 8 2" xfId="32428" xr:uid="{00000000-0005-0000-0000-0000CB650000}"/>
    <cellStyle name="Normal 3 4 10 8 9" xfId="14932" xr:uid="{00000000-0005-0000-0000-0000CC650000}"/>
    <cellStyle name="Normal 3 4 10 8 9 2" xfId="32429" xr:uid="{00000000-0005-0000-0000-0000CD650000}"/>
    <cellStyle name="Normal 3 4 10 9" xfId="14933" xr:uid="{00000000-0005-0000-0000-0000CE650000}"/>
    <cellStyle name="Normal 3 4 10 9 10" xfId="14934" xr:uid="{00000000-0005-0000-0000-0000CF650000}"/>
    <cellStyle name="Normal 3 4 10 9 10 2" xfId="32431" xr:uid="{00000000-0005-0000-0000-0000D0650000}"/>
    <cellStyle name="Normal 3 4 10 9 11" xfId="14935" xr:uid="{00000000-0005-0000-0000-0000D1650000}"/>
    <cellStyle name="Normal 3 4 10 9 11 2" xfId="32432" xr:uid="{00000000-0005-0000-0000-0000D2650000}"/>
    <cellStyle name="Normal 3 4 10 9 12" xfId="14936" xr:uid="{00000000-0005-0000-0000-0000D3650000}"/>
    <cellStyle name="Normal 3 4 10 9 12 2" xfId="32433" xr:uid="{00000000-0005-0000-0000-0000D4650000}"/>
    <cellStyle name="Normal 3 4 10 9 13" xfId="14937" xr:uid="{00000000-0005-0000-0000-0000D5650000}"/>
    <cellStyle name="Normal 3 4 10 9 13 2" xfId="32434" xr:uid="{00000000-0005-0000-0000-0000D6650000}"/>
    <cellStyle name="Normal 3 4 10 9 14" xfId="14938" xr:uid="{00000000-0005-0000-0000-0000D7650000}"/>
    <cellStyle name="Normal 3 4 10 9 14 2" xfId="32435" xr:uid="{00000000-0005-0000-0000-0000D8650000}"/>
    <cellStyle name="Normal 3 4 10 9 15" xfId="32430" xr:uid="{00000000-0005-0000-0000-0000D9650000}"/>
    <cellStyle name="Normal 3 4 10 9 2" xfId="14939" xr:uid="{00000000-0005-0000-0000-0000DA650000}"/>
    <cellStyle name="Normal 3 4 10 9 2 2" xfId="32436" xr:uid="{00000000-0005-0000-0000-0000DB650000}"/>
    <cellStyle name="Normal 3 4 10 9 3" xfId="14940" xr:uid="{00000000-0005-0000-0000-0000DC650000}"/>
    <cellStyle name="Normal 3 4 10 9 3 2" xfId="32437" xr:uid="{00000000-0005-0000-0000-0000DD650000}"/>
    <cellStyle name="Normal 3 4 10 9 4" xfId="14941" xr:uid="{00000000-0005-0000-0000-0000DE650000}"/>
    <cellStyle name="Normal 3 4 10 9 4 2" xfId="32438" xr:uid="{00000000-0005-0000-0000-0000DF650000}"/>
    <cellStyle name="Normal 3 4 10 9 5" xfId="14942" xr:uid="{00000000-0005-0000-0000-0000E0650000}"/>
    <cellStyle name="Normal 3 4 10 9 5 2" xfId="32439" xr:uid="{00000000-0005-0000-0000-0000E1650000}"/>
    <cellStyle name="Normal 3 4 10 9 6" xfId="14943" xr:uid="{00000000-0005-0000-0000-0000E2650000}"/>
    <cellStyle name="Normal 3 4 10 9 6 2" xfId="32440" xr:uid="{00000000-0005-0000-0000-0000E3650000}"/>
    <cellStyle name="Normal 3 4 10 9 7" xfId="14944" xr:uid="{00000000-0005-0000-0000-0000E4650000}"/>
    <cellStyle name="Normal 3 4 10 9 7 2" xfId="32441" xr:uid="{00000000-0005-0000-0000-0000E5650000}"/>
    <cellStyle name="Normal 3 4 10 9 8" xfId="14945" xr:uid="{00000000-0005-0000-0000-0000E6650000}"/>
    <cellStyle name="Normal 3 4 10 9 8 2" xfId="32442" xr:uid="{00000000-0005-0000-0000-0000E7650000}"/>
    <cellStyle name="Normal 3 4 10 9 9" xfId="14946" xr:uid="{00000000-0005-0000-0000-0000E8650000}"/>
    <cellStyle name="Normal 3 4 10 9 9 2" xfId="32443" xr:uid="{00000000-0005-0000-0000-0000E9650000}"/>
    <cellStyle name="Normal 3 4 11" xfId="14947" xr:uid="{00000000-0005-0000-0000-0000EA650000}"/>
    <cellStyle name="Normal 3 4 11 10" xfId="14948" xr:uid="{00000000-0005-0000-0000-0000EB650000}"/>
    <cellStyle name="Normal 3 4 11 10 10" xfId="14949" xr:uid="{00000000-0005-0000-0000-0000EC650000}"/>
    <cellStyle name="Normal 3 4 11 10 10 2" xfId="32446" xr:uid="{00000000-0005-0000-0000-0000ED650000}"/>
    <cellStyle name="Normal 3 4 11 10 11" xfId="14950" xr:uid="{00000000-0005-0000-0000-0000EE650000}"/>
    <cellStyle name="Normal 3 4 11 10 11 2" xfId="32447" xr:uid="{00000000-0005-0000-0000-0000EF650000}"/>
    <cellStyle name="Normal 3 4 11 10 12" xfId="14951" xr:uid="{00000000-0005-0000-0000-0000F0650000}"/>
    <cellStyle name="Normal 3 4 11 10 12 2" xfId="32448" xr:uid="{00000000-0005-0000-0000-0000F1650000}"/>
    <cellStyle name="Normal 3 4 11 10 13" xfId="14952" xr:uid="{00000000-0005-0000-0000-0000F2650000}"/>
    <cellStyle name="Normal 3 4 11 10 13 2" xfId="32449" xr:uid="{00000000-0005-0000-0000-0000F3650000}"/>
    <cellStyle name="Normal 3 4 11 10 14" xfId="14953" xr:uid="{00000000-0005-0000-0000-0000F4650000}"/>
    <cellStyle name="Normal 3 4 11 10 14 2" xfId="32450" xr:uid="{00000000-0005-0000-0000-0000F5650000}"/>
    <cellStyle name="Normal 3 4 11 10 15" xfId="32445" xr:uid="{00000000-0005-0000-0000-0000F6650000}"/>
    <cellStyle name="Normal 3 4 11 10 2" xfId="14954" xr:uid="{00000000-0005-0000-0000-0000F7650000}"/>
    <cellStyle name="Normal 3 4 11 10 2 2" xfId="32451" xr:uid="{00000000-0005-0000-0000-0000F8650000}"/>
    <cellStyle name="Normal 3 4 11 10 3" xfId="14955" xr:uid="{00000000-0005-0000-0000-0000F9650000}"/>
    <cellStyle name="Normal 3 4 11 10 3 2" xfId="32452" xr:uid="{00000000-0005-0000-0000-0000FA650000}"/>
    <cellStyle name="Normal 3 4 11 10 4" xfId="14956" xr:uid="{00000000-0005-0000-0000-0000FB650000}"/>
    <cellStyle name="Normal 3 4 11 10 4 2" xfId="32453" xr:uid="{00000000-0005-0000-0000-0000FC650000}"/>
    <cellStyle name="Normal 3 4 11 10 5" xfId="14957" xr:uid="{00000000-0005-0000-0000-0000FD650000}"/>
    <cellStyle name="Normal 3 4 11 10 5 2" xfId="32454" xr:uid="{00000000-0005-0000-0000-0000FE650000}"/>
    <cellStyle name="Normal 3 4 11 10 6" xfId="14958" xr:uid="{00000000-0005-0000-0000-0000FF650000}"/>
    <cellStyle name="Normal 3 4 11 10 6 2" xfId="32455" xr:uid="{00000000-0005-0000-0000-000000660000}"/>
    <cellStyle name="Normal 3 4 11 10 7" xfId="14959" xr:uid="{00000000-0005-0000-0000-000001660000}"/>
    <cellStyle name="Normal 3 4 11 10 7 2" xfId="32456" xr:uid="{00000000-0005-0000-0000-000002660000}"/>
    <cellStyle name="Normal 3 4 11 10 8" xfId="14960" xr:uid="{00000000-0005-0000-0000-000003660000}"/>
    <cellStyle name="Normal 3 4 11 10 8 2" xfId="32457" xr:uid="{00000000-0005-0000-0000-000004660000}"/>
    <cellStyle name="Normal 3 4 11 10 9" xfId="14961" xr:uid="{00000000-0005-0000-0000-000005660000}"/>
    <cellStyle name="Normal 3 4 11 10 9 2" xfId="32458" xr:uid="{00000000-0005-0000-0000-000006660000}"/>
    <cellStyle name="Normal 3 4 11 11" xfId="14962" xr:uid="{00000000-0005-0000-0000-000007660000}"/>
    <cellStyle name="Normal 3 4 11 11 2" xfId="32459" xr:uid="{00000000-0005-0000-0000-000008660000}"/>
    <cellStyle name="Normal 3 4 11 12" xfId="14963" xr:uid="{00000000-0005-0000-0000-000009660000}"/>
    <cellStyle name="Normal 3 4 11 12 2" xfId="32460" xr:uid="{00000000-0005-0000-0000-00000A660000}"/>
    <cellStyle name="Normal 3 4 11 13" xfId="14964" xr:uid="{00000000-0005-0000-0000-00000B660000}"/>
    <cellStyle name="Normal 3 4 11 13 2" xfId="32461" xr:uid="{00000000-0005-0000-0000-00000C660000}"/>
    <cellStyle name="Normal 3 4 11 14" xfId="14965" xr:uid="{00000000-0005-0000-0000-00000D660000}"/>
    <cellStyle name="Normal 3 4 11 14 2" xfId="32462" xr:uid="{00000000-0005-0000-0000-00000E660000}"/>
    <cellStyle name="Normal 3 4 11 15" xfId="14966" xr:uid="{00000000-0005-0000-0000-00000F660000}"/>
    <cellStyle name="Normal 3 4 11 15 2" xfId="32463" xr:uid="{00000000-0005-0000-0000-000010660000}"/>
    <cellStyle name="Normal 3 4 11 16" xfId="14967" xr:uid="{00000000-0005-0000-0000-000011660000}"/>
    <cellStyle name="Normal 3 4 11 16 2" xfId="32464" xr:uid="{00000000-0005-0000-0000-000012660000}"/>
    <cellStyle name="Normal 3 4 11 17" xfId="14968" xr:uid="{00000000-0005-0000-0000-000013660000}"/>
    <cellStyle name="Normal 3 4 11 17 2" xfId="32465" xr:uid="{00000000-0005-0000-0000-000014660000}"/>
    <cellStyle name="Normal 3 4 11 18" xfId="14969" xr:uid="{00000000-0005-0000-0000-000015660000}"/>
    <cellStyle name="Normal 3 4 11 18 2" xfId="32466" xr:uid="{00000000-0005-0000-0000-000016660000}"/>
    <cellStyle name="Normal 3 4 11 19" xfId="14970" xr:uid="{00000000-0005-0000-0000-000017660000}"/>
    <cellStyle name="Normal 3 4 11 19 2" xfId="32467" xr:uid="{00000000-0005-0000-0000-000018660000}"/>
    <cellStyle name="Normal 3 4 11 2" xfId="14971" xr:uid="{00000000-0005-0000-0000-000019660000}"/>
    <cellStyle name="Normal 3 4 11 2 10" xfId="14972" xr:uid="{00000000-0005-0000-0000-00001A660000}"/>
    <cellStyle name="Normal 3 4 11 2 10 2" xfId="32469" xr:uid="{00000000-0005-0000-0000-00001B660000}"/>
    <cellStyle name="Normal 3 4 11 2 11" xfId="14973" xr:uid="{00000000-0005-0000-0000-00001C660000}"/>
    <cellStyle name="Normal 3 4 11 2 11 2" xfId="32470" xr:uid="{00000000-0005-0000-0000-00001D660000}"/>
    <cellStyle name="Normal 3 4 11 2 12" xfId="14974" xr:uid="{00000000-0005-0000-0000-00001E660000}"/>
    <cellStyle name="Normal 3 4 11 2 12 2" xfId="32471" xr:uid="{00000000-0005-0000-0000-00001F660000}"/>
    <cellStyle name="Normal 3 4 11 2 13" xfId="14975" xr:uid="{00000000-0005-0000-0000-000020660000}"/>
    <cellStyle name="Normal 3 4 11 2 13 2" xfId="32472" xr:uid="{00000000-0005-0000-0000-000021660000}"/>
    <cellStyle name="Normal 3 4 11 2 14" xfId="14976" xr:uid="{00000000-0005-0000-0000-000022660000}"/>
    <cellStyle name="Normal 3 4 11 2 14 2" xfId="32473" xr:uid="{00000000-0005-0000-0000-000023660000}"/>
    <cellStyle name="Normal 3 4 11 2 15" xfId="14977" xr:uid="{00000000-0005-0000-0000-000024660000}"/>
    <cellStyle name="Normal 3 4 11 2 15 2" xfId="32474" xr:uid="{00000000-0005-0000-0000-000025660000}"/>
    <cellStyle name="Normal 3 4 11 2 16" xfId="32468" xr:uid="{00000000-0005-0000-0000-000026660000}"/>
    <cellStyle name="Normal 3 4 11 2 2" xfId="14978" xr:uid="{00000000-0005-0000-0000-000027660000}"/>
    <cellStyle name="Normal 3 4 11 2 2 10" xfId="14979" xr:uid="{00000000-0005-0000-0000-000028660000}"/>
    <cellStyle name="Normal 3 4 11 2 2 10 2" xfId="32476" xr:uid="{00000000-0005-0000-0000-000029660000}"/>
    <cellStyle name="Normal 3 4 11 2 2 11" xfId="14980" xr:uid="{00000000-0005-0000-0000-00002A660000}"/>
    <cellStyle name="Normal 3 4 11 2 2 11 2" xfId="32477" xr:uid="{00000000-0005-0000-0000-00002B660000}"/>
    <cellStyle name="Normal 3 4 11 2 2 12" xfId="14981" xr:uid="{00000000-0005-0000-0000-00002C660000}"/>
    <cellStyle name="Normal 3 4 11 2 2 12 2" xfId="32478" xr:uid="{00000000-0005-0000-0000-00002D660000}"/>
    <cellStyle name="Normal 3 4 11 2 2 13" xfId="14982" xr:uid="{00000000-0005-0000-0000-00002E660000}"/>
    <cellStyle name="Normal 3 4 11 2 2 13 2" xfId="32479" xr:uid="{00000000-0005-0000-0000-00002F660000}"/>
    <cellStyle name="Normal 3 4 11 2 2 14" xfId="14983" xr:uid="{00000000-0005-0000-0000-000030660000}"/>
    <cellStyle name="Normal 3 4 11 2 2 14 2" xfId="32480" xr:uid="{00000000-0005-0000-0000-000031660000}"/>
    <cellStyle name="Normal 3 4 11 2 2 15" xfId="32475" xr:uid="{00000000-0005-0000-0000-000032660000}"/>
    <cellStyle name="Normal 3 4 11 2 2 2" xfId="14984" xr:uid="{00000000-0005-0000-0000-000033660000}"/>
    <cellStyle name="Normal 3 4 11 2 2 2 2" xfId="32481" xr:uid="{00000000-0005-0000-0000-000034660000}"/>
    <cellStyle name="Normal 3 4 11 2 2 3" xfId="14985" xr:uid="{00000000-0005-0000-0000-000035660000}"/>
    <cellStyle name="Normal 3 4 11 2 2 3 2" xfId="32482" xr:uid="{00000000-0005-0000-0000-000036660000}"/>
    <cellStyle name="Normal 3 4 11 2 2 4" xfId="14986" xr:uid="{00000000-0005-0000-0000-000037660000}"/>
    <cellStyle name="Normal 3 4 11 2 2 4 2" xfId="32483" xr:uid="{00000000-0005-0000-0000-000038660000}"/>
    <cellStyle name="Normal 3 4 11 2 2 5" xfId="14987" xr:uid="{00000000-0005-0000-0000-000039660000}"/>
    <cellStyle name="Normal 3 4 11 2 2 5 2" xfId="32484" xr:uid="{00000000-0005-0000-0000-00003A660000}"/>
    <cellStyle name="Normal 3 4 11 2 2 6" xfId="14988" xr:uid="{00000000-0005-0000-0000-00003B660000}"/>
    <cellStyle name="Normal 3 4 11 2 2 6 2" xfId="32485" xr:uid="{00000000-0005-0000-0000-00003C660000}"/>
    <cellStyle name="Normal 3 4 11 2 2 7" xfId="14989" xr:uid="{00000000-0005-0000-0000-00003D660000}"/>
    <cellStyle name="Normal 3 4 11 2 2 7 2" xfId="32486" xr:uid="{00000000-0005-0000-0000-00003E660000}"/>
    <cellStyle name="Normal 3 4 11 2 2 8" xfId="14990" xr:uid="{00000000-0005-0000-0000-00003F660000}"/>
    <cellStyle name="Normal 3 4 11 2 2 8 2" xfId="32487" xr:uid="{00000000-0005-0000-0000-000040660000}"/>
    <cellStyle name="Normal 3 4 11 2 2 9" xfId="14991" xr:uid="{00000000-0005-0000-0000-000041660000}"/>
    <cellStyle name="Normal 3 4 11 2 2 9 2" xfId="32488" xr:uid="{00000000-0005-0000-0000-000042660000}"/>
    <cellStyle name="Normal 3 4 11 2 3" xfId="14992" xr:uid="{00000000-0005-0000-0000-000043660000}"/>
    <cellStyle name="Normal 3 4 11 2 3 2" xfId="32489" xr:uid="{00000000-0005-0000-0000-000044660000}"/>
    <cellStyle name="Normal 3 4 11 2 4" xfId="14993" xr:uid="{00000000-0005-0000-0000-000045660000}"/>
    <cellStyle name="Normal 3 4 11 2 4 2" xfId="32490" xr:uid="{00000000-0005-0000-0000-000046660000}"/>
    <cellStyle name="Normal 3 4 11 2 5" xfId="14994" xr:uid="{00000000-0005-0000-0000-000047660000}"/>
    <cellStyle name="Normal 3 4 11 2 5 2" xfId="32491" xr:uid="{00000000-0005-0000-0000-000048660000}"/>
    <cellStyle name="Normal 3 4 11 2 6" xfId="14995" xr:uid="{00000000-0005-0000-0000-000049660000}"/>
    <cellStyle name="Normal 3 4 11 2 6 2" xfId="32492" xr:uid="{00000000-0005-0000-0000-00004A660000}"/>
    <cellStyle name="Normal 3 4 11 2 7" xfId="14996" xr:uid="{00000000-0005-0000-0000-00004B660000}"/>
    <cellStyle name="Normal 3 4 11 2 7 2" xfId="32493" xr:uid="{00000000-0005-0000-0000-00004C660000}"/>
    <cellStyle name="Normal 3 4 11 2 8" xfId="14997" xr:uid="{00000000-0005-0000-0000-00004D660000}"/>
    <cellStyle name="Normal 3 4 11 2 8 2" xfId="32494" xr:uid="{00000000-0005-0000-0000-00004E660000}"/>
    <cellStyle name="Normal 3 4 11 2 9" xfId="14998" xr:uid="{00000000-0005-0000-0000-00004F660000}"/>
    <cellStyle name="Normal 3 4 11 2 9 2" xfId="32495" xr:uid="{00000000-0005-0000-0000-000050660000}"/>
    <cellStyle name="Normal 3 4 11 20" xfId="14999" xr:uid="{00000000-0005-0000-0000-000051660000}"/>
    <cellStyle name="Normal 3 4 11 20 2" xfId="32496" xr:uid="{00000000-0005-0000-0000-000052660000}"/>
    <cellStyle name="Normal 3 4 11 21" xfId="15000" xr:uid="{00000000-0005-0000-0000-000053660000}"/>
    <cellStyle name="Normal 3 4 11 21 2" xfId="32497" xr:uid="{00000000-0005-0000-0000-000054660000}"/>
    <cellStyle name="Normal 3 4 11 22" xfId="15001" xr:uid="{00000000-0005-0000-0000-000055660000}"/>
    <cellStyle name="Normal 3 4 11 22 2" xfId="32498" xr:uid="{00000000-0005-0000-0000-000056660000}"/>
    <cellStyle name="Normal 3 4 11 23" xfId="15002" xr:uid="{00000000-0005-0000-0000-000057660000}"/>
    <cellStyle name="Normal 3 4 11 23 2" xfId="32499" xr:uid="{00000000-0005-0000-0000-000058660000}"/>
    <cellStyle name="Normal 3 4 11 24" xfId="32444" xr:uid="{00000000-0005-0000-0000-000059660000}"/>
    <cellStyle name="Normal 3 4 11 3" xfId="15003" xr:uid="{00000000-0005-0000-0000-00005A660000}"/>
    <cellStyle name="Normal 3 4 11 3 10" xfId="15004" xr:uid="{00000000-0005-0000-0000-00005B660000}"/>
    <cellStyle name="Normal 3 4 11 3 10 2" xfId="32501" xr:uid="{00000000-0005-0000-0000-00005C660000}"/>
    <cellStyle name="Normal 3 4 11 3 11" xfId="15005" xr:uid="{00000000-0005-0000-0000-00005D660000}"/>
    <cellStyle name="Normal 3 4 11 3 11 2" xfId="32502" xr:uid="{00000000-0005-0000-0000-00005E660000}"/>
    <cellStyle name="Normal 3 4 11 3 12" xfId="15006" xr:uid="{00000000-0005-0000-0000-00005F660000}"/>
    <cellStyle name="Normal 3 4 11 3 12 2" xfId="32503" xr:uid="{00000000-0005-0000-0000-000060660000}"/>
    <cellStyle name="Normal 3 4 11 3 13" xfId="15007" xr:uid="{00000000-0005-0000-0000-000061660000}"/>
    <cellStyle name="Normal 3 4 11 3 13 2" xfId="32504" xr:uid="{00000000-0005-0000-0000-000062660000}"/>
    <cellStyle name="Normal 3 4 11 3 14" xfId="15008" xr:uid="{00000000-0005-0000-0000-000063660000}"/>
    <cellStyle name="Normal 3 4 11 3 14 2" xfId="32505" xr:uid="{00000000-0005-0000-0000-000064660000}"/>
    <cellStyle name="Normal 3 4 11 3 15" xfId="15009" xr:uid="{00000000-0005-0000-0000-000065660000}"/>
    <cellStyle name="Normal 3 4 11 3 15 2" xfId="32506" xr:uid="{00000000-0005-0000-0000-000066660000}"/>
    <cellStyle name="Normal 3 4 11 3 16" xfId="32500" xr:uid="{00000000-0005-0000-0000-000067660000}"/>
    <cellStyle name="Normal 3 4 11 3 2" xfId="15010" xr:uid="{00000000-0005-0000-0000-000068660000}"/>
    <cellStyle name="Normal 3 4 11 3 2 10" xfId="15011" xr:uid="{00000000-0005-0000-0000-000069660000}"/>
    <cellStyle name="Normal 3 4 11 3 2 10 2" xfId="32508" xr:uid="{00000000-0005-0000-0000-00006A660000}"/>
    <cellStyle name="Normal 3 4 11 3 2 11" xfId="15012" xr:uid="{00000000-0005-0000-0000-00006B660000}"/>
    <cellStyle name="Normal 3 4 11 3 2 11 2" xfId="32509" xr:uid="{00000000-0005-0000-0000-00006C660000}"/>
    <cellStyle name="Normal 3 4 11 3 2 12" xfId="15013" xr:uid="{00000000-0005-0000-0000-00006D660000}"/>
    <cellStyle name="Normal 3 4 11 3 2 12 2" xfId="32510" xr:uid="{00000000-0005-0000-0000-00006E660000}"/>
    <cellStyle name="Normal 3 4 11 3 2 13" xfId="15014" xr:uid="{00000000-0005-0000-0000-00006F660000}"/>
    <cellStyle name="Normal 3 4 11 3 2 13 2" xfId="32511" xr:uid="{00000000-0005-0000-0000-000070660000}"/>
    <cellStyle name="Normal 3 4 11 3 2 14" xfId="15015" xr:uid="{00000000-0005-0000-0000-000071660000}"/>
    <cellStyle name="Normal 3 4 11 3 2 14 2" xfId="32512" xr:uid="{00000000-0005-0000-0000-000072660000}"/>
    <cellStyle name="Normal 3 4 11 3 2 15" xfId="32507" xr:uid="{00000000-0005-0000-0000-000073660000}"/>
    <cellStyle name="Normal 3 4 11 3 2 2" xfId="15016" xr:uid="{00000000-0005-0000-0000-000074660000}"/>
    <cellStyle name="Normal 3 4 11 3 2 2 2" xfId="32513" xr:uid="{00000000-0005-0000-0000-000075660000}"/>
    <cellStyle name="Normal 3 4 11 3 2 3" xfId="15017" xr:uid="{00000000-0005-0000-0000-000076660000}"/>
    <cellStyle name="Normal 3 4 11 3 2 3 2" xfId="32514" xr:uid="{00000000-0005-0000-0000-000077660000}"/>
    <cellStyle name="Normal 3 4 11 3 2 4" xfId="15018" xr:uid="{00000000-0005-0000-0000-000078660000}"/>
    <cellStyle name="Normal 3 4 11 3 2 4 2" xfId="32515" xr:uid="{00000000-0005-0000-0000-000079660000}"/>
    <cellStyle name="Normal 3 4 11 3 2 5" xfId="15019" xr:uid="{00000000-0005-0000-0000-00007A660000}"/>
    <cellStyle name="Normal 3 4 11 3 2 5 2" xfId="32516" xr:uid="{00000000-0005-0000-0000-00007B660000}"/>
    <cellStyle name="Normal 3 4 11 3 2 6" xfId="15020" xr:uid="{00000000-0005-0000-0000-00007C660000}"/>
    <cellStyle name="Normal 3 4 11 3 2 6 2" xfId="32517" xr:uid="{00000000-0005-0000-0000-00007D660000}"/>
    <cellStyle name="Normal 3 4 11 3 2 7" xfId="15021" xr:uid="{00000000-0005-0000-0000-00007E660000}"/>
    <cellStyle name="Normal 3 4 11 3 2 7 2" xfId="32518" xr:uid="{00000000-0005-0000-0000-00007F660000}"/>
    <cellStyle name="Normal 3 4 11 3 2 8" xfId="15022" xr:uid="{00000000-0005-0000-0000-000080660000}"/>
    <cellStyle name="Normal 3 4 11 3 2 8 2" xfId="32519" xr:uid="{00000000-0005-0000-0000-000081660000}"/>
    <cellStyle name="Normal 3 4 11 3 2 9" xfId="15023" xr:uid="{00000000-0005-0000-0000-000082660000}"/>
    <cellStyle name="Normal 3 4 11 3 2 9 2" xfId="32520" xr:uid="{00000000-0005-0000-0000-000083660000}"/>
    <cellStyle name="Normal 3 4 11 3 3" xfId="15024" xr:uid="{00000000-0005-0000-0000-000084660000}"/>
    <cellStyle name="Normal 3 4 11 3 3 2" xfId="32521" xr:uid="{00000000-0005-0000-0000-000085660000}"/>
    <cellStyle name="Normal 3 4 11 3 4" xfId="15025" xr:uid="{00000000-0005-0000-0000-000086660000}"/>
    <cellStyle name="Normal 3 4 11 3 4 2" xfId="32522" xr:uid="{00000000-0005-0000-0000-000087660000}"/>
    <cellStyle name="Normal 3 4 11 3 5" xfId="15026" xr:uid="{00000000-0005-0000-0000-000088660000}"/>
    <cellStyle name="Normal 3 4 11 3 5 2" xfId="32523" xr:uid="{00000000-0005-0000-0000-000089660000}"/>
    <cellStyle name="Normal 3 4 11 3 6" xfId="15027" xr:uid="{00000000-0005-0000-0000-00008A660000}"/>
    <cellStyle name="Normal 3 4 11 3 6 2" xfId="32524" xr:uid="{00000000-0005-0000-0000-00008B660000}"/>
    <cellStyle name="Normal 3 4 11 3 7" xfId="15028" xr:uid="{00000000-0005-0000-0000-00008C660000}"/>
    <cellStyle name="Normal 3 4 11 3 7 2" xfId="32525" xr:uid="{00000000-0005-0000-0000-00008D660000}"/>
    <cellStyle name="Normal 3 4 11 3 8" xfId="15029" xr:uid="{00000000-0005-0000-0000-00008E660000}"/>
    <cellStyle name="Normal 3 4 11 3 8 2" xfId="32526" xr:uid="{00000000-0005-0000-0000-00008F660000}"/>
    <cellStyle name="Normal 3 4 11 3 9" xfId="15030" xr:uid="{00000000-0005-0000-0000-000090660000}"/>
    <cellStyle name="Normal 3 4 11 3 9 2" xfId="32527" xr:uid="{00000000-0005-0000-0000-000091660000}"/>
    <cellStyle name="Normal 3 4 11 4" xfId="15031" xr:uid="{00000000-0005-0000-0000-000092660000}"/>
    <cellStyle name="Normal 3 4 11 4 10" xfId="15032" xr:uid="{00000000-0005-0000-0000-000093660000}"/>
    <cellStyle name="Normal 3 4 11 4 10 2" xfId="32529" xr:uid="{00000000-0005-0000-0000-000094660000}"/>
    <cellStyle name="Normal 3 4 11 4 11" xfId="15033" xr:uid="{00000000-0005-0000-0000-000095660000}"/>
    <cellStyle name="Normal 3 4 11 4 11 2" xfId="32530" xr:uid="{00000000-0005-0000-0000-000096660000}"/>
    <cellStyle name="Normal 3 4 11 4 12" xfId="15034" xr:uid="{00000000-0005-0000-0000-000097660000}"/>
    <cellStyle name="Normal 3 4 11 4 12 2" xfId="32531" xr:uid="{00000000-0005-0000-0000-000098660000}"/>
    <cellStyle name="Normal 3 4 11 4 13" xfId="15035" xr:uid="{00000000-0005-0000-0000-000099660000}"/>
    <cellStyle name="Normal 3 4 11 4 13 2" xfId="32532" xr:uid="{00000000-0005-0000-0000-00009A660000}"/>
    <cellStyle name="Normal 3 4 11 4 14" xfId="15036" xr:uid="{00000000-0005-0000-0000-00009B660000}"/>
    <cellStyle name="Normal 3 4 11 4 14 2" xfId="32533" xr:uid="{00000000-0005-0000-0000-00009C660000}"/>
    <cellStyle name="Normal 3 4 11 4 15" xfId="15037" xr:uid="{00000000-0005-0000-0000-00009D660000}"/>
    <cellStyle name="Normal 3 4 11 4 15 2" xfId="32534" xr:uid="{00000000-0005-0000-0000-00009E660000}"/>
    <cellStyle name="Normal 3 4 11 4 16" xfId="32528" xr:uid="{00000000-0005-0000-0000-00009F660000}"/>
    <cellStyle name="Normal 3 4 11 4 2" xfId="15038" xr:uid="{00000000-0005-0000-0000-0000A0660000}"/>
    <cellStyle name="Normal 3 4 11 4 2 10" xfId="15039" xr:uid="{00000000-0005-0000-0000-0000A1660000}"/>
    <cellStyle name="Normal 3 4 11 4 2 10 2" xfId="32536" xr:uid="{00000000-0005-0000-0000-0000A2660000}"/>
    <cellStyle name="Normal 3 4 11 4 2 11" xfId="15040" xr:uid="{00000000-0005-0000-0000-0000A3660000}"/>
    <cellStyle name="Normal 3 4 11 4 2 11 2" xfId="32537" xr:uid="{00000000-0005-0000-0000-0000A4660000}"/>
    <cellStyle name="Normal 3 4 11 4 2 12" xfId="15041" xr:uid="{00000000-0005-0000-0000-0000A5660000}"/>
    <cellStyle name="Normal 3 4 11 4 2 12 2" xfId="32538" xr:uid="{00000000-0005-0000-0000-0000A6660000}"/>
    <cellStyle name="Normal 3 4 11 4 2 13" xfId="15042" xr:uid="{00000000-0005-0000-0000-0000A7660000}"/>
    <cellStyle name="Normal 3 4 11 4 2 13 2" xfId="32539" xr:uid="{00000000-0005-0000-0000-0000A8660000}"/>
    <cellStyle name="Normal 3 4 11 4 2 14" xfId="15043" xr:uid="{00000000-0005-0000-0000-0000A9660000}"/>
    <cellStyle name="Normal 3 4 11 4 2 14 2" xfId="32540" xr:uid="{00000000-0005-0000-0000-0000AA660000}"/>
    <cellStyle name="Normal 3 4 11 4 2 15" xfId="32535" xr:uid="{00000000-0005-0000-0000-0000AB660000}"/>
    <cellStyle name="Normal 3 4 11 4 2 2" xfId="15044" xr:uid="{00000000-0005-0000-0000-0000AC660000}"/>
    <cellStyle name="Normal 3 4 11 4 2 2 2" xfId="32541" xr:uid="{00000000-0005-0000-0000-0000AD660000}"/>
    <cellStyle name="Normal 3 4 11 4 2 3" xfId="15045" xr:uid="{00000000-0005-0000-0000-0000AE660000}"/>
    <cellStyle name="Normal 3 4 11 4 2 3 2" xfId="32542" xr:uid="{00000000-0005-0000-0000-0000AF660000}"/>
    <cellStyle name="Normal 3 4 11 4 2 4" xfId="15046" xr:uid="{00000000-0005-0000-0000-0000B0660000}"/>
    <cellStyle name="Normal 3 4 11 4 2 4 2" xfId="32543" xr:uid="{00000000-0005-0000-0000-0000B1660000}"/>
    <cellStyle name="Normal 3 4 11 4 2 5" xfId="15047" xr:uid="{00000000-0005-0000-0000-0000B2660000}"/>
    <cellStyle name="Normal 3 4 11 4 2 5 2" xfId="32544" xr:uid="{00000000-0005-0000-0000-0000B3660000}"/>
    <cellStyle name="Normal 3 4 11 4 2 6" xfId="15048" xr:uid="{00000000-0005-0000-0000-0000B4660000}"/>
    <cellStyle name="Normal 3 4 11 4 2 6 2" xfId="32545" xr:uid="{00000000-0005-0000-0000-0000B5660000}"/>
    <cellStyle name="Normal 3 4 11 4 2 7" xfId="15049" xr:uid="{00000000-0005-0000-0000-0000B6660000}"/>
    <cellStyle name="Normal 3 4 11 4 2 7 2" xfId="32546" xr:uid="{00000000-0005-0000-0000-0000B7660000}"/>
    <cellStyle name="Normal 3 4 11 4 2 8" xfId="15050" xr:uid="{00000000-0005-0000-0000-0000B8660000}"/>
    <cellStyle name="Normal 3 4 11 4 2 8 2" xfId="32547" xr:uid="{00000000-0005-0000-0000-0000B9660000}"/>
    <cellStyle name="Normal 3 4 11 4 2 9" xfId="15051" xr:uid="{00000000-0005-0000-0000-0000BA660000}"/>
    <cellStyle name="Normal 3 4 11 4 2 9 2" xfId="32548" xr:uid="{00000000-0005-0000-0000-0000BB660000}"/>
    <cellStyle name="Normal 3 4 11 4 3" xfId="15052" xr:uid="{00000000-0005-0000-0000-0000BC660000}"/>
    <cellStyle name="Normal 3 4 11 4 3 2" xfId="32549" xr:uid="{00000000-0005-0000-0000-0000BD660000}"/>
    <cellStyle name="Normal 3 4 11 4 4" xfId="15053" xr:uid="{00000000-0005-0000-0000-0000BE660000}"/>
    <cellStyle name="Normal 3 4 11 4 4 2" xfId="32550" xr:uid="{00000000-0005-0000-0000-0000BF660000}"/>
    <cellStyle name="Normal 3 4 11 4 5" xfId="15054" xr:uid="{00000000-0005-0000-0000-0000C0660000}"/>
    <cellStyle name="Normal 3 4 11 4 5 2" xfId="32551" xr:uid="{00000000-0005-0000-0000-0000C1660000}"/>
    <cellStyle name="Normal 3 4 11 4 6" xfId="15055" xr:uid="{00000000-0005-0000-0000-0000C2660000}"/>
    <cellStyle name="Normal 3 4 11 4 6 2" xfId="32552" xr:uid="{00000000-0005-0000-0000-0000C3660000}"/>
    <cellStyle name="Normal 3 4 11 4 7" xfId="15056" xr:uid="{00000000-0005-0000-0000-0000C4660000}"/>
    <cellStyle name="Normal 3 4 11 4 7 2" xfId="32553" xr:uid="{00000000-0005-0000-0000-0000C5660000}"/>
    <cellStyle name="Normal 3 4 11 4 8" xfId="15057" xr:uid="{00000000-0005-0000-0000-0000C6660000}"/>
    <cellStyle name="Normal 3 4 11 4 8 2" xfId="32554" xr:uid="{00000000-0005-0000-0000-0000C7660000}"/>
    <cellStyle name="Normal 3 4 11 4 9" xfId="15058" xr:uid="{00000000-0005-0000-0000-0000C8660000}"/>
    <cellStyle name="Normal 3 4 11 4 9 2" xfId="32555" xr:uid="{00000000-0005-0000-0000-0000C9660000}"/>
    <cellStyle name="Normal 3 4 11 5" xfId="15059" xr:uid="{00000000-0005-0000-0000-0000CA660000}"/>
    <cellStyle name="Normal 3 4 11 5 10" xfId="15060" xr:uid="{00000000-0005-0000-0000-0000CB660000}"/>
    <cellStyle name="Normal 3 4 11 5 10 2" xfId="32557" xr:uid="{00000000-0005-0000-0000-0000CC660000}"/>
    <cellStyle name="Normal 3 4 11 5 11" xfId="15061" xr:uid="{00000000-0005-0000-0000-0000CD660000}"/>
    <cellStyle name="Normal 3 4 11 5 11 2" xfId="32558" xr:uid="{00000000-0005-0000-0000-0000CE660000}"/>
    <cellStyle name="Normal 3 4 11 5 12" xfId="15062" xr:uid="{00000000-0005-0000-0000-0000CF660000}"/>
    <cellStyle name="Normal 3 4 11 5 12 2" xfId="32559" xr:uid="{00000000-0005-0000-0000-0000D0660000}"/>
    <cellStyle name="Normal 3 4 11 5 13" xfId="15063" xr:uid="{00000000-0005-0000-0000-0000D1660000}"/>
    <cellStyle name="Normal 3 4 11 5 13 2" xfId="32560" xr:uid="{00000000-0005-0000-0000-0000D2660000}"/>
    <cellStyle name="Normal 3 4 11 5 14" xfId="15064" xr:uid="{00000000-0005-0000-0000-0000D3660000}"/>
    <cellStyle name="Normal 3 4 11 5 14 2" xfId="32561" xr:uid="{00000000-0005-0000-0000-0000D4660000}"/>
    <cellStyle name="Normal 3 4 11 5 15" xfId="32556" xr:uid="{00000000-0005-0000-0000-0000D5660000}"/>
    <cellStyle name="Normal 3 4 11 5 2" xfId="15065" xr:uid="{00000000-0005-0000-0000-0000D6660000}"/>
    <cellStyle name="Normal 3 4 11 5 2 2" xfId="32562" xr:uid="{00000000-0005-0000-0000-0000D7660000}"/>
    <cellStyle name="Normal 3 4 11 5 3" xfId="15066" xr:uid="{00000000-0005-0000-0000-0000D8660000}"/>
    <cellStyle name="Normal 3 4 11 5 3 2" xfId="32563" xr:uid="{00000000-0005-0000-0000-0000D9660000}"/>
    <cellStyle name="Normal 3 4 11 5 4" xfId="15067" xr:uid="{00000000-0005-0000-0000-0000DA660000}"/>
    <cellStyle name="Normal 3 4 11 5 4 2" xfId="32564" xr:uid="{00000000-0005-0000-0000-0000DB660000}"/>
    <cellStyle name="Normal 3 4 11 5 5" xfId="15068" xr:uid="{00000000-0005-0000-0000-0000DC660000}"/>
    <cellStyle name="Normal 3 4 11 5 5 2" xfId="32565" xr:uid="{00000000-0005-0000-0000-0000DD660000}"/>
    <cellStyle name="Normal 3 4 11 5 6" xfId="15069" xr:uid="{00000000-0005-0000-0000-0000DE660000}"/>
    <cellStyle name="Normal 3 4 11 5 6 2" xfId="32566" xr:uid="{00000000-0005-0000-0000-0000DF660000}"/>
    <cellStyle name="Normal 3 4 11 5 7" xfId="15070" xr:uid="{00000000-0005-0000-0000-0000E0660000}"/>
    <cellStyle name="Normal 3 4 11 5 7 2" xfId="32567" xr:uid="{00000000-0005-0000-0000-0000E1660000}"/>
    <cellStyle name="Normal 3 4 11 5 8" xfId="15071" xr:uid="{00000000-0005-0000-0000-0000E2660000}"/>
    <cellStyle name="Normal 3 4 11 5 8 2" xfId="32568" xr:uid="{00000000-0005-0000-0000-0000E3660000}"/>
    <cellStyle name="Normal 3 4 11 5 9" xfId="15072" xr:uid="{00000000-0005-0000-0000-0000E4660000}"/>
    <cellStyle name="Normal 3 4 11 5 9 2" xfId="32569" xr:uid="{00000000-0005-0000-0000-0000E5660000}"/>
    <cellStyle name="Normal 3 4 11 6" xfId="15073" xr:uid="{00000000-0005-0000-0000-0000E6660000}"/>
    <cellStyle name="Normal 3 4 11 6 10" xfId="15074" xr:uid="{00000000-0005-0000-0000-0000E7660000}"/>
    <cellStyle name="Normal 3 4 11 6 10 2" xfId="32571" xr:uid="{00000000-0005-0000-0000-0000E8660000}"/>
    <cellStyle name="Normal 3 4 11 6 11" xfId="15075" xr:uid="{00000000-0005-0000-0000-0000E9660000}"/>
    <cellStyle name="Normal 3 4 11 6 11 2" xfId="32572" xr:uid="{00000000-0005-0000-0000-0000EA660000}"/>
    <cellStyle name="Normal 3 4 11 6 12" xfId="15076" xr:uid="{00000000-0005-0000-0000-0000EB660000}"/>
    <cellStyle name="Normal 3 4 11 6 12 2" xfId="32573" xr:uid="{00000000-0005-0000-0000-0000EC660000}"/>
    <cellStyle name="Normal 3 4 11 6 13" xfId="15077" xr:uid="{00000000-0005-0000-0000-0000ED660000}"/>
    <cellStyle name="Normal 3 4 11 6 13 2" xfId="32574" xr:uid="{00000000-0005-0000-0000-0000EE660000}"/>
    <cellStyle name="Normal 3 4 11 6 14" xfId="15078" xr:uid="{00000000-0005-0000-0000-0000EF660000}"/>
    <cellStyle name="Normal 3 4 11 6 14 2" xfId="32575" xr:uid="{00000000-0005-0000-0000-0000F0660000}"/>
    <cellStyle name="Normal 3 4 11 6 15" xfId="32570" xr:uid="{00000000-0005-0000-0000-0000F1660000}"/>
    <cellStyle name="Normal 3 4 11 6 2" xfId="15079" xr:uid="{00000000-0005-0000-0000-0000F2660000}"/>
    <cellStyle name="Normal 3 4 11 6 2 2" xfId="32576" xr:uid="{00000000-0005-0000-0000-0000F3660000}"/>
    <cellStyle name="Normal 3 4 11 6 3" xfId="15080" xr:uid="{00000000-0005-0000-0000-0000F4660000}"/>
    <cellStyle name="Normal 3 4 11 6 3 2" xfId="32577" xr:uid="{00000000-0005-0000-0000-0000F5660000}"/>
    <cellStyle name="Normal 3 4 11 6 4" xfId="15081" xr:uid="{00000000-0005-0000-0000-0000F6660000}"/>
    <cellStyle name="Normal 3 4 11 6 4 2" xfId="32578" xr:uid="{00000000-0005-0000-0000-0000F7660000}"/>
    <cellStyle name="Normal 3 4 11 6 5" xfId="15082" xr:uid="{00000000-0005-0000-0000-0000F8660000}"/>
    <cellStyle name="Normal 3 4 11 6 5 2" xfId="32579" xr:uid="{00000000-0005-0000-0000-0000F9660000}"/>
    <cellStyle name="Normal 3 4 11 6 6" xfId="15083" xr:uid="{00000000-0005-0000-0000-0000FA660000}"/>
    <cellStyle name="Normal 3 4 11 6 6 2" xfId="32580" xr:uid="{00000000-0005-0000-0000-0000FB660000}"/>
    <cellStyle name="Normal 3 4 11 6 7" xfId="15084" xr:uid="{00000000-0005-0000-0000-0000FC660000}"/>
    <cellStyle name="Normal 3 4 11 6 7 2" xfId="32581" xr:uid="{00000000-0005-0000-0000-0000FD660000}"/>
    <cellStyle name="Normal 3 4 11 6 8" xfId="15085" xr:uid="{00000000-0005-0000-0000-0000FE660000}"/>
    <cellStyle name="Normal 3 4 11 6 8 2" xfId="32582" xr:uid="{00000000-0005-0000-0000-0000FF660000}"/>
    <cellStyle name="Normal 3 4 11 6 9" xfId="15086" xr:uid="{00000000-0005-0000-0000-000000670000}"/>
    <cellStyle name="Normal 3 4 11 6 9 2" xfId="32583" xr:uid="{00000000-0005-0000-0000-000001670000}"/>
    <cellStyle name="Normal 3 4 11 7" xfId="15087" xr:uid="{00000000-0005-0000-0000-000002670000}"/>
    <cellStyle name="Normal 3 4 11 7 10" xfId="15088" xr:uid="{00000000-0005-0000-0000-000003670000}"/>
    <cellStyle name="Normal 3 4 11 7 10 2" xfId="32585" xr:uid="{00000000-0005-0000-0000-000004670000}"/>
    <cellStyle name="Normal 3 4 11 7 11" xfId="15089" xr:uid="{00000000-0005-0000-0000-000005670000}"/>
    <cellStyle name="Normal 3 4 11 7 11 2" xfId="32586" xr:uid="{00000000-0005-0000-0000-000006670000}"/>
    <cellStyle name="Normal 3 4 11 7 12" xfId="15090" xr:uid="{00000000-0005-0000-0000-000007670000}"/>
    <cellStyle name="Normal 3 4 11 7 12 2" xfId="32587" xr:uid="{00000000-0005-0000-0000-000008670000}"/>
    <cellStyle name="Normal 3 4 11 7 13" xfId="15091" xr:uid="{00000000-0005-0000-0000-000009670000}"/>
    <cellStyle name="Normal 3 4 11 7 13 2" xfId="32588" xr:uid="{00000000-0005-0000-0000-00000A670000}"/>
    <cellStyle name="Normal 3 4 11 7 14" xfId="15092" xr:uid="{00000000-0005-0000-0000-00000B670000}"/>
    <cellStyle name="Normal 3 4 11 7 14 2" xfId="32589" xr:uid="{00000000-0005-0000-0000-00000C670000}"/>
    <cellStyle name="Normal 3 4 11 7 15" xfId="32584" xr:uid="{00000000-0005-0000-0000-00000D670000}"/>
    <cellStyle name="Normal 3 4 11 7 2" xfId="15093" xr:uid="{00000000-0005-0000-0000-00000E670000}"/>
    <cellStyle name="Normal 3 4 11 7 2 2" xfId="32590" xr:uid="{00000000-0005-0000-0000-00000F670000}"/>
    <cellStyle name="Normal 3 4 11 7 3" xfId="15094" xr:uid="{00000000-0005-0000-0000-000010670000}"/>
    <cellStyle name="Normal 3 4 11 7 3 2" xfId="32591" xr:uid="{00000000-0005-0000-0000-000011670000}"/>
    <cellStyle name="Normal 3 4 11 7 4" xfId="15095" xr:uid="{00000000-0005-0000-0000-000012670000}"/>
    <cellStyle name="Normal 3 4 11 7 4 2" xfId="32592" xr:uid="{00000000-0005-0000-0000-000013670000}"/>
    <cellStyle name="Normal 3 4 11 7 5" xfId="15096" xr:uid="{00000000-0005-0000-0000-000014670000}"/>
    <cellStyle name="Normal 3 4 11 7 5 2" xfId="32593" xr:uid="{00000000-0005-0000-0000-000015670000}"/>
    <cellStyle name="Normal 3 4 11 7 6" xfId="15097" xr:uid="{00000000-0005-0000-0000-000016670000}"/>
    <cellStyle name="Normal 3 4 11 7 6 2" xfId="32594" xr:uid="{00000000-0005-0000-0000-000017670000}"/>
    <cellStyle name="Normal 3 4 11 7 7" xfId="15098" xr:uid="{00000000-0005-0000-0000-000018670000}"/>
    <cellStyle name="Normal 3 4 11 7 7 2" xfId="32595" xr:uid="{00000000-0005-0000-0000-000019670000}"/>
    <cellStyle name="Normal 3 4 11 7 8" xfId="15099" xr:uid="{00000000-0005-0000-0000-00001A670000}"/>
    <cellStyle name="Normal 3 4 11 7 8 2" xfId="32596" xr:uid="{00000000-0005-0000-0000-00001B670000}"/>
    <cellStyle name="Normal 3 4 11 7 9" xfId="15100" xr:uid="{00000000-0005-0000-0000-00001C670000}"/>
    <cellStyle name="Normal 3 4 11 7 9 2" xfId="32597" xr:uid="{00000000-0005-0000-0000-00001D670000}"/>
    <cellStyle name="Normal 3 4 11 8" xfId="15101" xr:uid="{00000000-0005-0000-0000-00001E670000}"/>
    <cellStyle name="Normal 3 4 11 8 10" xfId="15102" xr:uid="{00000000-0005-0000-0000-00001F670000}"/>
    <cellStyle name="Normal 3 4 11 8 10 2" xfId="32599" xr:uid="{00000000-0005-0000-0000-000020670000}"/>
    <cellStyle name="Normal 3 4 11 8 11" xfId="15103" xr:uid="{00000000-0005-0000-0000-000021670000}"/>
    <cellStyle name="Normal 3 4 11 8 11 2" xfId="32600" xr:uid="{00000000-0005-0000-0000-000022670000}"/>
    <cellStyle name="Normal 3 4 11 8 12" xfId="15104" xr:uid="{00000000-0005-0000-0000-000023670000}"/>
    <cellStyle name="Normal 3 4 11 8 12 2" xfId="32601" xr:uid="{00000000-0005-0000-0000-000024670000}"/>
    <cellStyle name="Normal 3 4 11 8 13" xfId="15105" xr:uid="{00000000-0005-0000-0000-000025670000}"/>
    <cellStyle name="Normal 3 4 11 8 13 2" xfId="32602" xr:uid="{00000000-0005-0000-0000-000026670000}"/>
    <cellStyle name="Normal 3 4 11 8 14" xfId="15106" xr:uid="{00000000-0005-0000-0000-000027670000}"/>
    <cellStyle name="Normal 3 4 11 8 14 2" xfId="32603" xr:uid="{00000000-0005-0000-0000-000028670000}"/>
    <cellStyle name="Normal 3 4 11 8 15" xfId="32598" xr:uid="{00000000-0005-0000-0000-000029670000}"/>
    <cellStyle name="Normal 3 4 11 8 2" xfId="15107" xr:uid="{00000000-0005-0000-0000-00002A670000}"/>
    <cellStyle name="Normal 3 4 11 8 2 2" xfId="32604" xr:uid="{00000000-0005-0000-0000-00002B670000}"/>
    <cellStyle name="Normal 3 4 11 8 3" xfId="15108" xr:uid="{00000000-0005-0000-0000-00002C670000}"/>
    <cellStyle name="Normal 3 4 11 8 3 2" xfId="32605" xr:uid="{00000000-0005-0000-0000-00002D670000}"/>
    <cellStyle name="Normal 3 4 11 8 4" xfId="15109" xr:uid="{00000000-0005-0000-0000-00002E670000}"/>
    <cellStyle name="Normal 3 4 11 8 4 2" xfId="32606" xr:uid="{00000000-0005-0000-0000-00002F670000}"/>
    <cellStyle name="Normal 3 4 11 8 5" xfId="15110" xr:uid="{00000000-0005-0000-0000-000030670000}"/>
    <cellStyle name="Normal 3 4 11 8 5 2" xfId="32607" xr:uid="{00000000-0005-0000-0000-000031670000}"/>
    <cellStyle name="Normal 3 4 11 8 6" xfId="15111" xr:uid="{00000000-0005-0000-0000-000032670000}"/>
    <cellStyle name="Normal 3 4 11 8 6 2" xfId="32608" xr:uid="{00000000-0005-0000-0000-000033670000}"/>
    <cellStyle name="Normal 3 4 11 8 7" xfId="15112" xr:uid="{00000000-0005-0000-0000-000034670000}"/>
    <cellStyle name="Normal 3 4 11 8 7 2" xfId="32609" xr:uid="{00000000-0005-0000-0000-000035670000}"/>
    <cellStyle name="Normal 3 4 11 8 8" xfId="15113" xr:uid="{00000000-0005-0000-0000-000036670000}"/>
    <cellStyle name="Normal 3 4 11 8 8 2" xfId="32610" xr:uid="{00000000-0005-0000-0000-000037670000}"/>
    <cellStyle name="Normal 3 4 11 8 9" xfId="15114" xr:uid="{00000000-0005-0000-0000-000038670000}"/>
    <cellStyle name="Normal 3 4 11 8 9 2" xfId="32611" xr:uid="{00000000-0005-0000-0000-000039670000}"/>
    <cellStyle name="Normal 3 4 11 9" xfId="15115" xr:uid="{00000000-0005-0000-0000-00003A670000}"/>
    <cellStyle name="Normal 3 4 11 9 10" xfId="15116" xr:uid="{00000000-0005-0000-0000-00003B670000}"/>
    <cellStyle name="Normal 3 4 11 9 10 2" xfId="32613" xr:uid="{00000000-0005-0000-0000-00003C670000}"/>
    <cellStyle name="Normal 3 4 11 9 11" xfId="15117" xr:uid="{00000000-0005-0000-0000-00003D670000}"/>
    <cellStyle name="Normal 3 4 11 9 11 2" xfId="32614" xr:uid="{00000000-0005-0000-0000-00003E670000}"/>
    <cellStyle name="Normal 3 4 11 9 12" xfId="15118" xr:uid="{00000000-0005-0000-0000-00003F670000}"/>
    <cellStyle name="Normal 3 4 11 9 12 2" xfId="32615" xr:uid="{00000000-0005-0000-0000-000040670000}"/>
    <cellStyle name="Normal 3 4 11 9 13" xfId="15119" xr:uid="{00000000-0005-0000-0000-000041670000}"/>
    <cellStyle name="Normal 3 4 11 9 13 2" xfId="32616" xr:uid="{00000000-0005-0000-0000-000042670000}"/>
    <cellStyle name="Normal 3 4 11 9 14" xfId="15120" xr:uid="{00000000-0005-0000-0000-000043670000}"/>
    <cellStyle name="Normal 3 4 11 9 14 2" xfId="32617" xr:uid="{00000000-0005-0000-0000-000044670000}"/>
    <cellStyle name="Normal 3 4 11 9 15" xfId="32612" xr:uid="{00000000-0005-0000-0000-000045670000}"/>
    <cellStyle name="Normal 3 4 11 9 2" xfId="15121" xr:uid="{00000000-0005-0000-0000-000046670000}"/>
    <cellStyle name="Normal 3 4 11 9 2 2" xfId="32618" xr:uid="{00000000-0005-0000-0000-000047670000}"/>
    <cellStyle name="Normal 3 4 11 9 3" xfId="15122" xr:uid="{00000000-0005-0000-0000-000048670000}"/>
    <cellStyle name="Normal 3 4 11 9 3 2" xfId="32619" xr:uid="{00000000-0005-0000-0000-000049670000}"/>
    <cellStyle name="Normal 3 4 11 9 4" xfId="15123" xr:uid="{00000000-0005-0000-0000-00004A670000}"/>
    <cellStyle name="Normal 3 4 11 9 4 2" xfId="32620" xr:uid="{00000000-0005-0000-0000-00004B670000}"/>
    <cellStyle name="Normal 3 4 11 9 5" xfId="15124" xr:uid="{00000000-0005-0000-0000-00004C670000}"/>
    <cellStyle name="Normal 3 4 11 9 5 2" xfId="32621" xr:uid="{00000000-0005-0000-0000-00004D670000}"/>
    <cellStyle name="Normal 3 4 11 9 6" xfId="15125" xr:uid="{00000000-0005-0000-0000-00004E670000}"/>
    <cellStyle name="Normal 3 4 11 9 6 2" xfId="32622" xr:uid="{00000000-0005-0000-0000-00004F670000}"/>
    <cellStyle name="Normal 3 4 11 9 7" xfId="15126" xr:uid="{00000000-0005-0000-0000-000050670000}"/>
    <cellStyle name="Normal 3 4 11 9 7 2" xfId="32623" xr:uid="{00000000-0005-0000-0000-000051670000}"/>
    <cellStyle name="Normal 3 4 11 9 8" xfId="15127" xr:uid="{00000000-0005-0000-0000-000052670000}"/>
    <cellStyle name="Normal 3 4 11 9 8 2" xfId="32624" xr:uid="{00000000-0005-0000-0000-000053670000}"/>
    <cellStyle name="Normal 3 4 11 9 9" xfId="15128" xr:uid="{00000000-0005-0000-0000-000054670000}"/>
    <cellStyle name="Normal 3 4 11 9 9 2" xfId="32625" xr:uid="{00000000-0005-0000-0000-000055670000}"/>
    <cellStyle name="Normal 3 4 12" xfId="15129" xr:uid="{00000000-0005-0000-0000-000056670000}"/>
    <cellStyle name="Normal 3 4 12 10" xfId="15130" xr:uid="{00000000-0005-0000-0000-000057670000}"/>
    <cellStyle name="Normal 3 4 12 10 10" xfId="15131" xr:uid="{00000000-0005-0000-0000-000058670000}"/>
    <cellStyle name="Normal 3 4 12 10 10 2" xfId="32628" xr:uid="{00000000-0005-0000-0000-000059670000}"/>
    <cellStyle name="Normal 3 4 12 10 11" xfId="15132" xr:uid="{00000000-0005-0000-0000-00005A670000}"/>
    <cellStyle name="Normal 3 4 12 10 11 2" xfId="32629" xr:uid="{00000000-0005-0000-0000-00005B670000}"/>
    <cellStyle name="Normal 3 4 12 10 12" xfId="15133" xr:uid="{00000000-0005-0000-0000-00005C670000}"/>
    <cellStyle name="Normal 3 4 12 10 12 2" xfId="32630" xr:uid="{00000000-0005-0000-0000-00005D670000}"/>
    <cellStyle name="Normal 3 4 12 10 13" xfId="15134" xr:uid="{00000000-0005-0000-0000-00005E670000}"/>
    <cellStyle name="Normal 3 4 12 10 13 2" xfId="32631" xr:uid="{00000000-0005-0000-0000-00005F670000}"/>
    <cellStyle name="Normal 3 4 12 10 14" xfId="15135" xr:uid="{00000000-0005-0000-0000-000060670000}"/>
    <cellStyle name="Normal 3 4 12 10 14 2" xfId="32632" xr:uid="{00000000-0005-0000-0000-000061670000}"/>
    <cellStyle name="Normal 3 4 12 10 15" xfId="32627" xr:uid="{00000000-0005-0000-0000-000062670000}"/>
    <cellStyle name="Normal 3 4 12 10 2" xfId="15136" xr:uid="{00000000-0005-0000-0000-000063670000}"/>
    <cellStyle name="Normal 3 4 12 10 2 2" xfId="32633" xr:uid="{00000000-0005-0000-0000-000064670000}"/>
    <cellStyle name="Normal 3 4 12 10 3" xfId="15137" xr:uid="{00000000-0005-0000-0000-000065670000}"/>
    <cellStyle name="Normal 3 4 12 10 3 2" xfId="32634" xr:uid="{00000000-0005-0000-0000-000066670000}"/>
    <cellStyle name="Normal 3 4 12 10 4" xfId="15138" xr:uid="{00000000-0005-0000-0000-000067670000}"/>
    <cellStyle name="Normal 3 4 12 10 4 2" xfId="32635" xr:uid="{00000000-0005-0000-0000-000068670000}"/>
    <cellStyle name="Normal 3 4 12 10 5" xfId="15139" xr:uid="{00000000-0005-0000-0000-000069670000}"/>
    <cellStyle name="Normal 3 4 12 10 5 2" xfId="32636" xr:uid="{00000000-0005-0000-0000-00006A670000}"/>
    <cellStyle name="Normal 3 4 12 10 6" xfId="15140" xr:uid="{00000000-0005-0000-0000-00006B670000}"/>
    <cellStyle name="Normal 3 4 12 10 6 2" xfId="32637" xr:uid="{00000000-0005-0000-0000-00006C670000}"/>
    <cellStyle name="Normal 3 4 12 10 7" xfId="15141" xr:uid="{00000000-0005-0000-0000-00006D670000}"/>
    <cellStyle name="Normal 3 4 12 10 7 2" xfId="32638" xr:uid="{00000000-0005-0000-0000-00006E670000}"/>
    <cellStyle name="Normal 3 4 12 10 8" xfId="15142" xr:uid="{00000000-0005-0000-0000-00006F670000}"/>
    <cellStyle name="Normal 3 4 12 10 8 2" xfId="32639" xr:uid="{00000000-0005-0000-0000-000070670000}"/>
    <cellStyle name="Normal 3 4 12 10 9" xfId="15143" xr:uid="{00000000-0005-0000-0000-000071670000}"/>
    <cellStyle name="Normal 3 4 12 10 9 2" xfId="32640" xr:uid="{00000000-0005-0000-0000-000072670000}"/>
    <cellStyle name="Normal 3 4 12 11" xfId="15144" xr:uid="{00000000-0005-0000-0000-000073670000}"/>
    <cellStyle name="Normal 3 4 12 11 2" xfId="32641" xr:uid="{00000000-0005-0000-0000-000074670000}"/>
    <cellStyle name="Normal 3 4 12 12" xfId="15145" xr:uid="{00000000-0005-0000-0000-000075670000}"/>
    <cellStyle name="Normal 3 4 12 12 2" xfId="32642" xr:uid="{00000000-0005-0000-0000-000076670000}"/>
    <cellStyle name="Normal 3 4 12 13" xfId="15146" xr:uid="{00000000-0005-0000-0000-000077670000}"/>
    <cellStyle name="Normal 3 4 12 13 2" xfId="32643" xr:uid="{00000000-0005-0000-0000-000078670000}"/>
    <cellStyle name="Normal 3 4 12 14" xfId="15147" xr:uid="{00000000-0005-0000-0000-000079670000}"/>
    <cellStyle name="Normal 3 4 12 14 2" xfId="32644" xr:uid="{00000000-0005-0000-0000-00007A670000}"/>
    <cellStyle name="Normal 3 4 12 15" xfId="15148" xr:uid="{00000000-0005-0000-0000-00007B670000}"/>
    <cellStyle name="Normal 3 4 12 15 2" xfId="32645" xr:uid="{00000000-0005-0000-0000-00007C670000}"/>
    <cellStyle name="Normal 3 4 12 16" xfId="15149" xr:uid="{00000000-0005-0000-0000-00007D670000}"/>
    <cellStyle name="Normal 3 4 12 16 2" xfId="32646" xr:uid="{00000000-0005-0000-0000-00007E670000}"/>
    <cellStyle name="Normal 3 4 12 17" xfId="15150" xr:uid="{00000000-0005-0000-0000-00007F670000}"/>
    <cellStyle name="Normal 3 4 12 17 2" xfId="32647" xr:uid="{00000000-0005-0000-0000-000080670000}"/>
    <cellStyle name="Normal 3 4 12 18" xfId="15151" xr:uid="{00000000-0005-0000-0000-000081670000}"/>
    <cellStyle name="Normal 3 4 12 18 2" xfId="32648" xr:uid="{00000000-0005-0000-0000-000082670000}"/>
    <cellStyle name="Normal 3 4 12 19" xfId="15152" xr:uid="{00000000-0005-0000-0000-000083670000}"/>
    <cellStyle name="Normal 3 4 12 19 2" xfId="32649" xr:uid="{00000000-0005-0000-0000-000084670000}"/>
    <cellStyle name="Normal 3 4 12 2" xfId="15153" xr:uid="{00000000-0005-0000-0000-000085670000}"/>
    <cellStyle name="Normal 3 4 12 2 10" xfId="15154" xr:uid="{00000000-0005-0000-0000-000086670000}"/>
    <cellStyle name="Normal 3 4 12 2 10 2" xfId="32651" xr:uid="{00000000-0005-0000-0000-000087670000}"/>
    <cellStyle name="Normal 3 4 12 2 11" xfId="15155" xr:uid="{00000000-0005-0000-0000-000088670000}"/>
    <cellStyle name="Normal 3 4 12 2 11 2" xfId="32652" xr:uid="{00000000-0005-0000-0000-000089670000}"/>
    <cellStyle name="Normal 3 4 12 2 12" xfId="15156" xr:uid="{00000000-0005-0000-0000-00008A670000}"/>
    <cellStyle name="Normal 3 4 12 2 12 2" xfId="32653" xr:uid="{00000000-0005-0000-0000-00008B670000}"/>
    <cellStyle name="Normal 3 4 12 2 13" xfId="15157" xr:uid="{00000000-0005-0000-0000-00008C670000}"/>
    <cellStyle name="Normal 3 4 12 2 13 2" xfId="32654" xr:uid="{00000000-0005-0000-0000-00008D670000}"/>
    <cellStyle name="Normal 3 4 12 2 14" xfId="15158" xr:uid="{00000000-0005-0000-0000-00008E670000}"/>
    <cellStyle name="Normal 3 4 12 2 14 2" xfId="32655" xr:uid="{00000000-0005-0000-0000-00008F670000}"/>
    <cellStyle name="Normal 3 4 12 2 15" xfId="15159" xr:uid="{00000000-0005-0000-0000-000090670000}"/>
    <cellStyle name="Normal 3 4 12 2 15 2" xfId="32656" xr:uid="{00000000-0005-0000-0000-000091670000}"/>
    <cellStyle name="Normal 3 4 12 2 16" xfId="32650" xr:uid="{00000000-0005-0000-0000-000092670000}"/>
    <cellStyle name="Normal 3 4 12 2 2" xfId="15160" xr:uid="{00000000-0005-0000-0000-000093670000}"/>
    <cellStyle name="Normal 3 4 12 2 2 10" xfId="15161" xr:uid="{00000000-0005-0000-0000-000094670000}"/>
    <cellStyle name="Normal 3 4 12 2 2 10 2" xfId="32658" xr:uid="{00000000-0005-0000-0000-000095670000}"/>
    <cellStyle name="Normal 3 4 12 2 2 11" xfId="15162" xr:uid="{00000000-0005-0000-0000-000096670000}"/>
    <cellStyle name="Normal 3 4 12 2 2 11 2" xfId="32659" xr:uid="{00000000-0005-0000-0000-000097670000}"/>
    <cellStyle name="Normal 3 4 12 2 2 12" xfId="15163" xr:uid="{00000000-0005-0000-0000-000098670000}"/>
    <cellStyle name="Normal 3 4 12 2 2 12 2" xfId="32660" xr:uid="{00000000-0005-0000-0000-000099670000}"/>
    <cellStyle name="Normal 3 4 12 2 2 13" xfId="15164" xr:uid="{00000000-0005-0000-0000-00009A670000}"/>
    <cellStyle name="Normal 3 4 12 2 2 13 2" xfId="32661" xr:uid="{00000000-0005-0000-0000-00009B670000}"/>
    <cellStyle name="Normal 3 4 12 2 2 14" xfId="15165" xr:uid="{00000000-0005-0000-0000-00009C670000}"/>
    <cellStyle name="Normal 3 4 12 2 2 14 2" xfId="32662" xr:uid="{00000000-0005-0000-0000-00009D670000}"/>
    <cellStyle name="Normal 3 4 12 2 2 15" xfId="32657" xr:uid="{00000000-0005-0000-0000-00009E670000}"/>
    <cellStyle name="Normal 3 4 12 2 2 2" xfId="15166" xr:uid="{00000000-0005-0000-0000-00009F670000}"/>
    <cellStyle name="Normal 3 4 12 2 2 2 2" xfId="32663" xr:uid="{00000000-0005-0000-0000-0000A0670000}"/>
    <cellStyle name="Normal 3 4 12 2 2 3" xfId="15167" xr:uid="{00000000-0005-0000-0000-0000A1670000}"/>
    <cellStyle name="Normal 3 4 12 2 2 3 2" xfId="32664" xr:uid="{00000000-0005-0000-0000-0000A2670000}"/>
    <cellStyle name="Normal 3 4 12 2 2 4" xfId="15168" xr:uid="{00000000-0005-0000-0000-0000A3670000}"/>
    <cellStyle name="Normal 3 4 12 2 2 4 2" xfId="32665" xr:uid="{00000000-0005-0000-0000-0000A4670000}"/>
    <cellStyle name="Normal 3 4 12 2 2 5" xfId="15169" xr:uid="{00000000-0005-0000-0000-0000A5670000}"/>
    <cellStyle name="Normal 3 4 12 2 2 5 2" xfId="32666" xr:uid="{00000000-0005-0000-0000-0000A6670000}"/>
    <cellStyle name="Normal 3 4 12 2 2 6" xfId="15170" xr:uid="{00000000-0005-0000-0000-0000A7670000}"/>
    <cellStyle name="Normal 3 4 12 2 2 6 2" xfId="32667" xr:uid="{00000000-0005-0000-0000-0000A8670000}"/>
    <cellStyle name="Normal 3 4 12 2 2 7" xfId="15171" xr:uid="{00000000-0005-0000-0000-0000A9670000}"/>
    <cellStyle name="Normal 3 4 12 2 2 7 2" xfId="32668" xr:uid="{00000000-0005-0000-0000-0000AA670000}"/>
    <cellStyle name="Normal 3 4 12 2 2 8" xfId="15172" xr:uid="{00000000-0005-0000-0000-0000AB670000}"/>
    <cellStyle name="Normal 3 4 12 2 2 8 2" xfId="32669" xr:uid="{00000000-0005-0000-0000-0000AC670000}"/>
    <cellStyle name="Normal 3 4 12 2 2 9" xfId="15173" xr:uid="{00000000-0005-0000-0000-0000AD670000}"/>
    <cellStyle name="Normal 3 4 12 2 2 9 2" xfId="32670" xr:uid="{00000000-0005-0000-0000-0000AE670000}"/>
    <cellStyle name="Normal 3 4 12 2 3" xfId="15174" xr:uid="{00000000-0005-0000-0000-0000AF670000}"/>
    <cellStyle name="Normal 3 4 12 2 3 2" xfId="32671" xr:uid="{00000000-0005-0000-0000-0000B0670000}"/>
    <cellStyle name="Normal 3 4 12 2 4" xfId="15175" xr:uid="{00000000-0005-0000-0000-0000B1670000}"/>
    <cellStyle name="Normal 3 4 12 2 4 2" xfId="32672" xr:uid="{00000000-0005-0000-0000-0000B2670000}"/>
    <cellStyle name="Normal 3 4 12 2 5" xfId="15176" xr:uid="{00000000-0005-0000-0000-0000B3670000}"/>
    <cellStyle name="Normal 3 4 12 2 5 2" xfId="32673" xr:uid="{00000000-0005-0000-0000-0000B4670000}"/>
    <cellStyle name="Normal 3 4 12 2 6" xfId="15177" xr:uid="{00000000-0005-0000-0000-0000B5670000}"/>
    <cellStyle name="Normal 3 4 12 2 6 2" xfId="32674" xr:uid="{00000000-0005-0000-0000-0000B6670000}"/>
    <cellStyle name="Normal 3 4 12 2 7" xfId="15178" xr:uid="{00000000-0005-0000-0000-0000B7670000}"/>
    <cellStyle name="Normal 3 4 12 2 7 2" xfId="32675" xr:uid="{00000000-0005-0000-0000-0000B8670000}"/>
    <cellStyle name="Normal 3 4 12 2 8" xfId="15179" xr:uid="{00000000-0005-0000-0000-0000B9670000}"/>
    <cellStyle name="Normal 3 4 12 2 8 2" xfId="32676" xr:uid="{00000000-0005-0000-0000-0000BA670000}"/>
    <cellStyle name="Normal 3 4 12 2 9" xfId="15180" xr:uid="{00000000-0005-0000-0000-0000BB670000}"/>
    <cellStyle name="Normal 3 4 12 2 9 2" xfId="32677" xr:uid="{00000000-0005-0000-0000-0000BC670000}"/>
    <cellStyle name="Normal 3 4 12 20" xfId="15181" xr:uid="{00000000-0005-0000-0000-0000BD670000}"/>
    <cellStyle name="Normal 3 4 12 20 2" xfId="32678" xr:uid="{00000000-0005-0000-0000-0000BE670000}"/>
    <cellStyle name="Normal 3 4 12 21" xfId="15182" xr:uid="{00000000-0005-0000-0000-0000BF670000}"/>
    <cellStyle name="Normal 3 4 12 21 2" xfId="32679" xr:uid="{00000000-0005-0000-0000-0000C0670000}"/>
    <cellStyle name="Normal 3 4 12 22" xfId="15183" xr:uid="{00000000-0005-0000-0000-0000C1670000}"/>
    <cellStyle name="Normal 3 4 12 22 2" xfId="32680" xr:uid="{00000000-0005-0000-0000-0000C2670000}"/>
    <cellStyle name="Normal 3 4 12 23" xfId="15184" xr:uid="{00000000-0005-0000-0000-0000C3670000}"/>
    <cellStyle name="Normal 3 4 12 23 2" xfId="32681" xr:uid="{00000000-0005-0000-0000-0000C4670000}"/>
    <cellStyle name="Normal 3 4 12 24" xfId="32626" xr:uid="{00000000-0005-0000-0000-0000C5670000}"/>
    <cellStyle name="Normal 3 4 12 3" xfId="15185" xr:uid="{00000000-0005-0000-0000-0000C6670000}"/>
    <cellStyle name="Normal 3 4 12 3 10" xfId="15186" xr:uid="{00000000-0005-0000-0000-0000C7670000}"/>
    <cellStyle name="Normal 3 4 12 3 10 2" xfId="32683" xr:uid="{00000000-0005-0000-0000-0000C8670000}"/>
    <cellStyle name="Normal 3 4 12 3 11" xfId="15187" xr:uid="{00000000-0005-0000-0000-0000C9670000}"/>
    <cellStyle name="Normal 3 4 12 3 11 2" xfId="32684" xr:uid="{00000000-0005-0000-0000-0000CA670000}"/>
    <cellStyle name="Normal 3 4 12 3 12" xfId="15188" xr:uid="{00000000-0005-0000-0000-0000CB670000}"/>
    <cellStyle name="Normal 3 4 12 3 12 2" xfId="32685" xr:uid="{00000000-0005-0000-0000-0000CC670000}"/>
    <cellStyle name="Normal 3 4 12 3 13" xfId="15189" xr:uid="{00000000-0005-0000-0000-0000CD670000}"/>
    <cellStyle name="Normal 3 4 12 3 13 2" xfId="32686" xr:uid="{00000000-0005-0000-0000-0000CE670000}"/>
    <cellStyle name="Normal 3 4 12 3 14" xfId="15190" xr:uid="{00000000-0005-0000-0000-0000CF670000}"/>
    <cellStyle name="Normal 3 4 12 3 14 2" xfId="32687" xr:uid="{00000000-0005-0000-0000-0000D0670000}"/>
    <cellStyle name="Normal 3 4 12 3 15" xfId="15191" xr:uid="{00000000-0005-0000-0000-0000D1670000}"/>
    <cellStyle name="Normal 3 4 12 3 15 2" xfId="32688" xr:uid="{00000000-0005-0000-0000-0000D2670000}"/>
    <cellStyle name="Normal 3 4 12 3 16" xfId="32682" xr:uid="{00000000-0005-0000-0000-0000D3670000}"/>
    <cellStyle name="Normal 3 4 12 3 2" xfId="15192" xr:uid="{00000000-0005-0000-0000-0000D4670000}"/>
    <cellStyle name="Normal 3 4 12 3 2 10" xfId="15193" xr:uid="{00000000-0005-0000-0000-0000D5670000}"/>
    <cellStyle name="Normal 3 4 12 3 2 10 2" xfId="32690" xr:uid="{00000000-0005-0000-0000-0000D6670000}"/>
    <cellStyle name="Normal 3 4 12 3 2 11" xfId="15194" xr:uid="{00000000-0005-0000-0000-0000D7670000}"/>
    <cellStyle name="Normal 3 4 12 3 2 11 2" xfId="32691" xr:uid="{00000000-0005-0000-0000-0000D8670000}"/>
    <cellStyle name="Normal 3 4 12 3 2 12" xfId="15195" xr:uid="{00000000-0005-0000-0000-0000D9670000}"/>
    <cellStyle name="Normal 3 4 12 3 2 12 2" xfId="32692" xr:uid="{00000000-0005-0000-0000-0000DA670000}"/>
    <cellStyle name="Normal 3 4 12 3 2 13" xfId="15196" xr:uid="{00000000-0005-0000-0000-0000DB670000}"/>
    <cellStyle name="Normal 3 4 12 3 2 13 2" xfId="32693" xr:uid="{00000000-0005-0000-0000-0000DC670000}"/>
    <cellStyle name="Normal 3 4 12 3 2 14" xfId="15197" xr:uid="{00000000-0005-0000-0000-0000DD670000}"/>
    <cellStyle name="Normal 3 4 12 3 2 14 2" xfId="32694" xr:uid="{00000000-0005-0000-0000-0000DE670000}"/>
    <cellStyle name="Normal 3 4 12 3 2 15" xfId="32689" xr:uid="{00000000-0005-0000-0000-0000DF670000}"/>
    <cellStyle name="Normal 3 4 12 3 2 2" xfId="15198" xr:uid="{00000000-0005-0000-0000-0000E0670000}"/>
    <cellStyle name="Normal 3 4 12 3 2 2 2" xfId="32695" xr:uid="{00000000-0005-0000-0000-0000E1670000}"/>
    <cellStyle name="Normal 3 4 12 3 2 3" xfId="15199" xr:uid="{00000000-0005-0000-0000-0000E2670000}"/>
    <cellStyle name="Normal 3 4 12 3 2 3 2" xfId="32696" xr:uid="{00000000-0005-0000-0000-0000E3670000}"/>
    <cellStyle name="Normal 3 4 12 3 2 4" xfId="15200" xr:uid="{00000000-0005-0000-0000-0000E4670000}"/>
    <cellStyle name="Normal 3 4 12 3 2 4 2" xfId="32697" xr:uid="{00000000-0005-0000-0000-0000E5670000}"/>
    <cellStyle name="Normal 3 4 12 3 2 5" xfId="15201" xr:uid="{00000000-0005-0000-0000-0000E6670000}"/>
    <cellStyle name="Normal 3 4 12 3 2 5 2" xfId="32698" xr:uid="{00000000-0005-0000-0000-0000E7670000}"/>
    <cellStyle name="Normal 3 4 12 3 2 6" xfId="15202" xr:uid="{00000000-0005-0000-0000-0000E8670000}"/>
    <cellStyle name="Normal 3 4 12 3 2 6 2" xfId="32699" xr:uid="{00000000-0005-0000-0000-0000E9670000}"/>
    <cellStyle name="Normal 3 4 12 3 2 7" xfId="15203" xr:uid="{00000000-0005-0000-0000-0000EA670000}"/>
    <cellStyle name="Normal 3 4 12 3 2 7 2" xfId="32700" xr:uid="{00000000-0005-0000-0000-0000EB670000}"/>
    <cellStyle name="Normal 3 4 12 3 2 8" xfId="15204" xr:uid="{00000000-0005-0000-0000-0000EC670000}"/>
    <cellStyle name="Normal 3 4 12 3 2 8 2" xfId="32701" xr:uid="{00000000-0005-0000-0000-0000ED670000}"/>
    <cellStyle name="Normal 3 4 12 3 2 9" xfId="15205" xr:uid="{00000000-0005-0000-0000-0000EE670000}"/>
    <cellStyle name="Normal 3 4 12 3 2 9 2" xfId="32702" xr:uid="{00000000-0005-0000-0000-0000EF670000}"/>
    <cellStyle name="Normal 3 4 12 3 3" xfId="15206" xr:uid="{00000000-0005-0000-0000-0000F0670000}"/>
    <cellStyle name="Normal 3 4 12 3 3 2" xfId="32703" xr:uid="{00000000-0005-0000-0000-0000F1670000}"/>
    <cellStyle name="Normal 3 4 12 3 4" xfId="15207" xr:uid="{00000000-0005-0000-0000-0000F2670000}"/>
    <cellStyle name="Normal 3 4 12 3 4 2" xfId="32704" xr:uid="{00000000-0005-0000-0000-0000F3670000}"/>
    <cellStyle name="Normal 3 4 12 3 5" xfId="15208" xr:uid="{00000000-0005-0000-0000-0000F4670000}"/>
    <cellStyle name="Normal 3 4 12 3 5 2" xfId="32705" xr:uid="{00000000-0005-0000-0000-0000F5670000}"/>
    <cellStyle name="Normal 3 4 12 3 6" xfId="15209" xr:uid="{00000000-0005-0000-0000-0000F6670000}"/>
    <cellStyle name="Normal 3 4 12 3 6 2" xfId="32706" xr:uid="{00000000-0005-0000-0000-0000F7670000}"/>
    <cellStyle name="Normal 3 4 12 3 7" xfId="15210" xr:uid="{00000000-0005-0000-0000-0000F8670000}"/>
    <cellStyle name="Normal 3 4 12 3 7 2" xfId="32707" xr:uid="{00000000-0005-0000-0000-0000F9670000}"/>
    <cellStyle name="Normal 3 4 12 3 8" xfId="15211" xr:uid="{00000000-0005-0000-0000-0000FA670000}"/>
    <cellStyle name="Normal 3 4 12 3 8 2" xfId="32708" xr:uid="{00000000-0005-0000-0000-0000FB670000}"/>
    <cellStyle name="Normal 3 4 12 3 9" xfId="15212" xr:uid="{00000000-0005-0000-0000-0000FC670000}"/>
    <cellStyle name="Normal 3 4 12 3 9 2" xfId="32709" xr:uid="{00000000-0005-0000-0000-0000FD670000}"/>
    <cellStyle name="Normal 3 4 12 4" xfId="15213" xr:uid="{00000000-0005-0000-0000-0000FE670000}"/>
    <cellStyle name="Normal 3 4 12 4 10" xfId="15214" xr:uid="{00000000-0005-0000-0000-0000FF670000}"/>
    <cellStyle name="Normal 3 4 12 4 10 2" xfId="32711" xr:uid="{00000000-0005-0000-0000-000000680000}"/>
    <cellStyle name="Normal 3 4 12 4 11" xfId="15215" xr:uid="{00000000-0005-0000-0000-000001680000}"/>
    <cellStyle name="Normal 3 4 12 4 11 2" xfId="32712" xr:uid="{00000000-0005-0000-0000-000002680000}"/>
    <cellStyle name="Normal 3 4 12 4 12" xfId="15216" xr:uid="{00000000-0005-0000-0000-000003680000}"/>
    <cellStyle name="Normal 3 4 12 4 12 2" xfId="32713" xr:uid="{00000000-0005-0000-0000-000004680000}"/>
    <cellStyle name="Normal 3 4 12 4 13" xfId="15217" xr:uid="{00000000-0005-0000-0000-000005680000}"/>
    <cellStyle name="Normal 3 4 12 4 13 2" xfId="32714" xr:uid="{00000000-0005-0000-0000-000006680000}"/>
    <cellStyle name="Normal 3 4 12 4 14" xfId="15218" xr:uid="{00000000-0005-0000-0000-000007680000}"/>
    <cellStyle name="Normal 3 4 12 4 14 2" xfId="32715" xr:uid="{00000000-0005-0000-0000-000008680000}"/>
    <cellStyle name="Normal 3 4 12 4 15" xfId="15219" xr:uid="{00000000-0005-0000-0000-000009680000}"/>
    <cellStyle name="Normal 3 4 12 4 15 2" xfId="32716" xr:uid="{00000000-0005-0000-0000-00000A680000}"/>
    <cellStyle name="Normal 3 4 12 4 16" xfId="32710" xr:uid="{00000000-0005-0000-0000-00000B680000}"/>
    <cellStyle name="Normal 3 4 12 4 2" xfId="15220" xr:uid="{00000000-0005-0000-0000-00000C680000}"/>
    <cellStyle name="Normal 3 4 12 4 2 10" xfId="15221" xr:uid="{00000000-0005-0000-0000-00000D680000}"/>
    <cellStyle name="Normal 3 4 12 4 2 10 2" xfId="32718" xr:uid="{00000000-0005-0000-0000-00000E680000}"/>
    <cellStyle name="Normal 3 4 12 4 2 11" xfId="15222" xr:uid="{00000000-0005-0000-0000-00000F680000}"/>
    <cellStyle name="Normal 3 4 12 4 2 11 2" xfId="32719" xr:uid="{00000000-0005-0000-0000-000010680000}"/>
    <cellStyle name="Normal 3 4 12 4 2 12" xfId="15223" xr:uid="{00000000-0005-0000-0000-000011680000}"/>
    <cellStyle name="Normal 3 4 12 4 2 12 2" xfId="32720" xr:uid="{00000000-0005-0000-0000-000012680000}"/>
    <cellStyle name="Normal 3 4 12 4 2 13" xfId="15224" xr:uid="{00000000-0005-0000-0000-000013680000}"/>
    <cellStyle name="Normal 3 4 12 4 2 13 2" xfId="32721" xr:uid="{00000000-0005-0000-0000-000014680000}"/>
    <cellStyle name="Normal 3 4 12 4 2 14" xfId="15225" xr:uid="{00000000-0005-0000-0000-000015680000}"/>
    <cellStyle name="Normal 3 4 12 4 2 14 2" xfId="32722" xr:uid="{00000000-0005-0000-0000-000016680000}"/>
    <cellStyle name="Normal 3 4 12 4 2 15" xfId="32717" xr:uid="{00000000-0005-0000-0000-000017680000}"/>
    <cellStyle name="Normal 3 4 12 4 2 2" xfId="15226" xr:uid="{00000000-0005-0000-0000-000018680000}"/>
    <cellStyle name="Normal 3 4 12 4 2 2 2" xfId="32723" xr:uid="{00000000-0005-0000-0000-000019680000}"/>
    <cellStyle name="Normal 3 4 12 4 2 3" xfId="15227" xr:uid="{00000000-0005-0000-0000-00001A680000}"/>
    <cellStyle name="Normal 3 4 12 4 2 3 2" xfId="32724" xr:uid="{00000000-0005-0000-0000-00001B680000}"/>
    <cellStyle name="Normal 3 4 12 4 2 4" xfId="15228" xr:uid="{00000000-0005-0000-0000-00001C680000}"/>
    <cellStyle name="Normal 3 4 12 4 2 4 2" xfId="32725" xr:uid="{00000000-0005-0000-0000-00001D680000}"/>
    <cellStyle name="Normal 3 4 12 4 2 5" xfId="15229" xr:uid="{00000000-0005-0000-0000-00001E680000}"/>
    <cellStyle name="Normal 3 4 12 4 2 5 2" xfId="32726" xr:uid="{00000000-0005-0000-0000-00001F680000}"/>
    <cellStyle name="Normal 3 4 12 4 2 6" xfId="15230" xr:uid="{00000000-0005-0000-0000-000020680000}"/>
    <cellStyle name="Normal 3 4 12 4 2 6 2" xfId="32727" xr:uid="{00000000-0005-0000-0000-000021680000}"/>
    <cellStyle name="Normal 3 4 12 4 2 7" xfId="15231" xr:uid="{00000000-0005-0000-0000-000022680000}"/>
    <cellStyle name="Normal 3 4 12 4 2 7 2" xfId="32728" xr:uid="{00000000-0005-0000-0000-000023680000}"/>
    <cellStyle name="Normal 3 4 12 4 2 8" xfId="15232" xr:uid="{00000000-0005-0000-0000-000024680000}"/>
    <cellStyle name="Normal 3 4 12 4 2 8 2" xfId="32729" xr:uid="{00000000-0005-0000-0000-000025680000}"/>
    <cellStyle name="Normal 3 4 12 4 2 9" xfId="15233" xr:uid="{00000000-0005-0000-0000-000026680000}"/>
    <cellStyle name="Normal 3 4 12 4 2 9 2" xfId="32730" xr:uid="{00000000-0005-0000-0000-000027680000}"/>
    <cellStyle name="Normal 3 4 12 4 3" xfId="15234" xr:uid="{00000000-0005-0000-0000-000028680000}"/>
    <cellStyle name="Normal 3 4 12 4 3 2" xfId="32731" xr:uid="{00000000-0005-0000-0000-000029680000}"/>
    <cellStyle name="Normal 3 4 12 4 4" xfId="15235" xr:uid="{00000000-0005-0000-0000-00002A680000}"/>
    <cellStyle name="Normal 3 4 12 4 4 2" xfId="32732" xr:uid="{00000000-0005-0000-0000-00002B680000}"/>
    <cellStyle name="Normal 3 4 12 4 5" xfId="15236" xr:uid="{00000000-0005-0000-0000-00002C680000}"/>
    <cellStyle name="Normal 3 4 12 4 5 2" xfId="32733" xr:uid="{00000000-0005-0000-0000-00002D680000}"/>
    <cellStyle name="Normal 3 4 12 4 6" xfId="15237" xr:uid="{00000000-0005-0000-0000-00002E680000}"/>
    <cellStyle name="Normal 3 4 12 4 6 2" xfId="32734" xr:uid="{00000000-0005-0000-0000-00002F680000}"/>
    <cellStyle name="Normal 3 4 12 4 7" xfId="15238" xr:uid="{00000000-0005-0000-0000-000030680000}"/>
    <cellStyle name="Normal 3 4 12 4 7 2" xfId="32735" xr:uid="{00000000-0005-0000-0000-000031680000}"/>
    <cellStyle name="Normal 3 4 12 4 8" xfId="15239" xr:uid="{00000000-0005-0000-0000-000032680000}"/>
    <cellStyle name="Normal 3 4 12 4 8 2" xfId="32736" xr:uid="{00000000-0005-0000-0000-000033680000}"/>
    <cellStyle name="Normal 3 4 12 4 9" xfId="15240" xr:uid="{00000000-0005-0000-0000-000034680000}"/>
    <cellStyle name="Normal 3 4 12 4 9 2" xfId="32737" xr:uid="{00000000-0005-0000-0000-000035680000}"/>
    <cellStyle name="Normal 3 4 12 5" xfId="15241" xr:uid="{00000000-0005-0000-0000-000036680000}"/>
    <cellStyle name="Normal 3 4 12 5 10" xfId="15242" xr:uid="{00000000-0005-0000-0000-000037680000}"/>
    <cellStyle name="Normal 3 4 12 5 10 2" xfId="32739" xr:uid="{00000000-0005-0000-0000-000038680000}"/>
    <cellStyle name="Normal 3 4 12 5 11" xfId="15243" xr:uid="{00000000-0005-0000-0000-000039680000}"/>
    <cellStyle name="Normal 3 4 12 5 11 2" xfId="32740" xr:uid="{00000000-0005-0000-0000-00003A680000}"/>
    <cellStyle name="Normal 3 4 12 5 12" xfId="15244" xr:uid="{00000000-0005-0000-0000-00003B680000}"/>
    <cellStyle name="Normal 3 4 12 5 12 2" xfId="32741" xr:uid="{00000000-0005-0000-0000-00003C680000}"/>
    <cellStyle name="Normal 3 4 12 5 13" xfId="15245" xr:uid="{00000000-0005-0000-0000-00003D680000}"/>
    <cellStyle name="Normal 3 4 12 5 13 2" xfId="32742" xr:uid="{00000000-0005-0000-0000-00003E680000}"/>
    <cellStyle name="Normal 3 4 12 5 14" xfId="15246" xr:uid="{00000000-0005-0000-0000-00003F680000}"/>
    <cellStyle name="Normal 3 4 12 5 14 2" xfId="32743" xr:uid="{00000000-0005-0000-0000-000040680000}"/>
    <cellStyle name="Normal 3 4 12 5 15" xfId="32738" xr:uid="{00000000-0005-0000-0000-000041680000}"/>
    <cellStyle name="Normal 3 4 12 5 2" xfId="15247" xr:uid="{00000000-0005-0000-0000-000042680000}"/>
    <cellStyle name="Normal 3 4 12 5 2 2" xfId="32744" xr:uid="{00000000-0005-0000-0000-000043680000}"/>
    <cellStyle name="Normal 3 4 12 5 3" xfId="15248" xr:uid="{00000000-0005-0000-0000-000044680000}"/>
    <cellStyle name="Normal 3 4 12 5 3 2" xfId="32745" xr:uid="{00000000-0005-0000-0000-000045680000}"/>
    <cellStyle name="Normal 3 4 12 5 4" xfId="15249" xr:uid="{00000000-0005-0000-0000-000046680000}"/>
    <cellStyle name="Normal 3 4 12 5 4 2" xfId="32746" xr:uid="{00000000-0005-0000-0000-000047680000}"/>
    <cellStyle name="Normal 3 4 12 5 5" xfId="15250" xr:uid="{00000000-0005-0000-0000-000048680000}"/>
    <cellStyle name="Normal 3 4 12 5 5 2" xfId="32747" xr:uid="{00000000-0005-0000-0000-000049680000}"/>
    <cellStyle name="Normal 3 4 12 5 6" xfId="15251" xr:uid="{00000000-0005-0000-0000-00004A680000}"/>
    <cellStyle name="Normal 3 4 12 5 6 2" xfId="32748" xr:uid="{00000000-0005-0000-0000-00004B680000}"/>
    <cellStyle name="Normal 3 4 12 5 7" xfId="15252" xr:uid="{00000000-0005-0000-0000-00004C680000}"/>
    <cellStyle name="Normal 3 4 12 5 7 2" xfId="32749" xr:uid="{00000000-0005-0000-0000-00004D680000}"/>
    <cellStyle name="Normal 3 4 12 5 8" xfId="15253" xr:uid="{00000000-0005-0000-0000-00004E680000}"/>
    <cellStyle name="Normal 3 4 12 5 8 2" xfId="32750" xr:uid="{00000000-0005-0000-0000-00004F680000}"/>
    <cellStyle name="Normal 3 4 12 5 9" xfId="15254" xr:uid="{00000000-0005-0000-0000-000050680000}"/>
    <cellStyle name="Normal 3 4 12 5 9 2" xfId="32751" xr:uid="{00000000-0005-0000-0000-000051680000}"/>
    <cellStyle name="Normal 3 4 12 6" xfId="15255" xr:uid="{00000000-0005-0000-0000-000052680000}"/>
    <cellStyle name="Normal 3 4 12 6 10" xfId="15256" xr:uid="{00000000-0005-0000-0000-000053680000}"/>
    <cellStyle name="Normal 3 4 12 6 10 2" xfId="32753" xr:uid="{00000000-0005-0000-0000-000054680000}"/>
    <cellStyle name="Normal 3 4 12 6 11" xfId="15257" xr:uid="{00000000-0005-0000-0000-000055680000}"/>
    <cellStyle name="Normal 3 4 12 6 11 2" xfId="32754" xr:uid="{00000000-0005-0000-0000-000056680000}"/>
    <cellStyle name="Normal 3 4 12 6 12" xfId="15258" xr:uid="{00000000-0005-0000-0000-000057680000}"/>
    <cellStyle name="Normal 3 4 12 6 12 2" xfId="32755" xr:uid="{00000000-0005-0000-0000-000058680000}"/>
    <cellStyle name="Normal 3 4 12 6 13" xfId="15259" xr:uid="{00000000-0005-0000-0000-000059680000}"/>
    <cellStyle name="Normal 3 4 12 6 13 2" xfId="32756" xr:uid="{00000000-0005-0000-0000-00005A680000}"/>
    <cellStyle name="Normal 3 4 12 6 14" xfId="15260" xr:uid="{00000000-0005-0000-0000-00005B680000}"/>
    <cellStyle name="Normal 3 4 12 6 14 2" xfId="32757" xr:uid="{00000000-0005-0000-0000-00005C680000}"/>
    <cellStyle name="Normal 3 4 12 6 15" xfId="32752" xr:uid="{00000000-0005-0000-0000-00005D680000}"/>
    <cellStyle name="Normal 3 4 12 6 2" xfId="15261" xr:uid="{00000000-0005-0000-0000-00005E680000}"/>
    <cellStyle name="Normal 3 4 12 6 2 2" xfId="32758" xr:uid="{00000000-0005-0000-0000-00005F680000}"/>
    <cellStyle name="Normal 3 4 12 6 3" xfId="15262" xr:uid="{00000000-0005-0000-0000-000060680000}"/>
    <cellStyle name="Normal 3 4 12 6 3 2" xfId="32759" xr:uid="{00000000-0005-0000-0000-000061680000}"/>
    <cellStyle name="Normal 3 4 12 6 4" xfId="15263" xr:uid="{00000000-0005-0000-0000-000062680000}"/>
    <cellStyle name="Normal 3 4 12 6 4 2" xfId="32760" xr:uid="{00000000-0005-0000-0000-000063680000}"/>
    <cellStyle name="Normal 3 4 12 6 5" xfId="15264" xr:uid="{00000000-0005-0000-0000-000064680000}"/>
    <cellStyle name="Normal 3 4 12 6 5 2" xfId="32761" xr:uid="{00000000-0005-0000-0000-000065680000}"/>
    <cellStyle name="Normal 3 4 12 6 6" xfId="15265" xr:uid="{00000000-0005-0000-0000-000066680000}"/>
    <cellStyle name="Normal 3 4 12 6 6 2" xfId="32762" xr:uid="{00000000-0005-0000-0000-000067680000}"/>
    <cellStyle name="Normal 3 4 12 6 7" xfId="15266" xr:uid="{00000000-0005-0000-0000-000068680000}"/>
    <cellStyle name="Normal 3 4 12 6 7 2" xfId="32763" xr:uid="{00000000-0005-0000-0000-000069680000}"/>
    <cellStyle name="Normal 3 4 12 6 8" xfId="15267" xr:uid="{00000000-0005-0000-0000-00006A680000}"/>
    <cellStyle name="Normal 3 4 12 6 8 2" xfId="32764" xr:uid="{00000000-0005-0000-0000-00006B680000}"/>
    <cellStyle name="Normal 3 4 12 6 9" xfId="15268" xr:uid="{00000000-0005-0000-0000-00006C680000}"/>
    <cellStyle name="Normal 3 4 12 6 9 2" xfId="32765" xr:uid="{00000000-0005-0000-0000-00006D680000}"/>
    <cellStyle name="Normal 3 4 12 7" xfId="15269" xr:uid="{00000000-0005-0000-0000-00006E680000}"/>
    <cellStyle name="Normal 3 4 12 7 10" xfId="15270" xr:uid="{00000000-0005-0000-0000-00006F680000}"/>
    <cellStyle name="Normal 3 4 12 7 10 2" xfId="32767" xr:uid="{00000000-0005-0000-0000-000070680000}"/>
    <cellStyle name="Normal 3 4 12 7 11" xfId="15271" xr:uid="{00000000-0005-0000-0000-000071680000}"/>
    <cellStyle name="Normal 3 4 12 7 11 2" xfId="32768" xr:uid="{00000000-0005-0000-0000-000072680000}"/>
    <cellStyle name="Normal 3 4 12 7 12" xfId="15272" xr:uid="{00000000-0005-0000-0000-000073680000}"/>
    <cellStyle name="Normal 3 4 12 7 12 2" xfId="32769" xr:uid="{00000000-0005-0000-0000-000074680000}"/>
    <cellStyle name="Normal 3 4 12 7 13" xfId="15273" xr:uid="{00000000-0005-0000-0000-000075680000}"/>
    <cellStyle name="Normal 3 4 12 7 13 2" xfId="32770" xr:uid="{00000000-0005-0000-0000-000076680000}"/>
    <cellStyle name="Normal 3 4 12 7 14" xfId="15274" xr:uid="{00000000-0005-0000-0000-000077680000}"/>
    <cellStyle name="Normal 3 4 12 7 14 2" xfId="32771" xr:uid="{00000000-0005-0000-0000-000078680000}"/>
    <cellStyle name="Normal 3 4 12 7 15" xfId="32766" xr:uid="{00000000-0005-0000-0000-000079680000}"/>
    <cellStyle name="Normal 3 4 12 7 2" xfId="15275" xr:uid="{00000000-0005-0000-0000-00007A680000}"/>
    <cellStyle name="Normal 3 4 12 7 2 2" xfId="32772" xr:uid="{00000000-0005-0000-0000-00007B680000}"/>
    <cellStyle name="Normal 3 4 12 7 3" xfId="15276" xr:uid="{00000000-0005-0000-0000-00007C680000}"/>
    <cellStyle name="Normal 3 4 12 7 3 2" xfId="32773" xr:uid="{00000000-0005-0000-0000-00007D680000}"/>
    <cellStyle name="Normal 3 4 12 7 4" xfId="15277" xr:uid="{00000000-0005-0000-0000-00007E680000}"/>
    <cellStyle name="Normal 3 4 12 7 4 2" xfId="32774" xr:uid="{00000000-0005-0000-0000-00007F680000}"/>
    <cellStyle name="Normal 3 4 12 7 5" xfId="15278" xr:uid="{00000000-0005-0000-0000-000080680000}"/>
    <cellStyle name="Normal 3 4 12 7 5 2" xfId="32775" xr:uid="{00000000-0005-0000-0000-000081680000}"/>
    <cellStyle name="Normal 3 4 12 7 6" xfId="15279" xr:uid="{00000000-0005-0000-0000-000082680000}"/>
    <cellStyle name="Normal 3 4 12 7 6 2" xfId="32776" xr:uid="{00000000-0005-0000-0000-000083680000}"/>
    <cellStyle name="Normal 3 4 12 7 7" xfId="15280" xr:uid="{00000000-0005-0000-0000-000084680000}"/>
    <cellStyle name="Normal 3 4 12 7 7 2" xfId="32777" xr:uid="{00000000-0005-0000-0000-000085680000}"/>
    <cellStyle name="Normal 3 4 12 7 8" xfId="15281" xr:uid="{00000000-0005-0000-0000-000086680000}"/>
    <cellStyle name="Normal 3 4 12 7 8 2" xfId="32778" xr:uid="{00000000-0005-0000-0000-000087680000}"/>
    <cellStyle name="Normal 3 4 12 7 9" xfId="15282" xr:uid="{00000000-0005-0000-0000-000088680000}"/>
    <cellStyle name="Normal 3 4 12 7 9 2" xfId="32779" xr:uid="{00000000-0005-0000-0000-000089680000}"/>
    <cellStyle name="Normal 3 4 12 8" xfId="15283" xr:uid="{00000000-0005-0000-0000-00008A680000}"/>
    <cellStyle name="Normal 3 4 12 8 10" xfId="15284" xr:uid="{00000000-0005-0000-0000-00008B680000}"/>
    <cellStyle name="Normal 3 4 12 8 10 2" xfId="32781" xr:uid="{00000000-0005-0000-0000-00008C680000}"/>
    <cellStyle name="Normal 3 4 12 8 11" xfId="15285" xr:uid="{00000000-0005-0000-0000-00008D680000}"/>
    <cellStyle name="Normal 3 4 12 8 11 2" xfId="32782" xr:uid="{00000000-0005-0000-0000-00008E680000}"/>
    <cellStyle name="Normal 3 4 12 8 12" xfId="15286" xr:uid="{00000000-0005-0000-0000-00008F680000}"/>
    <cellStyle name="Normal 3 4 12 8 12 2" xfId="32783" xr:uid="{00000000-0005-0000-0000-000090680000}"/>
    <cellStyle name="Normal 3 4 12 8 13" xfId="15287" xr:uid="{00000000-0005-0000-0000-000091680000}"/>
    <cellStyle name="Normal 3 4 12 8 13 2" xfId="32784" xr:uid="{00000000-0005-0000-0000-000092680000}"/>
    <cellStyle name="Normal 3 4 12 8 14" xfId="15288" xr:uid="{00000000-0005-0000-0000-000093680000}"/>
    <cellStyle name="Normal 3 4 12 8 14 2" xfId="32785" xr:uid="{00000000-0005-0000-0000-000094680000}"/>
    <cellStyle name="Normal 3 4 12 8 15" xfId="32780" xr:uid="{00000000-0005-0000-0000-000095680000}"/>
    <cellStyle name="Normal 3 4 12 8 2" xfId="15289" xr:uid="{00000000-0005-0000-0000-000096680000}"/>
    <cellStyle name="Normal 3 4 12 8 2 2" xfId="32786" xr:uid="{00000000-0005-0000-0000-000097680000}"/>
    <cellStyle name="Normal 3 4 12 8 3" xfId="15290" xr:uid="{00000000-0005-0000-0000-000098680000}"/>
    <cellStyle name="Normal 3 4 12 8 3 2" xfId="32787" xr:uid="{00000000-0005-0000-0000-000099680000}"/>
    <cellStyle name="Normal 3 4 12 8 4" xfId="15291" xr:uid="{00000000-0005-0000-0000-00009A680000}"/>
    <cellStyle name="Normal 3 4 12 8 4 2" xfId="32788" xr:uid="{00000000-0005-0000-0000-00009B680000}"/>
    <cellStyle name="Normal 3 4 12 8 5" xfId="15292" xr:uid="{00000000-0005-0000-0000-00009C680000}"/>
    <cellStyle name="Normal 3 4 12 8 5 2" xfId="32789" xr:uid="{00000000-0005-0000-0000-00009D680000}"/>
    <cellStyle name="Normal 3 4 12 8 6" xfId="15293" xr:uid="{00000000-0005-0000-0000-00009E680000}"/>
    <cellStyle name="Normal 3 4 12 8 6 2" xfId="32790" xr:uid="{00000000-0005-0000-0000-00009F680000}"/>
    <cellStyle name="Normal 3 4 12 8 7" xfId="15294" xr:uid="{00000000-0005-0000-0000-0000A0680000}"/>
    <cellStyle name="Normal 3 4 12 8 7 2" xfId="32791" xr:uid="{00000000-0005-0000-0000-0000A1680000}"/>
    <cellStyle name="Normal 3 4 12 8 8" xfId="15295" xr:uid="{00000000-0005-0000-0000-0000A2680000}"/>
    <cellStyle name="Normal 3 4 12 8 8 2" xfId="32792" xr:uid="{00000000-0005-0000-0000-0000A3680000}"/>
    <cellStyle name="Normal 3 4 12 8 9" xfId="15296" xr:uid="{00000000-0005-0000-0000-0000A4680000}"/>
    <cellStyle name="Normal 3 4 12 8 9 2" xfId="32793" xr:uid="{00000000-0005-0000-0000-0000A5680000}"/>
    <cellStyle name="Normal 3 4 12 9" xfId="15297" xr:uid="{00000000-0005-0000-0000-0000A6680000}"/>
    <cellStyle name="Normal 3 4 12 9 10" xfId="15298" xr:uid="{00000000-0005-0000-0000-0000A7680000}"/>
    <cellStyle name="Normal 3 4 12 9 10 2" xfId="32795" xr:uid="{00000000-0005-0000-0000-0000A8680000}"/>
    <cellStyle name="Normal 3 4 12 9 11" xfId="15299" xr:uid="{00000000-0005-0000-0000-0000A9680000}"/>
    <cellStyle name="Normal 3 4 12 9 11 2" xfId="32796" xr:uid="{00000000-0005-0000-0000-0000AA680000}"/>
    <cellStyle name="Normal 3 4 12 9 12" xfId="15300" xr:uid="{00000000-0005-0000-0000-0000AB680000}"/>
    <cellStyle name="Normal 3 4 12 9 12 2" xfId="32797" xr:uid="{00000000-0005-0000-0000-0000AC680000}"/>
    <cellStyle name="Normal 3 4 12 9 13" xfId="15301" xr:uid="{00000000-0005-0000-0000-0000AD680000}"/>
    <cellStyle name="Normal 3 4 12 9 13 2" xfId="32798" xr:uid="{00000000-0005-0000-0000-0000AE680000}"/>
    <cellStyle name="Normal 3 4 12 9 14" xfId="15302" xr:uid="{00000000-0005-0000-0000-0000AF680000}"/>
    <cellStyle name="Normal 3 4 12 9 14 2" xfId="32799" xr:uid="{00000000-0005-0000-0000-0000B0680000}"/>
    <cellStyle name="Normal 3 4 12 9 15" xfId="32794" xr:uid="{00000000-0005-0000-0000-0000B1680000}"/>
    <cellStyle name="Normal 3 4 12 9 2" xfId="15303" xr:uid="{00000000-0005-0000-0000-0000B2680000}"/>
    <cellStyle name="Normal 3 4 12 9 2 2" xfId="32800" xr:uid="{00000000-0005-0000-0000-0000B3680000}"/>
    <cellStyle name="Normal 3 4 12 9 3" xfId="15304" xr:uid="{00000000-0005-0000-0000-0000B4680000}"/>
    <cellStyle name="Normal 3 4 12 9 3 2" xfId="32801" xr:uid="{00000000-0005-0000-0000-0000B5680000}"/>
    <cellStyle name="Normal 3 4 12 9 4" xfId="15305" xr:uid="{00000000-0005-0000-0000-0000B6680000}"/>
    <cellStyle name="Normal 3 4 12 9 4 2" xfId="32802" xr:uid="{00000000-0005-0000-0000-0000B7680000}"/>
    <cellStyle name="Normal 3 4 12 9 5" xfId="15306" xr:uid="{00000000-0005-0000-0000-0000B8680000}"/>
    <cellStyle name="Normal 3 4 12 9 5 2" xfId="32803" xr:uid="{00000000-0005-0000-0000-0000B9680000}"/>
    <cellStyle name="Normal 3 4 12 9 6" xfId="15307" xr:uid="{00000000-0005-0000-0000-0000BA680000}"/>
    <cellStyle name="Normal 3 4 12 9 6 2" xfId="32804" xr:uid="{00000000-0005-0000-0000-0000BB680000}"/>
    <cellStyle name="Normal 3 4 12 9 7" xfId="15308" xr:uid="{00000000-0005-0000-0000-0000BC680000}"/>
    <cellStyle name="Normal 3 4 12 9 7 2" xfId="32805" xr:uid="{00000000-0005-0000-0000-0000BD680000}"/>
    <cellStyle name="Normal 3 4 12 9 8" xfId="15309" xr:uid="{00000000-0005-0000-0000-0000BE680000}"/>
    <cellStyle name="Normal 3 4 12 9 8 2" xfId="32806" xr:uid="{00000000-0005-0000-0000-0000BF680000}"/>
    <cellStyle name="Normal 3 4 12 9 9" xfId="15310" xr:uid="{00000000-0005-0000-0000-0000C0680000}"/>
    <cellStyle name="Normal 3 4 12 9 9 2" xfId="32807" xr:uid="{00000000-0005-0000-0000-0000C1680000}"/>
    <cellStyle name="Normal 3 4 13" xfId="15311" xr:uid="{00000000-0005-0000-0000-0000C2680000}"/>
    <cellStyle name="Normal 3 4 13 10" xfId="15312" xr:uid="{00000000-0005-0000-0000-0000C3680000}"/>
    <cellStyle name="Normal 3 4 13 10 2" xfId="32809" xr:uid="{00000000-0005-0000-0000-0000C4680000}"/>
    <cellStyle name="Normal 3 4 13 11" xfId="15313" xr:uid="{00000000-0005-0000-0000-0000C5680000}"/>
    <cellStyle name="Normal 3 4 13 11 2" xfId="32810" xr:uid="{00000000-0005-0000-0000-0000C6680000}"/>
    <cellStyle name="Normal 3 4 13 12" xfId="15314" xr:uid="{00000000-0005-0000-0000-0000C7680000}"/>
    <cellStyle name="Normal 3 4 13 12 2" xfId="32811" xr:uid="{00000000-0005-0000-0000-0000C8680000}"/>
    <cellStyle name="Normal 3 4 13 13" xfId="15315" xr:uid="{00000000-0005-0000-0000-0000C9680000}"/>
    <cellStyle name="Normal 3 4 13 13 2" xfId="32812" xr:uid="{00000000-0005-0000-0000-0000CA680000}"/>
    <cellStyle name="Normal 3 4 13 14" xfId="15316" xr:uid="{00000000-0005-0000-0000-0000CB680000}"/>
    <cellStyle name="Normal 3 4 13 14 2" xfId="32813" xr:uid="{00000000-0005-0000-0000-0000CC680000}"/>
    <cellStyle name="Normal 3 4 13 15" xfId="15317" xr:uid="{00000000-0005-0000-0000-0000CD680000}"/>
    <cellStyle name="Normal 3 4 13 15 2" xfId="32814" xr:uid="{00000000-0005-0000-0000-0000CE680000}"/>
    <cellStyle name="Normal 3 4 13 16" xfId="32808" xr:uid="{00000000-0005-0000-0000-0000CF680000}"/>
    <cellStyle name="Normal 3 4 13 2" xfId="15318" xr:uid="{00000000-0005-0000-0000-0000D0680000}"/>
    <cellStyle name="Normal 3 4 13 2 10" xfId="15319" xr:uid="{00000000-0005-0000-0000-0000D1680000}"/>
    <cellStyle name="Normal 3 4 13 2 10 2" xfId="32816" xr:uid="{00000000-0005-0000-0000-0000D2680000}"/>
    <cellStyle name="Normal 3 4 13 2 11" xfId="15320" xr:uid="{00000000-0005-0000-0000-0000D3680000}"/>
    <cellStyle name="Normal 3 4 13 2 11 2" xfId="32817" xr:uid="{00000000-0005-0000-0000-0000D4680000}"/>
    <cellStyle name="Normal 3 4 13 2 12" xfId="15321" xr:uid="{00000000-0005-0000-0000-0000D5680000}"/>
    <cellStyle name="Normal 3 4 13 2 12 2" xfId="32818" xr:uid="{00000000-0005-0000-0000-0000D6680000}"/>
    <cellStyle name="Normal 3 4 13 2 13" xfId="15322" xr:uid="{00000000-0005-0000-0000-0000D7680000}"/>
    <cellStyle name="Normal 3 4 13 2 13 2" xfId="32819" xr:uid="{00000000-0005-0000-0000-0000D8680000}"/>
    <cellStyle name="Normal 3 4 13 2 14" xfId="15323" xr:uid="{00000000-0005-0000-0000-0000D9680000}"/>
    <cellStyle name="Normal 3 4 13 2 14 2" xfId="32820" xr:uid="{00000000-0005-0000-0000-0000DA680000}"/>
    <cellStyle name="Normal 3 4 13 2 15" xfId="32815" xr:uid="{00000000-0005-0000-0000-0000DB680000}"/>
    <cellStyle name="Normal 3 4 13 2 2" xfId="15324" xr:uid="{00000000-0005-0000-0000-0000DC680000}"/>
    <cellStyle name="Normal 3 4 13 2 2 2" xfId="32821" xr:uid="{00000000-0005-0000-0000-0000DD680000}"/>
    <cellStyle name="Normal 3 4 13 2 3" xfId="15325" xr:uid="{00000000-0005-0000-0000-0000DE680000}"/>
    <cellStyle name="Normal 3 4 13 2 3 2" xfId="32822" xr:uid="{00000000-0005-0000-0000-0000DF680000}"/>
    <cellStyle name="Normal 3 4 13 2 4" xfId="15326" xr:uid="{00000000-0005-0000-0000-0000E0680000}"/>
    <cellStyle name="Normal 3 4 13 2 4 2" xfId="32823" xr:uid="{00000000-0005-0000-0000-0000E1680000}"/>
    <cellStyle name="Normal 3 4 13 2 5" xfId="15327" xr:uid="{00000000-0005-0000-0000-0000E2680000}"/>
    <cellStyle name="Normal 3 4 13 2 5 2" xfId="32824" xr:uid="{00000000-0005-0000-0000-0000E3680000}"/>
    <cellStyle name="Normal 3 4 13 2 6" xfId="15328" xr:uid="{00000000-0005-0000-0000-0000E4680000}"/>
    <cellStyle name="Normal 3 4 13 2 6 2" xfId="32825" xr:uid="{00000000-0005-0000-0000-0000E5680000}"/>
    <cellStyle name="Normal 3 4 13 2 7" xfId="15329" xr:uid="{00000000-0005-0000-0000-0000E6680000}"/>
    <cellStyle name="Normal 3 4 13 2 7 2" xfId="32826" xr:uid="{00000000-0005-0000-0000-0000E7680000}"/>
    <cellStyle name="Normal 3 4 13 2 8" xfId="15330" xr:uid="{00000000-0005-0000-0000-0000E8680000}"/>
    <cellStyle name="Normal 3 4 13 2 8 2" xfId="32827" xr:uid="{00000000-0005-0000-0000-0000E9680000}"/>
    <cellStyle name="Normal 3 4 13 2 9" xfId="15331" xr:uid="{00000000-0005-0000-0000-0000EA680000}"/>
    <cellStyle name="Normal 3 4 13 2 9 2" xfId="32828" xr:uid="{00000000-0005-0000-0000-0000EB680000}"/>
    <cellStyle name="Normal 3 4 13 3" xfId="15332" xr:uid="{00000000-0005-0000-0000-0000EC680000}"/>
    <cellStyle name="Normal 3 4 13 3 2" xfId="32829" xr:uid="{00000000-0005-0000-0000-0000ED680000}"/>
    <cellStyle name="Normal 3 4 13 4" xfId="15333" xr:uid="{00000000-0005-0000-0000-0000EE680000}"/>
    <cellStyle name="Normal 3 4 13 4 2" xfId="32830" xr:uid="{00000000-0005-0000-0000-0000EF680000}"/>
    <cellStyle name="Normal 3 4 13 5" xfId="15334" xr:uid="{00000000-0005-0000-0000-0000F0680000}"/>
    <cellStyle name="Normal 3 4 13 5 2" xfId="32831" xr:uid="{00000000-0005-0000-0000-0000F1680000}"/>
    <cellStyle name="Normal 3 4 13 6" xfId="15335" xr:uid="{00000000-0005-0000-0000-0000F2680000}"/>
    <cellStyle name="Normal 3 4 13 6 2" xfId="32832" xr:uid="{00000000-0005-0000-0000-0000F3680000}"/>
    <cellStyle name="Normal 3 4 13 7" xfId="15336" xr:uid="{00000000-0005-0000-0000-0000F4680000}"/>
    <cellStyle name="Normal 3 4 13 7 2" xfId="32833" xr:uid="{00000000-0005-0000-0000-0000F5680000}"/>
    <cellStyle name="Normal 3 4 13 8" xfId="15337" xr:uid="{00000000-0005-0000-0000-0000F6680000}"/>
    <cellStyle name="Normal 3 4 13 8 2" xfId="32834" xr:uid="{00000000-0005-0000-0000-0000F7680000}"/>
    <cellStyle name="Normal 3 4 13 9" xfId="15338" xr:uid="{00000000-0005-0000-0000-0000F8680000}"/>
    <cellStyle name="Normal 3 4 13 9 2" xfId="32835" xr:uid="{00000000-0005-0000-0000-0000F9680000}"/>
    <cellStyle name="Normal 3 4 14" xfId="15339" xr:uid="{00000000-0005-0000-0000-0000FA680000}"/>
    <cellStyle name="Normal 3 4 14 10" xfId="15340" xr:uid="{00000000-0005-0000-0000-0000FB680000}"/>
    <cellStyle name="Normal 3 4 14 10 2" xfId="32837" xr:uid="{00000000-0005-0000-0000-0000FC680000}"/>
    <cellStyle name="Normal 3 4 14 11" xfId="15341" xr:uid="{00000000-0005-0000-0000-0000FD680000}"/>
    <cellStyle name="Normal 3 4 14 11 2" xfId="32838" xr:uid="{00000000-0005-0000-0000-0000FE680000}"/>
    <cellStyle name="Normal 3 4 14 12" xfId="15342" xr:uid="{00000000-0005-0000-0000-0000FF680000}"/>
    <cellStyle name="Normal 3 4 14 12 2" xfId="32839" xr:uid="{00000000-0005-0000-0000-000000690000}"/>
    <cellStyle name="Normal 3 4 14 13" xfId="15343" xr:uid="{00000000-0005-0000-0000-000001690000}"/>
    <cellStyle name="Normal 3 4 14 13 2" xfId="32840" xr:uid="{00000000-0005-0000-0000-000002690000}"/>
    <cellStyle name="Normal 3 4 14 14" xfId="15344" xr:uid="{00000000-0005-0000-0000-000003690000}"/>
    <cellStyle name="Normal 3 4 14 14 2" xfId="32841" xr:uid="{00000000-0005-0000-0000-000004690000}"/>
    <cellStyle name="Normal 3 4 14 15" xfId="15345" xr:uid="{00000000-0005-0000-0000-000005690000}"/>
    <cellStyle name="Normal 3 4 14 15 2" xfId="32842" xr:uid="{00000000-0005-0000-0000-000006690000}"/>
    <cellStyle name="Normal 3 4 14 16" xfId="32836" xr:uid="{00000000-0005-0000-0000-000007690000}"/>
    <cellStyle name="Normal 3 4 14 2" xfId="15346" xr:uid="{00000000-0005-0000-0000-000008690000}"/>
    <cellStyle name="Normal 3 4 14 2 10" xfId="15347" xr:uid="{00000000-0005-0000-0000-000009690000}"/>
    <cellStyle name="Normal 3 4 14 2 10 2" xfId="32844" xr:uid="{00000000-0005-0000-0000-00000A690000}"/>
    <cellStyle name="Normal 3 4 14 2 11" xfId="15348" xr:uid="{00000000-0005-0000-0000-00000B690000}"/>
    <cellStyle name="Normal 3 4 14 2 11 2" xfId="32845" xr:uid="{00000000-0005-0000-0000-00000C690000}"/>
    <cellStyle name="Normal 3 4 14 2 12" xfId="15349" xr:uid="{00000000-0005-0000-0000-00000D690000}"/>
    <cellStyle name="Normal 3 4 14 2 12 2" xfId="32846" xr:uid="{00000000-0005-0000-0000-00000E690000}"/>
    <cellStyle name="Normal 3 4 14 2 13" xfId="15350" xr:uid="{00000000-0005-0000-0000-00000F690000}"/>
    <cellStyle name="Normal 3 4 14 2 13 2" xfId="32847" xr:uid="{00000000-0005-0000-0000-000010690000}"/>
    <cellStyle name="Normal 3 4 14 2 14" xfId="15351" xr:uid="{00000000-0005-0000-0000-000011690000}"/>
    <cellStyle name="Normal 3 4 14 2 14 2" xfId="32848" xr:uid="{00000000-0005-0000-0000-000012690000}"/>
    <cellStyle name="Normal 3 4 14 2 15" xfId="32843" xr:uid="{00000000-0005-0000-0000-000013690000}"/>
    <cellStyle name="Normal 3 4 14 2 2" xfId="15352" xr:uid="{00000000-0005-0000-0000-000014690000}"/>
    <cellStyle name="Normal 3 4 14 2 2 2" xfId="32849" xr:uid="{00000000-0005-0000-0000-000015690000}"/>
    <cellStyle name="Normal 3 4 14 2 3" xfId="15353" xr:uid="{00000000-0005-0000-0000-000016690000}"/>
    <cellStyle name="Normal 3 4 14 2 3 2" xfId="32850" xr:uid="{00000000-0005-0000-0000-000017690000}"/>
    <cellStyle name="Normal 3 4 14 2 4" xfId="15354" xr:uid="{00000000-0005-0000-0000-000018690000}"/>
    <cellStyle name="Normal 3 4 14 2 4 2" xfId="32851" xr:uid="{00000000-0005-0000-0000-000019690000}"/>
    <cellStyle name="Normal 3 4 14 2 5" xfId="15355" xr:uid="{00000000-0005-0000-0000-00001A690000}"/>
    <cellStyle name="Normal 3 4 14 2 5 2" xfId="32852" xr:uid="{00000000-0005-0000-0000-00001B690000}"/>
    <cellStyle name="Normal 3 4 14 2 6" xfId="15356" xr:uid="{00000000-0005-0000-0000-00001C690000}"/>
    <cellStyle name="Normal 3 4 14 2 6 2" xfId="32853" xr:uid="{00000000-0005-0000-0000-00001D690000}"/>
    <cellStyle name="Normal 3 4 14 2 7" xfId="15357" xr:uid="{00000000-0005-0000-0000-00001E690000}"/>
    <cellStyle name="Normal 3 4 14 2 7 2" xfId="32854" xr:uid="{00000000-0005-0000-0000-00001F690000}"/>
    <cellStyle name="Normal 3 4 14 2 8" xfId="15358" xr:uid="{00000000-0005-0000-0000-000020690000}"/>
    <cellStyle name="Normal 3 4 14 2 8 2" xfId="32855" xr:uid="{00000000-0005-0000-0000-000021690000}"/>
    <cellStyle name="Normal 3 4 14 2 9" xfId="15359" xr:uid="{00000000-0005-0000-0000-000022690000}"/>
    <cellStyle name="Normal 3 4 14 2 9 2" xfId="32856" xr:uid="{00000000-0005-0000-0000-000023690000}"/>
    <cellStyle name="Normal 3 4 14 3" xfId="15360" xr:uid="{00000000-0005-0000-0000-000024690000}"/>
    <cellStyle name="Normal 3 4 14 3 2" xfId="32857" xr:uid="{00000000-0005-0000-0000-000025690000}"/>
    <cellStyle name="Normal 3 4 14 4" xfId="15361" xr:uid="{00000000-0005-0000-0000-000026690000}"/>
    <cellStyle name="Normal 3 4 14 4 2" xfId="32858" xr:uid="{00000000-0005-0000-0000-000027690000}"/>
    <cellStyle name="Normal 3 4 14 5" xfId="15362" xr:uid="{00000000-0005-0000-0000-000028690000}"/>
    <cellStyle name="Normal 3 4 14 5 2" xfId="32859" xr:uid="{00000000-0005-0000-0000-000029690000}"/>
    <cellStyle name="Normal 3 4 14 6" xfId="15363" xr:uid="{00000000-0005-0000-0000-00002A690000}"/>
    <cellStyle name="Normal 3 4 14 6 2" xfId="32860" xr:uid="{00000000-0005-0000-0000-00002B690000}"/>
    <cellStyle name="Normal 3 4 14 7" xfId="15364" xr:uid="{00000000-0005-0000-0000-00002C690000}"/>
    <cellStyle name="Normal 3 4 14 7 2" xfId="32861" xr:uid="{00000000-0005-0000-0000-00002D690000}"/>
    <cellStyle name="Normal 3 4 14 8" xfId="15365" xr:uid="{00000000-0005-0000-0000-00002E690000}"/>
    <cellStyle name="Normal 3 4 14 8 2" xfId="32862" xr:uid="{00000000-0005-0000-0000-00002F690000}"/>
    <cellStyle name="Normal 3 4 14 9" xfId="15366" xr:uid="{00000000-0005-0000-0000-000030690000}"/>
    <cellStyle name="Normal 3 4 14 9 2" xfId="32863" xr:uid="{00000000-0005-0000-0000-000031690000}"/>
    <cellStyle name="Normal 3 4 15" xfId="15367" xr:uid="{00000000-0005-0000-0000-000032690000}"/>
    <cellStyle name="Normal 3 4 15 10" xfId="15368" xr:uid="{00000000-0005-0000-0000-000033690000}"/>
    <cellStyle name="Normal 3 4 15 10 2" xfId="32865" xr:uid="{00000000-0005-0000-0000-000034690000}"/>
    <cellStyle name="Normal 3 4 15 11" xfId="15369" xr:uid="{00000000-0005-0000-0000-000035690000}"/>
    <cellStyle name="Normal 3 4 15 11 2" xfId="32866" xr:uid="{00000000-0005-0000-0000-000036690000}"/>
    <cellStyle name="Normal 3 4 15 12" xfId="15370" xr:uid="{00000000-0005-0000-0000-000037690000}"/>
    <cellStyle name="Normal 3 4 15 12 2" xfId="32867" xr:uid="{00000000-0005-0000-0000-000038690000}"/>
    <cellStyle name="Normal 3 4 15 13" xfId="15371" xr:uid="{00000000-0005-0000-0000-000039690000}"/>
    <cellStyle name="Normal 3 4 15 13 2" xfId="32868" xr:uid="{00000000-0005-0000-0000-00003A690000}"/>
    <cellStyle name="Normal 3 4 15 14" xfId="15372" xr:uid="{00000000-0005-0000-0000-00003B690000}"/>
    <cellStyle name="Normal 3 4 15 14 2" xfId="32869" xr:uid="{00000000-0005-0000-0000-00003C690000}"/>
    <cellStyle name="Normal 3 4 15 15" xfId="15373" xr:uid="{00000000-0005-0000-0000-00003D690000}"/>
    <cellStyle name="Normal 3 4 15 15 2" xfId="32870" xr:uid="{00000000-0005-0000-0000-00003E690000}"/>
    <cellStyle name="Normal 3 4 15 16" xfId="32864" xr:uid="{00000000-0005-0000-0000-00003F690000}"/>
    <cellStyle name="Normal 3 4 15 2" xfId="15374" xr:uid="{00000000-0005-0000-0000-000040690000}"/>
    <cellStyle name="Normal 3 4 15 2 10" xfId="15375" xr:uid="{00000000-0005-0000-0000-000041690000}"/>
    <cellStyle name="Normal 3 4 15 2 10 2" xfId="32872" xr:uid="{00000000-0005-0000-0000-000042690000}"/>
    <cellStyle name="Normal 3 4 15 2 11" xfId="15376" xr:uid="{00000000-0005-0000-0000-000043690000}"/>
    <cellStyle name="Normal 3 4 15 2 11 2" xfId="32873" xr:uid="{00000000-0005-0000-0000-000044690000}"/>
    <cellStyle name="Normal 3 4 15 2 12" xfId="15377" xr:uid="{00000000-0005-0000-0000-000045690000}"/>
    <cellStyle name="Normal 3 4 15 2 12 2" xfId="32874" xr:uid="{00000000-0005-0000-0000-000046690000}"/>
    <cellStyle name="Normal 3 4 15 2 13" xfId="15378" xr:uid="{00000000-0005-0000-0000-000047690000}"/>
    <cellStyle name="Normal 3 4 15 2 13 2" xfId="32875" xr:uid="{00000000-0005-0000-0000-000048690000}"/>
    <cellStyle name="Normal 3 4 15 2 14" xfId="15379" xr:uid="{00000000-0005-0000-0000-000049690000}"/>
    <cellStyle name="Normal 3 4 15 2 14 2" xfId="32876" xr:uid="{00000000-0005-0000-0000-00004A690000}"/>
    <cellStyle name="Normal 3 4 15 2 15" xfId="32871" xr:uid="{00000000-0005-0000-0000-00004B690000}"/>
    <cellStyle name="Normal 3 4 15 2 2" xfId="15380" xr:uid="{00000000-0005-0000-0000-00004C690000}"/>
    <cellStyle name="Normal 3 4 15 2 2 2" xfId="32877" xr:uid="{00000000-0005-0000-0000-00004D690000}"/>
    <cellStyle name="Normal 3 4 15 2 3" xfId="15381" xr:uid="{00000000-0005-0000-0000-00004E690000}"/>
    <cellStyle name="Normal 3 4 15 2 3 2" xfId="32878" xr:uid="{00000000-0005-0000-0000-00004F690000}"/>
    <cellStyle name="Normal 3 4 15 2 4" xfId="15382" xr:uid="{00000000-0005-0000-0000-000050690000}"/>
    <cellStyle name="Normal 3 4 15 2 4 2" xfId="32879" xr:uid="{00000000-0005-0000-0000-000051690000}"/>
    <cellStyle name="Normal 3 4 15 2 5" xfId="15383" xr:uid="{00000000-0005-0000-0000-000052690000}"/>
    <cellStyle name="Normal 3 4 15 2 5 2" xfId="32880" xr:uid="{00000000-0005-0000-0000-000053690000}"/>
    <cellStyle name="Normal 3 4 15 2 6" xfId="15384" xr:uid="{00000000-0005-0000-0000-000054690000}"/>
    <cellStyle name="Normal 3 4 15 2 6 2" xfId="32881" xr:uid="{00000000-0005-0000-0000-000055690000}"/>
    <cellStyle name="Normal 3 4 15 2 7" xfId="15385" xr:uid="{00000000-0005-0000-0000-000056690000}"/>
    <cellStyle name="Normal 3 4 15 2 7 2" xfId="32882" xr:uid="{00000000-0005-0000-0000-000057690000}"/>
    <cellStyle name="Normal 3 4 15 2 8" xfId="15386" xr:uid="{00000000-0005-0000-0000-000058690000}"/>
    <cellStyle name="Normal 3 4 15 2 8 2" xfId="32883" xr:uid="{00000000-0005-0000-0000-000059690000}"/>
    <cellStyle name="Normal 3 4 15 2 9" xfId="15387" xr:uid="{00000000-0005-0000-0000-00005A690000}"/>
    <cellStyle name="Normal 3 4 15 2 9 2" xfId="32884" xr:uid="{00000000-0005-0000-0000-00005B690000}"/>
    <cellStyle name="Normal 3 4 15 3" xfId="15388" xr:uid="{00000000-0005-0000-0000-00005C690000}"/>
    <cellStyle name="Normal 3 4 15 3 2" xfId="32885" xr:uid="{00000000-0005-0000-0000-00005D690000}"/>
    <cellStyle name="Normal 3 4 15 4" xfId="15389" xr:uid="{00000000-0005-0000-0000-00005E690000}"/>
    <cellStyle name="Normal 3 4 15 4 2" xfId="32886" xr:uid="{00000000-0005-0000-0000-00005F690000}"/>
    <cellStyle name="Normal 3 4 15 5" xfId="15390" xr:uid="{00000000-0005-0000-0000-000060690000}"/>
    <cellStyle name="Normal 3 4 15 5 2" xfId="32887" xr:uid="{00000000-0005-0000-0000-000061690000}"/>
    <cellStyle name="Normal 3 4 15 6" xfId="15391" xr:uid="{00000000-0005-0000-0000-000062690000}"/>
    <cellStyle name="Normal 3 4 15 6 2" xfId="32888" xr:uid="{00000000-0005-0000-0000-000063690000}"/>
    <cellStyle name="Normal 3 4 15 7" xfId="15392" xr:uid="{00000000-0005-0000-0000-000064690000}"/>
    <cellStyle name="Normal 3 4 15 7 2" xfId="32889" xr:uid="{00000000-0005-0000-0000-000065690000}"/>
    <cellStyle name="Normal 3 4 15 8" xfId="15393" xr:uid="{00000000-0005-0000-0000-000066690000}"/>
    <cellStyle name="Normal 3 4 15 8 2" xfId="32890" xr:uid="{00000000-0005-0000-0000-000067690000}"/>
    <cellStyle name="Normal 3 4 15 9" xfId="15394" xr:uid="{00000000-0005-0000-0000-000068690000}"/>
    <cellStyle name="Normal 3 4 15 9 2" xfId="32891" xr:uid="{00000000-0005-0000-0000-000069690000}"/>
    <cellStyle name="Normal 3 4 16" xfId="15395" xr:uid="{00000000-0005-0000-0000-00006A690000}"/>
    <cellStyle name="Normal 3 4 16 10" xfId="15396" xr:uid="{00000000-0005-0000-0000-00006B690000}"/>
    <cellStyle name="Normal 3 4 16 10 2" xfId="32893" xr:uid="{00000000-0005-0000-0000-00006C690000}"/>
    <cellStyle name="Normal 3 4 16 11" xfId="15397" xr:uid="{00000000-0005-0000-0000-00006D690000}"/>
    <cellStyle name="Normal 3 4 16 11 2" xfId="32894" xr:uid="{00000000-0005-0000-0000-00006E690000}"/>
    <cellStyle name="Normal 3 4 16 12" xfId="15398" xr:uid="{00000000-0005-0000-0000-00006F690000}"/>
    <cellStyle name="Normal 3 4 16 12 2" xfId="32895" xr:uid="{00000000-0005-0000-0000-000070690000}"/>
    <cellStyle name="Normal 3 4 16 13" xfId="15399" xr:uid="{00000000-0005-0000-0000-000071690000}"/>
    <cellStyle name="Normal 3 4 16 13 2" xfId="32896" xr:uid="{00000000-0005-0000-0000-000072690000}"/>
    <cellStyle name="Normal 3 4 16 14" xfId="15400" xr:uid="{00000000-0005-0000-0000-000073690000}"/>
    <cellStyle name="Normal 3 4 16 14 2" xfId="32897" xr:uid="{00000000-0005-0000-0000-000074690000}"/>
    <cellStyle name="Normal 3 4 16 15" xfId="32892" xr:uid="{00000000-0005-0000-0000-000075690000}"/>
    <cellStyle name="Normal 3 4 16 2" xfId="15401" xr:uid="{00000000-0005-0000-0000-000076690000}"/>
    <cellStyle name="Normal 3 4 16 2 2" xfId="32898" xr:uid="{00000000-0005-0000-0000-000077690000}"/>
    <cellStyle name="Normal 3 4 16 3" xfId="15402" xr:uid="{00000000-0005-0000-0000-000078690000}"/>
    <cellStyle name="Normal 3 4 16 3 2" xfId="32899" xr:uid="{00000000-0005-0000-0000-000079690000}"/>
    <cellStyle name="Normal 3 4 16 4" xfId="15403" xr:uid="{00000000-0005-0000-0000-00007A690000}"/>
    <cellStyle name="Normal 3 4 16 4 2" xfId="32900" xr:uid="{00000000-0005-0000-0000-00007B690000}"/>
    <cellStyle name="Normal 3 4 16 5" xfId="15404" xr:uid="{00000000-0005-0000-0000-00007C690000}"/>
    <cellStyle name="Normal 3 4 16 5 2" xfId="32901" xr:uid="{00000000-0005-0000-0000-00007D690000}"/>
    <cellStyle name="Normal 3 4 16 6" xfId="15405" xr:uid="{00000000-0005-0000-0000-00007E690000}"/>
    <cellStyle name="Normal 3 4 16 6 2" xfId="32902" xr:uid="{00000000-0005-0000-0000-00007F690000}"/>
    <cellStyle name="Normal 3 4 16 7" xfId="15406" xr:uid="{00000000-0005-0000-0000-000080690000}"/>
    <cellStyle name="Normal 3 4 16 7 2" xfId="32903" xr:uid="{00000000-0005-0000-0000-000081690000}"/>
    <cellStyle name="Normal 3 4 16 8" xfId="15407" xr:uid="{00000000-0005-0000-0000-000082690000}"/>
    <cellStyle name="Normal 3 4 16 8 2" xfId="32904" xr:uid="{00000000-0005-0000-0000-000083690000}"/>
    <cellStyle name="Normal 3 4 16 9" xfId="15408" xr:uid="{00000000-0005-0000-0000-000084690000}"/>
    <cellStyle name="Normal 3 4 16 9 2" xfId="32905" xr:uid="{00000000-0005-0000-0000-000085690000}"/>
    <cellStyle name="Normal 3 4 17" xfId="15409" xr:uid="{00000000-0005-0000-0000-000086690000}"/>
    <cellStyle name="Normal 3 4 17 10" xfId="15410" xr:uid="{00000000-0005-0000-0000-000087690000}"/>
    <cellStyle name="Normal 3 4 17 10 2" xfId="32907" xr:uid="{00000000-0005-0000-0000-000088690000}"/>
    <cellStyle name="Normal 3 4 17 11" xfId="15411" xr:uid="{00000000-0005-0000-0000-000089690000}"/>
    <cellStyle name="Normal 3 4 17 11 2" xfId="32908" xr:uid="{00000000-0005-0000-0000-00008A690000}"/>
    <cellStyle name="Normal 3 4 17 12" xfId="15412" xr:uid="{00000000-0005-0000-0000-00008B690000}"/>
    <cellStyle name="Normal 3 4 17 12 2" xfId="32909" xr:uid="{00000000-0005-0000-0000-00008C690000}"/>
    <cellStyle name="Normal 3 4 17 13" xfId="15413" xr:uid="{00000000-0005-0000-0000-00008D690000}"/>
    <cellStyle name="Normal 3 4 17 13 2" xfId="32910" xr:uid="{00000000-0005-0000-0000-00008E690000}"/>
    <cellStyle name="Normal 3 4 17 14" xfId="15414" xr:uid="{00000000-0005-0000-0000-00008F690000}"/>
    <cellStyle name="Normal 3 4 17 14 2" xfId="32911" xr:uid="{00000000-0005-0000-0000-000090690000}"/>
    <cellStyle name="Normal 3 4 17 15" xfId="32906" xr:uid="{00000000-0005-0000-0000-000091690000}"/>
    <cellStyle name="Normal 3 4 17 2" xfId="15415" xr:uid="{00000000-0005-0000-0000-000092690000}"/>
    <cellStyle name="Normal 3 4 17 2 2" xfId="32912" xr:uid="{00000000-0005-0000-0000-000093690000}"/>
    <cellStyle name="Normal 3 4 17 3" xfId="15416" xr:uid="{00000000-0005-0000-0000-000094690000}"/>
    <cellStyle name="Normal 3 4 17 3 2" xfId="32913" xr:uid="{00000000-0005-0000-0000-000095690000}"/>
    <cellStyle name="Normal 3 4 17 4" xfId="15417" xr:uid="{00000000-0005-0000-0000-000096690000}"/>
    <cellStyle name="Normal 3 4 17 4 2" xfId="32914" xr:uid="{00000000-0005-0000-0000-000097690000}"/>
    <cellStyle name="Normal 3 4 17 5" xfId="15418" xr:uid="{00000000-0005-0000-0000-000098690000}"/>
    <cellStyle name="Normal 3 4 17 5 2" xfId="32915" xr:uid="{00000000-0005-0000-0000-000099690000}"/>
    <cellStyle name="Normal 3 4 17 6" xfId="15419" xr:uid="{00000000-0005-0000-0000-00009A690000}"/>
    <cellStyle name="Normal 3 4 17 6 2" xfId="32916" xr:uid="{00000000-0005-0000-0000-00009B690000}"/>
    <cellStyle name="Normal 3 4 17 7" xfId="15420" xr:uid="{00000000-0005-0000-0000-00009C690000}"/>
    <cellStyle name="Normal 3 4 17 7 2" xfId="32917" xr:uid="{00000000-0005-0000-0000-00009D690000}"/>
    <cellStyle name="Normal 3 4 17 8" xfId="15421" xr:uid="{00000000-0005-0000-0000-00009E690000}"/>
    <cellStyle name="Normal 3 4 17 8 2" xfId="32918" xr:uid="{00000000-0005-0000-0000-00009F690000}"/>
    <cellStyle name="Normal 3 4 17 9" xfId="15422" xr:uid="{00000000-0005-0000-0000-0000A0690000}"/>
    <cellStyle name="Normal 3 4 17 9 2" xfId="32919" xr:uid="{00000000-0005-0000-0000-0000A1690000}"/>
    <cellStyle name="Normal 3 4 18" xfId="15423" xr:uid="{00000000-0005-0000-0000-0000A2690000}"/>
    <cellStyle name="Normal 3 4 18 10" xfId="15424" xr:uid="{00000000-0005-0000-0000-0000A3690000}"/>
    <cellStyle name="Normal 3 4 18 10 2" xfId="32921" xr:uid="{00000000-0005-0000-0000-0000A4690000}"/>
    <cellStyle name="Normal 3 4 18 11" xfId="15425" xr:uid="{00000000-0005-0000-0000-0000A5690000}"/>
    <cellStyle name="Normal 3 4 18 11 2" xfId="32922" xr:uid="{00000000-0005-0000-0000-0000A6690000}"/>
    <cellStyle name="Normal 3 4 18 12" xfId="15426" xr:uid="{00000000-0005-0000-0000-0000A7690000}"/>
    <cellStyle name="Normal 3 4 18 12 2" xfId="32923" xr:uid="{00000000-0005-0000-0000-0000A8690000}"/>
    <cellStyle name="Normal 3 4 18 13" xfId="15427" xr:uid="{00000000-0005-0000-0000-0000A9690000}"/>
    <cellStyle name="Normal 3 4 18 13 2" xfId="32924" xr:uid="{00000000-0005-0000-0000-0000AA690000}"/>
    <cellStyle name="Normal 3 4 18 14" xfId="15428" xr:uid="{00000000-0005-0000-0000-0000AB690000}"/>
    <cellStyle name="Normal 3 4 18 14 2" xfId="32925" xr:uid="{00000000-0005-0000-0000-0000AC690000}"/>
    <cellStyle name="Normal 3 4 18 15" xfId="32920" xr:uid="{00000000-0005-0000-0000-0000AD690000}"/>
    <cellStyle name="Normal 3 4 18 2" xfId="15429" xr:uid="{00000000-0005-0000-0000-0000AE690000}"/>
    <cellStyle name="Normal 3 4 18 2 2" xfId="32926" xr:uid="{00000000-0005-0000-0000-0000AF690000}"/>
    <cellStyle name="Normal 3 4 18 3" xfId="15430" xr:uid="{00000000-0005-0000-0000-0000B0690000}"/>
    <cellStyle name="Normal 3 4 18 3 2" xfId="32927" xr:uid="{00000000-0005-0000-0000-0000B1690000}"/>
    <cellStyle name="Normal 3 4 18 4" xfId="15431" xr:uid="{00000000-0005-0000-0000-0000B2690000}"/>
    <cellStyle name="Normal 3 4 18 4 2" xfId="32928" xr:uid="{00000000-0005-0000-0000-0000B3690000}"/>
    <cellStyle name="Normal 3 4 18 5" xfId="15432" xr:uid="{00000000-0005-0000-0000-0000B4690000}"/>
    <cellStyle name="Normal 3 4 18 5 2" xfId="32929" xr:uid="{00000000-0005-0000-0000-0000B5690000}"/>
    <cellStyle name="Normal 3 4 18 6" xfId="15433" xr:uid="{00000000-0005-0000-0000-0000B6690000}"/>
    <cellStyle name="Normal 3 4 18 6 2" xfId="32930" xr:uid="{00000000-0005-0000-0000-0000B7690000}"/>
    <cellStyle name="Normal 3 4 18 7" xfId="15434" xr:uid="{00000000-0005-0000-0000-0000B8690000}"/>
    <cellStyle name="Normal 3 4 18 7 2" xfId="32931" xr:uid="{00000000-0005-0000-0000-0000B9690000}"/>
    <cellStyle name="Normal 3 4 18 8" xfId="15435" xr:uid="{00000000-0005-0000-0000-0000BA690000}"/>
    <cellStyle name="Normal 3 4 18 8 2" xfId="32932" xr:uid="{00000000-0005-0000-0000-0000BB690000}"/>
    <cellStyle name="Normal 3 4 18 9" xfId="15436" xr:uid="{00000000-0005-0000-0000-0000BC690000}"/>
    <cellStyle name="Normal 3 4 18 9 2" xfId="32933" xr:uid="{00000000-0005-0000-0000-0000BD690000}"/>
    <cellStyle name="Normal 3 4 19" xfId="15437" xr:uid="{00000000-0005-0000-0000-0000BE690000}"/>
    <cellStyle name="Normal 3 4 19 10" xfId="15438" xr:uid="{00000000-0005-0000-0000-0000BF690000}"/>
    <cellStyle name="Normal 3 4 19 10 2" xfId="32935" xr:uid="{00000000-0005-0000-0000-0000C0690000}"/>
    <cellStyle name="Normal 3 4 19 11" xfId="15439" xr:uid="{00000000-0005-0000-0000-0000C1690000}"/>
    <cellStyle name="Normal 3 4 19 11 2" xfId="32936" xr:uid="{00000000-0005-0000-0000-0000C2690000}"/>
    <cellStyle name="Normal 3 4 19 12" xfId="15440" xr:uid="{00000000-0005-0000-0000-0000C3690000}"/>
    <cellStyle name="Normal 3 4 19 12 2" xfId="32937" xr:uid="{00000000-0005-0000-0000-0000C4690000}"/>
    <cellStyle name="Normal 3 4 19 13" xfId="15441" xr:uid="{00000000-0005-0000-0000-0000C5690000}"/>
    <cellStyle name="Normal 3 4 19 13 2" xfId="32938" xr:uid="{00000000-0005-0000-0000-0000C6690000}"/>
    <cellStyle name="Normal 3 4 19 14" xfId="15442" xr:uid="{00000000-0005-0000-0000-0000C7690000}"/>
    <cellStyle name="Normal 3 4 19 14 2" xfId="32939" xr:uid="{00000000-0005-0000-0000-0000C8690000}"/>
    <cellStyle name="Normal 3 4 19 15" xfId="32934" xr:uid="{00000000-0005-0000-0000-0000C9690000}"/>
    <cellStyle name="Normal 3 4 19 2" xfId="15443" xr:uid="{00000000-0005-0000-0000-0000CA690000}"/>
    <cellStyle name="Normal 3 4 19 2 2" xfId="32940" xr:uid="{00000000-0005-0000-0000-0000CB690000}"/>
    <cellStyle name="Normal 3 4 19 3" xfId="15444" xr:uid="{00000000-0005-0000-0000-0000CC690000}"/>
    <cellStyle name="Normal 3 4 19 3 2" xfId="32941" xr:uid="{00000000-0005-0000-0000-0000CD690000}"/>
    <cellStyle name="Normal 3 4 19 4" xfId="15445" xr:uid="{00000000-0005-0000-0000-0000CE690000}"/>
    <cellStyle name="Normal 3 4 19 4 2" xfId="32942" xr:uid="{00000000-0005-0000-0000-0000CF690000}"/>
    <cellStyle name="Normal 3 4 19 5" xfId="15446" xr:uid="{00000000-0005-0000-0000-0000D0690000}"/>
    <cellStyle name="Normal 3 4 19 5 2" xfId="32943" xr:uid="{00000000-0005-0000-0000-0000D1690000}"/>
    <cellStyle name="Normal 3 4 19 6" xfId="15447" xr:uid="{00000000-0005-0000-0000-0000D2690000}"/>
    <cellStyle name="Normal 3 4 19 6 2" xfId="32944" xr:uid="{00000000-0005-0000-0000-0000D3690000}"/>
    <cellStyle name="Normal 3 4 19 7" xfId="15448" xr:uid="{00000000-0005-0000-0000-0000D4690000}"/>
    <cellStyle name="Normal 3 4 19 7 2" xfId="32945" xr:uid="{00000000-0005-0000-0000-0000D5690000}"/>
    <cellStyle name="Normal 3 4 19 8" xfId="15449" xr:uid="{00000000-0005-0000-0000-0000D6690000}"/>
    <cellStyle name="Normal 3 4 19 8 2" xfId="32946" xr:uid="{00000000-0005-0000-0000-0000D7690000}"/>
    <cellStyle name="Normal 3 4 19 9" xfId="15450" xr:uid="{00000000-0005-0000-0000-0000D8690000}"/>
    <cellStyle name="Normal 3 4 19 9 2" xfId="32947" xr:uid="{00000000-0005-0000-0000-0000D9690000}"/>
    <cellStyle name="Normal 3 4 2" xfId="15451" xr:uid="{00000000-0005-0000-0000-0000DA690000}"/>
    <cellStyle name="Normal 3 4 2 10" xfId="15452" xr:uid="{00000000-0005-0000-0000-0000DB690000}"/>
    <cellStyle name="Normal 3 4 2 10 10" xfId="15453" xr:uid="{00000000-0005-0000-0000-0000DC690000}"/>
    <cellStyle name="Normal 3 4 2 10 10 2" xfId="32949" xr:uid="{00000000-0005-0000-0000-0000DD690000}"/>
    <cellStyle name="Normal 3 4 2 10 11" xfId="15454" xr:uid="{00000000-0005-0000-0000-0000DE690000}"/>
    <cellStyle name="Normal 3 4 2 10 11 2" xfId="32950" xr:uid="{00000000-0005-0000-0000-0000DF690000}"/>
    <cellStyle name="Normal 3 4 2 10 12" xfId="15455" xr:uid="{00000000-0005-0000-0000-0000E0690000}"/>
    <cellStyle name="Normal 3 4 2 10 12 2" xfId="32951" xr:uid="{00000000-0005-0000-0000-0000E1690000}"/>
    <cellStyle name="Normal 3 4 2 10 13" xfId="15456" xr:uid="{00000000-0005-0000-0000-0000E2690000}"/>
    <cellStyle name="Normal 3 4 2 10 13 2" xfId="32952" xr:uid="{00000000-0005-0000-0000-0000E3690000}"/>
    <cellStyle name="Normal 3 4 2 10 14" xfId="15457" xr:uid="{00000000-0005-0000-0000-0000E4690000}"/>
    <cellStyle name="Normal 3 4 2 10 14 2" xfId="32953" xr:uid="{00000000-0005-0000-0000-0000E5690000}"/>
    <cellStyle name="Normal 3 4 2 10 15" xfId="32948" xr:uid="{00000000-0005-0000-0000-0000E6690000}"/>
    <cellStyle name="Normal 3 4 2 10 2" xfId="15458" xr:uid="{00000000-0005-0000-0000-0000E7690000}"/>
    <cellStyle name="Normal 3 4 2 10 2 2" xfId="32954" xr:uid="{00000000-0005-0000-0000-0000E8690000}"/>
    <cellStyle name="Normal 3 4 2 10 3" xfId="15459" xr:uid="{00000000-0005-0000-0000-0000E9690000}"/>
    <cellStyle name="Normal 3 4 2 10 3 2" xfId="32955" xr:uid="{00000000-0005-0000-0000-0000EA690000}"/>
    <cellStyle name="Normal 3 4 2 10 4" xfId="15460" xr:uid="{00000000-0005-0000-0000-0000EB690000}"/>
    <cellStyle name="Normal 3 4 2 10 4 2" xfId="32956" xr:uid="{00000000-0005-0000-0000-0000EC690000}"/>
    <cellStyle name="Normal 3 4 2 10 5" xfId="15461" xr:uid="{00000000-0005-0000-0000-0000ED690000}"/>
    <cellStyle name="Normal 3 4 2 10 5 2" xfId="32957" xr:uid="{00000000-0005-0000-0000-0000EE690000}"/>
    <cellStyle name="Normal 3 4 2 10 6" xfId="15462" xr:uid="{00000000-0005-0000-0000-0000EF690000}"/>
    <cellStyle name="Normal 3 4 2 10 6 2" xfId="32958" xr:uid="{00000000-0005-0000-0000-0000F0690000}"/>
    <cellStyle name="Normal 3 4 2 10 7" xfId="15463" xr:uid="{00000000-0005-0000-0000-0000F1690000}"/>
    <cellStyle name="Normal 3 4 2 10 7 2" xfId="32959" xr:uid="{00000000-0005-0000-0000-0000F2690000}"/>
    <cellStyle name="Normal 3 4 2 10 8" xfId="15464" xr:uid="{00000000-0005-0000-0000-0000F3690000}"/>
    <cellStyle name="Normal 3 4 2 10 8 2" xfId="32960" xr:uid="{00000000-0005-0000-0000-0000F4690000}"/>
    <cellStyle name="Normal 3 4 2 10 9" xfId="15465" xr:uid="{00000000-0005-0000-0000-0000F5690000}"/>
    <cellStyle name="Normal 3 4 2 10 9 2" xfId="32961" xr:uid="{00000000-0005-0000-0000-0000F6690000}"/>
    <cellStyle name="Normal 3 4 2 11" xfId="15466" xr:uid="{00000000-0005-0000-0000-0000F7690000}"/>
    <cellStyle name="Normal 3 4 2 11 10" xfId="15467" xr:uid="{00000000-0005-0000-0000-0000F8690000}"/>
    <cellStyle name="Normal 3 4 2 11 10 2" xfId="32963" xr:uid="{00000000-0005-0000-0000-0000F9690000}"/>
    <cellStyle name="Normal 3 4 2 11 11" xfId="15468" xr:uid="{00000000-0005-0000-0000-0000FA690000}"/>
    <cellStyle name="Normal 3 4 2 11 11 2" xfId="32964" xr:uid="{00000000-0005-0000-0000-0000FB690000}"/>
    <cellStyle name="Normal 3 4 2 11 12" xfId="15469" xr:uid="{00000000-0005-0000-0000-0000FC690000}"/>
    <cellStyle name="Normal 3 4 2 11 12 2" xfId="32965" xr:uid="{00000000-0005-0000-0000-0000FD690000}"/>
    <cellStyle name="Normal 3 4 2 11 13" xfId="15470" xr:uid="{00000000-0005-0000-0000-0000FE690000}"/>
    <cellStyle name="Normal 3 4 2 11 13 2" xfId="32966" xr:uid="{00000000-0005-0000-0000-0000FF690000}"/>
    <cellStyle name="Normal 3 4 2 11 14" xfId="15471" xr:uid="{00000000-0005-0000-0000-0000006A0000}"/>
    <cellStyle name="Normal 3 4 2 11 14 2" xfId="32967" xr:uid="{00000000-0005-0000-0000-0000016A0000}"/>
    <cellStyle name="Normal 3 4 2 11 15" xfId="32962" xr:uid="{00000000-0005-0000-0000-0000026A0000}"/>
    <cellStyle name="Normal 3 4 2 11 2" xfId="15472" xr:uid="{00000000-0005-0000-0000-0000036A0000}"/>
    <cellStyle name="Normal 3 4 2 11 2 2" xfId="32968" xr:uid="{00000000-0005-0000-0000-0000046A0000}"/>
    <cellStyle name="Normal 3 4 2 11 3" xfId="15473" xr:uid="{00000000-0005-0000-0000-0000056A0000}"/>
    <cellStyle name="Normal 3 4 2 11 3 2" xfId="32969" xr:uid="{00000000-0005-0000-0000-0000066A0000}"/>
    <cellStyle name="Normal 3 4 2 11 4" xfId="15474" xr:uid="{00000000-0005-0000-0000-0000076A0000}"/>
    <cellStyle name="Normal 3 4 2 11 4 2" xfId="32970" xr:uid="{00000000-0005-0000-0000-0000086A0000}"/>
    <cellStyle name="Normal 3 4 2 11 5" xfId="15475" xr:uid="{00000000-0005-0000-0000-0000096A0000}"/>
    <cellStyle name="Normal 3 4 2 11 5 2" xfId="32971" xr:uid="{00000000-0005-0000-0000-00000A6A0000}"/>
    <cellStyle name="Normal 3 4 2 11 6" xfId="15476" xr:uid="{00000000-0005-0000-0000-00000B6A0000}"/>
    <cellStyle name="Normal 3 4 2 11 6 2" xfId="32972" xr:uid="{00000000-0005-0000-0000-00000C6A0000}"/>
    <cellStyle name="Normal 3 4 2 11 7" xfId="15477" xr:uid="{00000000-0005-0000-0000-00000D6A0000}"/>
    <cellStyle name="Normal 3 4 2 11 7 2" xfId="32973" xr:uid="{00000000-0005-0000-0000-00000E6A0000}"/>
    <cellStyle name="Normal 3 4 2 11 8" xfId="15478" xr:uid="{00000000-0005-0000-0000-00000F6A0000}"/>
    <cellStyle name="Normal 3 4 2 11 8 2" xfId="32974" xr:uid="{00000000-0005-0000-0000-0000106A0000}"/>
    <cellStyle name="Normal 3 4 2 11 9" xfId="15479" xr:uid="{00000000-0005-0000-0000-0000116A0000}"/>
    <cellStyle name="Normal 3 4 2 11 9 2" xfId="32975" xr:uid="{00000000-0005-0000-0000-0000126A0000}"/>
    <cellStyle name="Normal 3 4 2 12" xfId="15480" xr:uid="{00000000-0005-0000-0000-0000136A0000}"/>
    <cellStyle name="Normal 3 4 2 12 10" xfId="15481" xr:uid="{00000000-0005-0000-0000-0000146A0000}"/>
    <cellStyle name="Normal 3 4 2 12 10 2" xfId="32977" xr:uid="{00000000-0005-0000-0000-0000156A0000}"/>
    <cellStyle name="Normal 3 4 2 12 11" xfId="15482" xr:uid="{00000000-0005-0000-0000-0000166A0000}"/>
    <cellStyle name="Normal 3 4 2 12 11 2" xfId="32978" xr:uid="{00000000-0005-0000-0000-0000176A0000}"/>
    <cellStyle name="Normal 3 4 2 12 12" xfId="15483" xr:uid="{00000000-0005-0000-0000-0000186A0000}"/>
    <cellStyle name="Normal 3 4 2 12 12 2" xfId="32979" xr:uid="{00000000-0005-0000-0000-0000196A0000}"/>
    <cellStyle name="Normal 3 4 2 12 13" xfId="15484" xr:uid="{00000000-0005-0000-0000-00001A6A0000}"/>
    <cellStyle name="Normal 3 4 2 12 13 2" xfId="32980" xr:uid="{00000000-0005-0000-0000-00001B6A0000}"/>
    <cellStyle name="Normal 3 4 2 12 14" xfId="15485" xr:uid="{00000000-0005-0000-0000-00001C6A0000}"/>
    <cellStyle name="Normal 3 4 2 12 14 2" xfId="32981" xr:uid="{00000000-0005-0000-0000-00001D6A0000}"/>
    <cellStyle name="Normal 3 4 2 12 15" xfId="32976" xr:uid="{00000000-0005-0000-0000-00001E6A0000}"/>
    <cellStyle name="Normal 3 4 2 12 2" xfId="15486" xr:uid="{00000000-0005-0000-0000-00001F6A0000}"/>
    <cellStyle name="Normal 3 4 2 12 2 2" xfId="32982" xr:uid="{00000000-0005-0000-0000-0000206A0000}"/>
    <cellStyle name="Normal 3 4 2 12 3" xfId="15487" xr:uid="{00000000-0005-0000-0000-0000216A0000}"/>
    <cellStyle name="Normal 3 4 2 12 3 2" xfId="32983" xr:uid="{00000000-0005-0000-0000-0000226A0000}"/>
    <cellStyle name="Normal 3 4 2 12 4" xfId="15488" xr:uid="{00000000-0005-0000-0000-0000236A0000}"/>
    <cellStyle name="Normal 3 4 2 12 4 2" xfId="32984" xr:uid="{00000000-0005-0000-0000-0000246A0000}"/>
    <cellStyle name="Normal 3 4 2 12 5" xfId="15489" xr:uid="{00000000-0005-0000-0000-0000256A0000}"/>
    <cellStyle name="Normal 3 4 2 12 5 2" xfId="32985" xr:uid="{00000000-0005-0000-0000-0000266A0000}"/>
    <cellStyle name="Normal 3 4 2 12 6" xfId="15490" xr:uid="{00000000-0005-0000-0000-0000276A0000}"/>
    <cellStyle name="Normal 3 4 2 12 6 2" xfId="32986" xr:uid="{00000000-0005-0000-0000-0000286A0000}"/>
    <cellStyle name="Normal 3 4 2 12 7" xfId="15491" xr:uid="{00000000-0005-0000-0000-0000296A0000}"/>
    <cellStyle name="Normal 3 4 2 12 7 2" xfId="32987" xr:uid="{00000000-0005-0000-0000-00002A6A0000}"/>
    <cellStyle name="Normal 3 4 2 12 8" xfId="15492" xr:uid="{00000000-0005-0000-0000-00002B6A0000}"/>
    <cellStyle name="Normal 3 4 2 12 8 2" xfId="32988" xr:uid="{00000000-0005-0000-0000-00002C6A0000}"/>
    <cellStyle name="Normal 3 4 2 12 9" xfId="15493" xr:uid="{00000000-0005-0000-0000-00002D6A0000}"/>
    <cellStyle name="Normal 3 4 2 12 9 2" xfId="32989" xr:uid="{00000000-0005-0000-0000-00002E6A0000}"/>
    <cellStyle name="Normal 3 4 2 13" xfId="15494" xr:uid="{00000000-0005-0000-0000-00002F6A0000}"/>
    <cellStyle name="Normal 3 4 2 13 10" xfId="15495" xr:uid="{00000000-0005-0000-0000-0000306A0000}"/>
    <cellStyle name="Normal 3 4 2 13 10 2" xfId="32991" xr:uid="{00000000-0005-0000-0000-0000316A0000}"/>
    <cellStyle name="Normal 3 4 2 13 11" xfId="15496" xr:uid="{00000000-0005-0000-0000-0000326A0000}"/>
    <cellStyle name="Normal 3 4 2 13 11 2" xfId="32992" xr:uid="{00000000-0005-0000-0000-0000336A0000}"/>
    <cellStyle name="Normal 3 4 2 13 12" xfId="15497" xr:uid="{00000000-0005-0000-0000-0000346A0000}"/>
    <cellStyle name="Normal 3 4 2 13 12 2" xfId="32993" xr:uid="{00000000-0005-0000-0000-0000356A0000}"/>
    <cellStyle name="Normal 3 4 2 13 13" xfId="15498" xr:uid="{00000000-0005-0000-0000-0000366A0000}"/>
    <cellStyle name="Normal 3 4 2 13 13 2" xfId="32994" xr:uid="{00000000-0005-0000-0000-0000376A0000}"/>
    <cellStyle name="Normal 3 4 2 13 14" xfId="15499" xr:uid="{00000000-0005-0000-0000-0000386A0000}"/>
    <cellStyle name="Normal 3 4 2 13 14 2" xfId="32995" xr:uid="{00000000-0005-0000-0000-0000396A0000}"/>
    <cellStyle name="Normal 3 4 2 13 15" xfId="32990" xr:uid="{00000000-0005-0000-0000-00003A6A0000}"/>
    <cellStyle name="Normal 3 4 2 13 2" xfId="15500" xr:uid="{00000000-0005-0000-0000-00003B6A0000}"/>
    <cellStyle name="Normal 3 4 2 13 2 2" xfId="32996" xr:uid="{00000000-0005-0000-0000-00003C6A0000}"/>
    <cellStyle name="Normal 3 4 2 13 3" xfId="15501" xr:uid="{00000000-0005-0000-0000-00003D6A0000}"/>
    <cellStyle name="Normal 3 4 2 13 3 2" xfId="32997" xr:uid="{00000000-0005-0000-0000-00003E6A0000}"/>
    <cellStyle name="Normal 3 4 2 13 4" xfId="15502" xr:uid="{00000000-0005-0000-0000-00003F6A0000}"/>
    <cellStyle name="Normal 3 4 2 13 4 2" xfId="32998" xr:uid="{00000000-0005-0000-0000-0000406A0000}"/>
    <cellStyle name="Normal 3 4 2 13 5" xfId="15503" xr:uid="{00000000-0005-0000-0000-0000416A0000}"/>
    <cellStyle name="Normal 3 4 2 13 5 2" xfId="32999" xr:uid="{00000000-0005-0000-0000-0000426A0000}"/>
    <cellStyle name="Normal 3 4 2 13 6" xfId="15504" xr:uid="{00000000-0005-0000-0000-0000436A0000}"/>
    <cellStyle name="Normal 3 4 2 13 6 2" xfId="33000" xr:uid="{00000000-0005-0000-0000-0000446A0000}"/>
    <cellStyle name="Normal 3 4 2 13 7" xfId="15505" xr:uid="{00000000-0005-0000-0000-0000456A0000}"/>
    <cellStyle name="Normal 3 4 2 13 7 2" xfId="33001" xr:uid="{00000000-0005-0000-0000-0000466A0000}"/>
    <cellStyle name="Normal 3 4 2 13 8" xfId="15506" xr:uid="{00000000-0005-0000-0000-0000476A0000}"/>
    <cellStyle name="Normal 3 4 2 13 8 2" xfId="33002" xr:uid="{00000000-0005-0000-0000-0000486A0000}"/>
    <cellStyle name="Normal 3 4 2 13 9" xfId="15507" xr:uid="{00000000-0005-0000-0000-0000496A0000}"/>
    <cellStyle name="Normal 3 4 2 13 9 2" xfId="33003" xr:uid="{00000000-0005-0000-0000-00004A6A0000}"/>
    <cellStyle name="Normal 3 4 2 14" xfId="15508" xr:uid="{00000000-0005-0000-0000-00004B6A0000}"/>
    <cellStyle name="Normal 3 4 2 14 10" xfId="15509" xr:uid="{00000000-0005-0000-0000-00004C6A0000}"/>
    <cellStyle name="Normal 3 4 2 14 10 2" xfId="33005" xr:uid="{00000000-0005-0000-0000-00004D6A0000}"/>
    <cellStyle name="Normal 3 4 2 14 11" xfId="15510" xr:uid="{00000000-0005-0000-0000-00004E6A0000}"/>
    <cellStyle name="Normal 3 4 2 14 11 2" xfId="33006" xr:uid="{00000000-0005-0000-0000-00004F6A0000}"/>
    <cellStyle name="Normal 3 4 2 14 12" xfId="15511" xr:uid="{00000000-0005-0000-0000-0000506A0000}"/>
    <cellStyle name="Normal 3 4 2 14 12 2" xfId="33007" xr:uid="{00000000-0005-0000-0000-0000516A0000}"/>
    <cellStyle name="Normal 3 4 2 14 13" xfId="15512" xr:uid="{00000000-0005-0000-0000-0000526A0000}"/>
    <cellStyle name="Normal 3 4 2 14 13 2" xfId="33008" xr:uid="{00000000-0005-0000-0000-0000536A0000}"/>
    <cellStyle name="Normal 3 4 2 14 14" xfId="15513" xr:uid="{00000000-0005-0000-0000-0000546A0000}"/>
    <cellStyle name="Normal 3 4 2 14 14 2" xfId="33009" xr:uid="{00000000-0005-0000-0000-0000556A0000}"/>
    <cellStyle name="Normal 3 4 2 14 15" xfId="33004" xr:uid="{00000000-0005-0000-0000-0000566A0000}"/>
    <cellStyle name="Normal 3 4 2 14 2" xfId="15514" xr:uid="{00000000-0005-0000-0000-0000576A0000}"/>
    <cellStyle name="Normal 3 4 2 14 2 2" xfId="33010" xr:uid="{00000000-0005-0000-0000-0000586A0000}"/>
    <cellStyle name="Normal 3 4 2 14 3" xfId="15515" xr:uid="{00000000-0005-0000-0000-0000596A0000}"/>
    <cellStyle name="Normal 3 4 2 14 3 2" xfId="33011" xr:uid="{00000000-0005-0000-0000-00005A6A0000}"/>
    <cellStyle name="Normal 3 4 2 14 4" xfId="15516" xr:uid="{00000000-0005-0000-0000-00005B6A0000}"/>
    <cellStyle name="Normal 3 4 2 14 4 2" xfId="33012" xr:uid="{00000000-0005-0000-0000-00005C6A0000}"/>
    <cellStyle name="Normal 3 4 2 14 5" xfId="15517" xr:uid="{00000000-0005-0000-0000-00005D6A0000}"/>
    <cellStyle name="Normal 3 4 2 14 5 2" xfId="33013" xr:uid="{00000000-0005-0000-0000-00005E6A0000}"/>
    <cellStyle name="Normal 3 4 2 14 6" xfId="15518" xr:uid="{00000000-0005-0000-0000-00005F6A0000}"/>
    <cellStyle name="Normal 3 4 2 14 6 2" xfId="33014" xr:uid="{00000000-0005-0000-0000-0000606A0000}"/>
    <cellStyle name="Normal 3 4 2 14 7" xfId="15519" xr:uid="{00000000-0005-0000-0000-0000616A0000}"/>
    <cellStyle name="Normal 3 4 2 14 7 2" xfId="33015" xr:uid="{00000000-0005-0000-0000-0000626A0000}"/>
    <cellStyle name="Normal 3 4 2 14 8" xfId="15520" xr:uid="{00000000-0005-0000-0000-0000636A0000}"/>
    <cellStyle name="Normal 3 4 2 14 8 2" xfId="33016" xr:uid="{00000000-0005-0000-0000-0000646A0000}"/>
    <cellStyle name="Normal 3 4 2 14 9" xfId="15521" xr:uid="{00000000-0005-0000-0000-0000656A0000}"/>
    <cellStyle name="Normal 3 4 2 14 9 2" xfId="33017" xr:uid="{00000000-0005-0000-0000-0000666A0000}"/>
    <cellStyle name="Normal 3 4 2 15" xfId="15522" xr:uid="{00000000-0005-0000-0000-0000676A0000}"/>
    <cellStyle name="Normal 3 4 2 16" xfId="15523" xr:uid="{00000000-0005-0000-0000-0000686A0000}"/>
    <cellStyle name="Normal 3 4 2 17" xfId="15524" xr:uid="{00000000-0005-0000-0000-0000696A0000}"/>
    <cellStyle name="Normal 3 4 2 17 10" xfId="15525" xr:uid="{00000000-0005-0000-0000-00006A6A0000}"/>
    <cellStyle name="Normal 3 4 2 17 10 2" xfId="33019" xr:uid="{00000000-0005-0000-0000-00006B6A0000}"/>
    <cellStyle name="Normal 3 4 2 17 11" xfId="15526" xr:uid="{00000000-0005-0000-0000-00006C6A0000}"/>
    <cellStyle name="Normal 3 4 2 17 11 2" xfId="33020" xr:uid="{00000000-0005-0000-0000-00006D6A0000}"/>
    <cellStyle name="Normal 3 4 2 17 12" xfId="15527" xr:uid="{00000000-0005-0000-0000-00006E6A0000}"/>
    <cellStyle name="Normal 3 4 2 17 12 2" xfId="33021" xr:uid="{00000000-0005-0000-0000-00006F6A0000}"/>
    <cellStyle name="Normal 3 4 2 17 13" xfId="15528" xr:uid="{00000000-0005-0000-0000-0000706A0000}"/>
    <cellStyle name="Normal 3 4 2 17 13 2" xfId="33022" xr:uid="{00000000-0005-0000-0000-0000716A0000}"/>
    <cellStyle name="Normal 3 4 2 17 14" xfId="15529" xr:uid="{00000000-0005-0000-0000-0000726A0000}"/>
    <cellStyle name="Normal 3 4 2 17 14 2" xfId="33023" xr:uid="{00000000-0005-0000-0000-0000736A0000}"/>
    <cellStyle name="Normal 3 4 2 17 15" xfId="33018" xr:uid="{00000000-0005-0000-0000-0000746A0000}"/>
    <cellStyle name="Normal 3 4 2 17 2" xfId="15530" xr:uid="{00000000-0005-0000-0000-0000756A0000}"/>
    <cellStyle name="Normal 3 4 2 17 2 2" xfId="33024" xr:uid="{00000000-0005-0000-0000-0000766A0000}"/>
    <cellStyle name="Normal 3 4 2 17 3" xfId="15531" xr:uid="{00000000-0005-0000-0000-0000776A0000}"/>
    <cellStyle name="Normal 3 4 2 17 3 2" xfId="33025" xr:uid="{00000000-0005-0000-0000-0000786A0000}"/>
    <cellStyle name="Normal 3 4 2 17 4" xfId="15532" xr:uid="{00000000-0005-0000-0000-0000796A0000}"/>
    <cellStyle name="Normal 3 4 2 17 4 2" xfId="33026" xr:uid="{00000000-0005-0000-0000-00007A6A0000}"/>
    <cellStyle name="Normal 3 4 2 17 5" xfId="15533" xr:uid="{00000000-0005-0000-0000-00007B6A0000}"/>
    <cellStyle name="Normal 3 4 2 17 5 2" xfId="33027" xr:uid="{00000000-0005-0000-0000-00007C6A0000}"/>
    <cellStyle name="Normal 3 4 2 17 6" xfId="15534" xr:uid="{00000000-0005-0000-0000-00007D6A0000}"/>
    <cellStyle name="Normal 3 4 2 17 6 2" xfId="33028" xr:uid="{00000000-0005-0000-0000-00007E6A0000}"/>
    <cellStyle name="Normal 3 4 2 17 7" xfId="15535" xr:uid="{00000000-0005-0000-0000-00007F6A0000}"/>
    <cellStyle name="Normal 3 4 2 17 7 2" xfId="33029" xr:uid="{00000000-0005-0000-0000-0000806A0000}"/>
    <cellStyle name="Normal 3 4 2 17 8" xfId="15536" xr:uid="{00000000-0005-0000-0000-0000816A0000}"/>
    <cellStyle name="Normal 3 4 2 17 8 2" xfId="33030" xr:uid="{00000000-0005-0000-0000-0000826A0000}"/>
    <cellStyle name="Normal 3 4 2 17 9" xfId="15537" xr:uid="{00000000-0005-0000-0000-0000836A0000}"/>
    <cellStyle name="Normal 3 4 2 17 9 2" xfId="33031" xr:uid="{00000000-0005-0000-0000-0000846A0000}"/>
    <cellStyle name="Normal 3 4 2 18" xfId="15538" xr:uid="{00000000-0005-0000-0000-0000856A0000}"/>
    <cellStyle name="Normal 3 4 2 18 10" xfId="15539" xr:uid="{00000000-0005-0000-0000-0000866A0000}"/>
    <cellStyle name="Normal 3 4 2 18 10 2" xfId="33033" xr:uid="{00000000-0005-0000-0000-0000876A0000}"/>
    <cellStyle name="Normal 3 4 2 18 11" xfId="15540" xr:uid="{00000000-0005-0000-0000-0000886A0000}"/>
    <cellStyle name="Normal 3 4 2 18 11 2" xfId="33034" xr:uid="{00000000-0005-0000-0000-0000896A0000}"/>
    <cellStyle name="Normal 3 4 2 18 12" xfId="15541" xr:uid="{00000000-0005-0000-0000-00008A6A0000}"/>
    <cellStyle name="Normal 3 4 2 18 12 2" xfId="33035" xr:uid="{00000000-0005-0000-0000-00008B6A0000}"/>
    <cellStyle name="Normal 3 4 2 18 13" xfId="15542" xr:uid="{00000000-0005-0000-0000-00008C6A0000}"/>
    <cellStyle name="Normal 3 4 2 18 13 2" xfId="33036" xr:uid="{00000000-0005-0000-0000-00008D6A0000}"/>
    <cellStyle name="Normal 3 4 2 18 14" xfId="15543" xr:uid="{00000000-0005-0000-0000-00008E6A0000}"/>
    <cellStyle name="Normal 3 4 2 18 14 2" xfId="33037" xr:uid="{00000000-0005-0000-0000-00008F6A0000}"/>
    <cellStyle name="Normal 3 4 2 18 15" xfId="33032" xr:uid="{00000000-0005-0000-0000-0000906A0000}"/>
    <cellStyle name="Normal 3 4 2 18 2" xfId="15544" xr:uid="{00000000-0005-0000-0000-0000916A0000}"/>
    <cellStyle name="Normal 3 4 2 18 2 2" xfId="33038" xr:uid="{00000000-0005-0000-0000-0000926A0000}"/>
    <cellStyle name="Normal 3 4 2 18 3" xfId="15545" xr:uid="{00000000-0005-0000-0000-0000936A0000}"/>
    <cellStyle name="Normal 3 4 2 18 3 2" xfId="33039" xr:uid="{00000000-0005-0000-0000-0000946A0000}"/>
    <cellStyle name="Normal 3 4 2 18 4" xfId="15546" xr:uid="{00000000-0005-0000-0000-0000956A0000}"/>
    <cellStyle name="Normal 3 4 2 18 4 2" xfId="33040" xr:uid="{00000000-0005-0000-0000-0000966A0000}"/>
    <cellStyle name="Normal 3 4 2 18 5" xfId="15547" xr:uid="{00000000-0005-0000-0000-0000976A0000}"/>
    <cellStyle name="Normal 3 4 2 18 5 2" xfId="33041" xr:uid="{00000000-0005-0000-0000-0000986A0000}"/>
    <cellStyle name="Normal 3 4 2 18 6" xfId="15548" xr:uid="{00000000-0005-0000-0000-0000996A0000}"/>
    <cellStyle name="Normal 3 4 2 18 6 2" xfId="33042" xr:uid="{00000000-0005-0000-0000-00009A6A0000}"/>
    <cellStyle name="Normal 3 4 2 18 7" xfId="15549" xr:uid="{00000000-0005-0000-0000-00009B6A0000}"/>
    <cellStyle name="Normal 3 4 2 18 7 2" xfId="33043" xr:uid="{00000000-0005-0000-0000-00009C6A0000}"/>
    <cellStyle name="Normal 3 4 2 18 8" xfId="15550" xr:uid="{00000000-0005-0000-0000-00009D6A0000}"/>
    <cellStyle name="Normal 3 4 2 18 8 2" xfId="33044" xr:uid="{00000000-0005-0000-0000-00009E6A0000}"/>
    <cellStyle name="Normal 3 4 2 18 9" xfId="15551" xr:uid="{00000000-0005-0000-0000-00009F6A0000}"/>
    <cellStyle name="Normal 3 4 2 18 9 2" xfId="33045" xr:uid="{00000000-0005-0000-0000-0000A06A0000}"/>
    <cellStyle name="Normal 3 4 2 2" xfId="15552" xr:uid="{00000000-0005-0000-0000-0000A16A0000}"/>
    <cellStyle name="Normal 3 4 2 2 10" xfId="15553" xr:uid="{00000000-0005-0000-0000-0000A26A0000}"/>
    <cellStyle name="Normal 3 4 2 2 10 2" xfId="33047" xr:uid="{00000000-0005-0000-0000-0000A36A0000}"/>
    <cellStyle name="Normal 3 4 2 2 11" xfId="15554" xr:uid="{00000000-0005-0000-0000-0000A46A0000}"/>
    <cellStyle name="Normal 3 4 2 2 11 2" xfId="33048" xr:uid="{00000000-0005-0000-0000-0000A56A0000}"/>
    <cellStyle name="Normal 3 4 2 2 12" xfId="15555" xr:uid="{00000000-0005-0000-0000-0000A66A0000}"/>
    <cellStyle name="Normal 3 4 2 2 12 2" xfId="33049" xr:uid="{00000000-0005-0000-0000-0000A76A0000}"/>
    <cellStyle name="Normal 3 4 2 2 13" xfId="15556" xr:uid="{00000000-0005-0000-0000-0000A86A0000}"/>
    <cellStyle name="Normal 3 4 2 2 13 2" xfId="33050" xr:uid="{00000000-0005-0000-0000-0000A96A0000}"/>
    <cellStyle name="Normal 3 4 2 2 14" xfId="15557" xr:uid="{00000000-0005-0000-0000-0000AA6A0000}"/>
    <cellStyle name="Normal 3 4 2 2 14 2" xfId="33051" xr:uid="{00000000-0005-0000-0000-0000AB6A0000}"/>
    <cellStyle name="Normal 3 4 2 2 15" xfId="15558" xr:uid="{00000000-0005-0000-0000-0000AC6A0000}"/>
    <cellStyle name="Normal 3 4 2 2 15 2" xfId="33052" xr:uid="{00000000-0005-0000-0000-0000AD6A0000}"/>
    <cellStyle name="Normal 3 4 2 2 16" xfId="15559" xr:uid="{00000000-0005-0000-0000-0000AE6A0000}"/>
    <cellStyle name="Normal 3 4 2 2 16 2" xfId="33053" xr:uid="{00000000-0005-0000-0000-0000AF6A0000}"/>
    <cellStyle name="Normal 3 4 2 2 17" xfId="15560" xr:uid="{00000000-0005-0000-0000-0000B06A0000}"/>
    <cellStyle name="Normal 3 4 2 2 17 2" xfId="33054" xr:uid="{00000000-0005-0000-0000-0000B16A0000}"/>
    <cellStyle name="Normal 3 4 2 2 18" xfId="33046" xr:uid="{00000000-0005-0000-0000-0000B26A0000}"/>
    <cellStyle name="Normal 3 4 2 2 2" xfId="15561" xr:uid="{00000000-0005-0000-0000-0000B36A0000}"/>
    <cellStyle name="Normal 3 4 2 2 3" xfId="15562" xr:uid="{00000000-0005-0000-0000-0000B46A0000}"/>
    <cellStyle name="Normal 3 4 2 2 4" xfId="15563" xr:uid="{00000000-0005-0000-0000-0000B56A0000}"/>
    <cellStyle name="Normal 3 4 2 2 5" xfId="15564" xr:uid="{00000000-0005-0000-0000-0000B66A0000}"/>
    <cellStyle name="Normal 3 4 2 2 5 2" xfId="33055" xr:uid="{00000000-0005-0000-0000-0000B76A0000}"/>
    <cellStyle name="Normal 3 4 2 2 6" xfId="15565" xr:uid="{00000000-0005-0000-0000-0000B86A0000}"/>
    <cellStyle name="Normal 3 4 2 2 6 2" xfId="33056" xr:uid="{00000000-0005-0000-0000-0000B96A0000}"/>
    <cellStyle name="Normal 3 4 2 2 7" xfId="15566" xr:uid="{00000000-0005-0000-0000-0000BA6A0000}"/>
    <cellStyle name="Normal 3 4 2 2 7 2" xfId="33057" xr:uid="{00000000-0005-0000-0000-0000BB6A0000}"/>
    <cellStyle name="Normal 3 4 2 2 8" xfId="15567" xr:uid="{00000000-0005-0000-0000-0000BC6A0000}"/>
    <cellStyle name="Normal 3 4 2 2 8 2" xfId="33058" xr:uid="{00000000-0005-0000-0000-0000BD6A0000}"/>
    <cellStyle name="Normal 3 4 2 2 9" xfId="15568" xr:uid="{00000000-0005-0000-0000-0000BE6A0000}"/>
    <cellStyle name="Normal 3 4 2 2 9 2" xfId="33059" xr:uid="{00000000-0005-0000-0000-0000BF6A0000}"/>
    <cellStyle name="Normal 3 4 2 3" xfId="15569" xr:uid="{00000000-0005-0000-0000-0000C06A0000}"/>
    <cellStyle name="Normal 3 4 2 4" xfId="15570" xr:uid="{00000000-0005-0000-0000-0000C16A0000}"/>
    <cellStyle name="Normal 3 4 2 5" xfId="15571" xr:uid="{00000000-0005-0000-0000-0000C26A0000}"/>
    <cellStyle name="Normal 3 4 2 6" xfId="15572" xr:uid="{00000000-0005-0000-0000-0000C36A0000}"/>
    <cellStyle name="Normal 3 4 2 6 10" xfId="15573" xr:uid="{00000000-0005-0000-0000-0000C46A0000}"/>
    <cellStyle name="Normal 3 4 2 6 10 2" xfId="33061" xr:uid="{00000000-0005-0000-0000-0000C56A0000}"/>
    <cellStyle name="Normal 3 4 2 6 11" xfId="15574" xr:uid="{00000000-0005-0000-0000-0000C66A0000}"/>
    <cellStyle name="Normal 3 4 2 6 11 2" xfId="33062" xr:uid="{00000000-0005-0000-0000-0000C76A0000}"/>
    <cellStyle name="Normal 3 4 2 6 12" xfId="15575" xr:uid="{00000000-0005-0000-0000-0000C86A0000}"/>
    <cellStyle name="Normal 3 4 2 6 12 2" xfId="33063" xr:uid="{00000000-0005-0000-0000-0000C96A0000}"/>
    <cellStyle name="Normal 3 4 2 6 13" xfId="15576" xr:uid="{00000000-0005-0000-0000-0000CA6A0000}"/>
    <cellStyle name="Normal 3 4 2 6 13 2" xfId="33064" xr:uid="{00000000-0005-0000-0000-0000CB6A0000}"/>
    <cellStyle name="Normal 3 4 2 6 14" xfId="15577" xr:uid="{00000000-0005-0000-0000-0000CC6A0000}"/>
    <cellStyle name="Normal 3 4 2 6 14 2" xfId="33065" xr:uid="{00000000-0005-0000-0000-0000CD6A0000}"/>
    <cellStyle name="Normal 3 4 2 6 15" xfId="15578" xr:uid="{00000000-0005-0000-0000-0000CE6A0000}"/>
    <cellStyle name="Normal 3 4 2 6 15 2" xfId="33066" xr:uid="{00000000-0005-0000-0000-0000CF6A0000}"/>
    <cellStyle name="Normal 3 4 2 6 16" xfId="33060" xr:uid="{00000000-0005-0000-0000-0000D06A0000}"/>
    <cellStyle name="Normal 3 4 2 6 2" xfId="15579" xr:uid="{00000000-0005-0000-0000-0000D16A0000}"/>
    <cellStyle name="Normal 3 4 2 6 2 10" xfId="15580" xr:uid="{00000000-0005-0000-0000-0000D26A0000}"/>
    <cellStyle name="Normal 3 4 2 6 2 10 2" xfId="33068" xr:uid="{00000000-0005-0000-0000-0000D36A0000}"/>
    <cellStyle name="Normal 3 4 2 6 2 11" xfId="15581" xr:uid="{00000000-0005-0000-0000-0000D46A0000}"/>
    <cellStyle name="Normal 3 4 2 6 2 11 2" xfId="33069" xr:uid="{00000000-0005-0000-0000-0000D56A0000}"/>
    <cellStyle name="Normal 3 4 2 6 2 12" xfId="15582" xr:uid="{00000000-0005-0000-0000-0000D66A0000}"/>
    <cellStyle name="Normal 3 4 2 6 2 12 2" xfId="33070" xr:uid="{00000000-0005-0000-0000-0000D76A0000}"/>
    <cellStyle name="Normal 3 4 2 6 2 13" xfId="15583" xr:uid="{00000000-0005-0000-0000-0000D86A0000}"/>
    <cellStyle name="Normal 3 4 2 6 2 13 2" xfId="33071" xr:uid="{00000000-0005-0000-0000-0000D96A0000}"/>
    <cellStyle name="Normal 3 4 2 6 2 14" xfId="15584" xr:uid="{00000000-0005-0000-0000-0000DA6A0000}"/>
    <cellStyle name="Normal 3 4 2 6 2 14 2" xfId="33072" xr:uid="{00000000-0005-0000-0000-0000DB6A0000}"/>
    <cellStyle name="Normal 3 4 2 6 2 15" xfId="33067" xr:uid="{00000000-0005-0000-0000-0000DC6A0000}"/>
    <cellStyle name="Normal 3 4 2 6 2 2" xfId="15585" xr:uid="{00000000-0005-0000-0000-0000DD6A0000}"/>
    <cellStyle name="Normal 3 4 2 6 2 2 2" xfId="33073" xr:uid="{00000000-0005-0000-0000-0000DE6A0000}"/>
    <cellStyle name="Normal 3 4 2 6 2 3" xfId="15586" xr:uid="{00000000-0005-0000-0000-0000DF6A0000}"/>
    <cellStyle name="Normal 3 4 2 6 2 3 2" xfId="33074" xr:uid="{00000000-0005-0000-0000-0000E06A0000}"/>
    <cellStyle name="Normal 3 4 2 6 2 4" xfId="15587" xr:uid="{00000000-0005-0000-0000-0000E16A0000}"/>
    <cellStyle name="Normal 3 4 2 6 2 4 2" xfId="33075" xr:uid="{00000000-0005-0000-0000-0000E26A0000}"/>
    <cellStyle name="Normal 3 4 2 6 2 5" xfId="15588" xr:uid="{00000000-0005-0000-0000-0000E36A0000}"/>
    <cellStyle name="Normal 3 4 2 6 2 5 2" xfId="33076" xr:uid="{00000000-0005-0000-0000-0000E46A0000}"/>
    <cellStyle name="Normal 3 4 2 6 2 6" xfId="15589" xr:uid="{00000000-0005-0000-0000-0000E56A0000}"/>
    <cellStyle name="Normal 3 4 2 6 2 6 2" xfId="33077" xr:uid="{00000000-0005-0000-0000-0000E66A0000}"/>
    <cellStyle name="Normal 3 4 2 6 2 7" xfId="15590" xr:uid="{00000000-0005-0000-0000-0000E76A0000}"/>
    <cellStyle name="Normal 3 4 2 6 2 7 2" xfId="33078" xr:uid="{00000000-0005-0000-0000-0000E86A0000}"/>
    <cellStyle name="Normal 3 4 2 6 2 8" xfId="15591" xr:uid="{00000000-0005-0000-0000-0000E96A0000}"/>
    <cellStyle name="Normal 3 4 2 6 2 8 2" xfId="33079" xr:uid="{00000000-0005-0000-0000-0000EA6A0000}"/>
    <cellStyle name="Normal 3 4 2 6 2 9" xfId="15592" xr:uid="{00000000-0005-0000-0000-0000EB6A0000}"/>
    <cellStyle name="Normal 3 4 2 6 2 9 2" xfId="33080" xr:uid="{00000000-0005-0000-0000-0000EC6A0000}"/>
    <cellStyle name="Normal 3 4 2 6 3" xfId="15593" xr:uid="{00000000-0005-0000-0000-0000ED6A0000}"/>
    <cellStyle name="Normal 3 4 2 6 3 2" xfId="33081" xr:uid="{00000000-0005-0000-0000-0000EE6A0000}"/>
    <cellStyle name="Normal 3 4 2 6 4" xfId="15594" xr:uid="{00000000-0005-0000-0000-0000EF6A0000}"/>
    <cellStyle name="Normal 3 4 2 6 4 2" xfId="33082" xr:uid="{00000000-0005-0000-0000-0000F06A0000}"/>
    <cellStyle name="Normal 3 4 2 6 5" xfId="15595" xr:uid="{00000000-0005-0000-0000-0000F16A0000}"/>
    <cellStyle name="Normal 3 4 2 6 5 2" xfId="33083" xr:uid="{00000000-0005-0000-0000-0000F26A0000}"/>
    <cellStyle name="Normal 3 4 2 6 6" xfId="15596" xr:uid="{00000000-0005-0000-0000-0000F36A0000}"/>
    <cellStyle name="Normal 3 4 2 6 6 2" xfId="33084" xr:uid="{00000000-0005-0000-0000-0000F46A0000}"/>
    <cellStyle name="Normal 3 4 2 6 7" xfId="15597" xr:uid="{00000000-0005-0000-0000-0000F56A0000}"/>
    <cellStyle name="Normal 3 4 2 6 7 2" xfId="33085" xr:uid="{00000000-0005-0000-0000-0000F66A0000}"/>
    <cellStyle name="Normal 3 4 2 6 8" xfId="15598" xr:uid="{00000000-0005-0000-0000-0000F76A0000}"/>
    <cellStyle name="Normal 3 4 2 6 8 2" xfId="33086" xr:uid="{00000000-0005-0000-0000-0000F86A0000}"/>
    <cellStyle name="Normal 3 4 2 6 9" xfId="15599" xr:uid="{00000000-0005-0000-0000-0000F96A0000}"/>
    <cellStyle name="Normal 3 4 2 6 9 2" xfId="33087" xr:uid="{00000000-0005-0000-0000-0000FA6A0000}"/>
    <cellStyle name="Normal 3 4 2 7" xfId="15600" xr:uid="{00000000-0005-0000-0000-0000FB6A0000}"/>
    <cellStyle name="Normal 3 4 2 7 10" xfId="15601" xr:uid="{00000000-0005-0000-0000-0000FC6A0000}"/>
    <cellStyle name="Normal 3 4 2 7 10 2" xfId="33089" xr:uid="{00000000-0005-0000-0000-0000FD6A0000}"/>
    <cellStyle name="Normal 3 4 2 7 11" xfId="15602" xr:uid="{00000000-0005-0000-0000-0000FE6A0000}"/>
    <cellStyle name="Normal 3 4 2 7 11 2" xfId="33090" xr:uid="{00000000-0005-0000-0000-0000FF6A0000}"/>
    <cellStyle name="Normal 3 4 2 7 12" xfId="15603" xr:uid="{00000000-0005-0000-0000-0000006B0000}"/>
    <cellStyle name="Normal 3 4 2 7 12 2" xfId="33091" xr:uid="{00000000-0005-0000-0000-0000016B0000}"/>
    <cellStyle name="Normal 3 4 2 7 13" xfId="15604" xr:uid="{00000000-0005-0000-0000-0000026B0000}"/>
    <cellStyle name="Normal 3 4 2 7 13 2" xfId="33092" xr:uid="{00000000-0005-0000-0000-0000036B0000}"/>
    <cellStyle name="Normal 3 4 2 7 14" xfId="15605" xr:uid="{00000000-0005-0000-0000-0000046B0000}"/>
    <cellStyle name="Normal 3 4 2 7 14 2" xfId="33093" xr:uid="{00000000-0005-0000-0000-0000056B0000}"/>
    <cellStyle name="Normal 3 4 2 7 15" xfId="15606" xr:uid="{00000000-0005-0000-0000-0000066B0000}"/>
    <cellStyle name="Normal 3 4 2 7 15 2" xfId="33094" xr:uid="{00000000-0005-0000-0000-0000076B0000}"/>
    <cellStyle name="Normal 3 4 2 7 16" xfId="33088" xr:uid="{00000000-0005-0000-0000-0000086B0000}"/>
    <cellStyle name="Normal 3 4 2 7 2" xfId="15607" xr:uid="{00000000-0005-0000-0000-0000096B0000}"/>
    <cellStyle name="Normal 3 4 2 7 2 10" xfId="15608" xr:uid="{00000000-0005-0000-0000-00000A6B0000}"/>
    <cellStyle name="Normal 3 4 2 7 2 10 2" xfId="33096" xr:uid="{00000000-0005-0000-0000-00000B6B0000}"/>
    <cellStyle name="Normal 3 4 2 7 2 11" xfId="15609" xr:uid="{00000000-0005-0000-0000-00000C6B0000}"/>
    <cellStyle name="Normal 3 4 2 7 2 11 2" xfId="33097" xr:uid="{00000000-0005-0000-0000-00000D6B0000}"/>
    <cellStyle name="Normal 3 4 2 7 2 12" xfId="15610" xr:uid="{00000000-0005-0000-0000-00000E6B0000}"/>
    <cellStyle name="Normal 3 4 2 7 2 12 2" xfId="33098" xr:uid="{00000000-0005-0000-0000-00000F6B0000}"/>
    <cellStyle name="Normal 3 4 2 7 2 13" xfId="15611" xr:uid="{00000000-0005-0000-0000-0000106B0000}"/>
    <cellStyle name="Normal 3 4 2 7 2 13 2" xfId="33099" xr:uid="{00000000-0005-0000-0000-0000116B0000}"/>
    <cellStyle name="Normal 3 4 2 7 2 14" xfId="15612" xr:uid="{00000000-0005-0000-0000-0000126B0000}"/>
    <cellStyle name="Normal 3 4 2 7 2 14 2" xfId="33100" xr:uid="{00000000-0005-0000-0000-0000136B0000}"/>
    <cellStyle name="Normal 3 4 2 7 2 15" xfId="33095" xr:uid="{00000000-0005-0000-0000-0000146B0000}"/>
    <cellStyle name="Normal 3 4 2 7 2 2" xfId="15613" xr:uid="{00000000-0005-0000-0000-0000156B0000}"/>
    <cellStyle name="Normal 3 4 2 7 2 2 2" xfId="33101" xr:uid="{00000000-0005-0000-0000-0000166B0000}"/>
    <cellStyle name="Normal 3 4 2 7 2 3" xfId="15614" xr:uid="{00000000-0005-0000-0000-0000176B0000}"/>
    <cellStyle name="Normal 3 4 2 7 2 3 2" xfId="33102" xr:uid="{00000000-0005-0000-0000-0000186B0000}"/>
    <cellStyle name="Normal 3 4 2 7 2 4" xfId="15615" xr:uid="{00000000-0005-0000-0000-0000196B0000}"/>
    <cellStyle name="Normal 3 4 2 7 2 4 2" xfId="33103" xr:uid="{00000000-0005-0000-0000-00001A6B0000}"/>
    <cellStyle name="Normal 3 4 2 7 2 5" xfId="15616" xr:uid="{00000000-0005-0000-0000-00001B6B0000}"/>
    <cellStyle name="Normal 3 4 2 7 2 5 2" xfId="33104" xr:uid="{00000000-0005-0000-0000-00001C6B0000}"/>
    <cellStyle name="Normal 3 4 2 7 2 6" xfId="15617" xr:uid="{00000000-0005-0000-0000-00001D6B0000}"/>
    <cellStyle name="Normal 3 4 2 7 2 6 2" xfId="33105" xr:uid="{00000000-0005-0000-0000-00001E6B0000}"/>
    <cellStyle name="Normal 3 4 2 7 2 7" xfId="15618" xr:uid="{00000000-0005-0000-0000-00001F6B0000}"/>
    <cellStyle name="Normal 3 4 2 7 2 7 2" xfId="33106" xr:uid="{00000000-0005-0000-0000-0000206B0000}"/>
    <cellStyle name="Normal 3 4 2 7 2 8" xfId="15619" xr:uid="{00000000-0005-0000-0000-0000216B0000}"/>
    <cellStyle name="Normal 3 4 2 7 2 8 2" xfId="33107" xr:uid="{00000000-0005-0000-0000-0000226B0000}"/>
    <cellStyle name="Normal 3 4 2 7 2 9" xfId="15620" xr:uid="{00000000-0005-0000-0000-0000236B0000}"/>
    <cellStyle name="Normal 3 4 2 7 2 9 2" xfId="33108" xr:uid="{00000000-0005-0000-0000-0000246B0000}"/>
    <cellStyle name="Normal 3 4 2 7 3" xfId="15621" xr:uid="{00000000-0005-0000-0000-0000256B0000}"/>
    <cellStyle name="Normal 3 4 2 7 3 2" xfId="33109" xr:uid="{00000000-0005-0000-0000-0000266B0000}"/>
    <cellStyle name="Normal 3 4 2 7 4" xfId="15622" xr:uid="{00000000-0005-0000-0000-0000276B0000}"/>
    <cellStyle name="Normal 3 4 2 7 4 2" xfId="33110" xr:uid="{00000000-0005-0000-0000-0000286B0000}"/>
    <cellStyle name="Normal 3 4 2 7 5" xfId="15623" xr:uid="{00000000-0005-0000-0000-0000296B0000}"/>
    <cellStyle name="Normal 3 4 2 7 5 2" xfId="33111" xr:uid="{00000000-0005-0000-0000-00002A6B0000}"/>
    <cellStyle name="Normal 3 4 2 7 6" xfId="15624" xr:uid="{00000000-0005-0000-0000-00002B6B0000}"/>
    <cellStyle name="Normal 3 4 2 7 6 2" xfId="33112" xr:uid="{00000000-0005-0000-0000-00002C6B0000}"/>
    <cellStyle name="Normal 3 4 2 7 7" xfId="15625" xr:uid="{00000000-0005-0000-0000-00002D6B0000}"/>
    <cellStyle name="Normal 3 4 2 7 7 2" xfId="33113" xr:uid="{00000000-0005-0000-0000-00002E6B0000}"/>
    <cellStyle name="Normal 3 4 2 7 8" xfId="15626" xr:uid="{00000000-0005-0000-0000-00002F6B0000}"/>
    <cellStyle name="Normal 3 4 2 7 8 2" xfId="33114" xr:uid="{00000000-0005-0000-0000-0000306B0000}"/>
    <cellStyle name="Normal 3 4 2 7 9" xfId="15627" xr:uid="{00000000-0005-0000-0000-0000316B0000}"/>
    <cellStyle name="Normal 3 4 2 7 9 2" xfId="33115" xr:uid="{00000000-0005-0000-0000-0000326B0000}"/>
    <cellStyle name="Normal 3 4 2 8" xfId="15628" xr:uid="{00000000-0005-0000-0000-0000336B0000}"/>
    <cellStyle name="Normal 3 4 2 8 10" xfId="15629" xr:uid="{00000000-0005-0000-0000-0000346B0000}"/>
    <cellStyle name="Normal 3 4 2 8 10 2" xfId="33117" xr:uid="{00000000-0005-0000-0000-0000356B0000}"/>
    <cellStyle name="Normal 3 4 2 8 11" xfId="15630" xr:uid="{00000000-0005-0000-0000-0000366B0000}"/>
    <cellStyle name="Normal 3 4 2 8 11 2" xfId="33118" xr:uid="{00000000-0005-0000-0000-0000376B0000}"/>
    <cellStyle name="Normal 3 4 2 8 12" xfId="15631" xr:uid="{00000000-0005-0000-0000-0000386B0000}"/>
    <cellStyle name="Normal 3 4 2 8 12 2" xfId="33119" xr:uid="{00000000-0005-0000-0000-0000396B0000}"/>
    <cellStyle name="Normal 3 4 2 8 13" xfId="15632" xr:uid="{00000000-0005-0000-0000-00003A6B0000}"/>
    <cellStyle name="Normal 3 4 2 8 13 2" xfId="33120" xr:uid="{00000000-0005-0000-0000-00003B6B0000}"/>
    <cellStyle name="Normal 3 4 2 8 14" xfId="15633" xr:uid="{00000000-0005-0000-0000-00003C6B0000}"/>
    <cellStyle name="Normal 3 4 2 8 14 2" xfId="33121" xr:uid="{00000000-0005-0000-0000-00003D6B0000}"/>
    <cellStyle name="Normal 3 4 2 8 15" xfId="15634" xr:uid="{00000000-0005-0000-0000-00003E6B0000}"/>
    <cellStyle name="Normal 3 4 2 8 15 2" xfId="33122" xr:uid="{00000000-0005-0000-0000-00003F6B0000}"/>
    <cellStyle name="Normal 3 4 2 8 16" xfId="33116" xr:uid="{00000000-0005-0000-0000-0000406B0000}"/>
    <cellStyle name="Normal 3 4 2 8 2" xfId="15635" xr:uid="{00000000-0005-0000-0000-0000416B0000}"/>
    <cellStyle name="Normal 3 4 2 8 2 10" xfId="15636" xr:uid="{00000000-0005-0000-0000-0000426B0000}"/>
    <cellStyle name="Normal 3 4 2 8 2 10 2" xfId="33124" xr:uid="{00000000-0005-0000-0000-0000436B0000}"/>
    <cellStyle name="Normal 3 4 2 8 2 11" xfId="15637" xr:uid="{00000000-0005-0000-0000-0000446B0000}"/>
    <cellStyle name="Normal 3 4 2 8 2 11 2" xfId="33125" xr:uid="{00000000-0005-0000-0000-0000456B0000}"/>
    <cellStyle name="Normal 3 4 2 8 2 12" xfId="15638" xr:uid="{00000000-0005-0000-0000-0000466B0000}"/>
    <cellStyle name="Normal 3 4 2 8 2 12 2" xfId="33126" xr:uid="{00000000-0005-0000-0000-0000476B0000}"/>
    <cellStyle name="Normal 3 4 2 8 2 13" xfId="15639" xr:uid="{00000000-0005-0000-0000-0000486B0000}"/>
    <cellStyle name="Normal 3 4 2 8 2 13 2" xfId="33127" xr:uid="{00000000-0005-0000-0000-0000496B0000}"/>
    <cellStyle name="Normal 3 4 2 8 2 14" xfId="15640" xr:uid="{00000000-0005-0000-0000-00004A6B0000}"/>
    <cellStyle name="Normal 3 4 2 8 2 14 2" xfId="33128" xr:uid="{00000000-0005-0000-0000-00004B6B0000}"/>
    <cellStyle name="Normal 3 4 2 8 2 15" xfId="33123" xr:uid="{00000000-0005-0000-0000-00004C6B0000}"/>
    <cellStyle name="Normal 3 4 2 8 2 2" xfId="15641" xr:uid="{00000000-0005-0000-0000-00004D6B0000}"/>
    <cellStyle name="Normal 3 4 2 8 2 2 2" xfId="33129" xr:uid="{00000000-0005-0000-0000-00004E6B0000}"/>
    <cellStyle name="Normal 3 4 2 8 2 3" xfId="15642" xr:uid="{00000000-0005-0000-0000-00004F6B0000}"/>
    <cellStyle name="Normal 3 4 2 8 2 3 2" xfId="33130" xr:uid="{00000000-0005-0000-0000-0000506B0000}"/>
    <cellStyle name="Normal 3 4 2 8 2 4" xfId="15643" xr:uid="{00000000-0005-0000-0000-0000516B0000}"/>
    <cellStyle name="Normal 3 4 2 8 2 4 2" xfId="33131" xr:uid="{00000000-0005-0000-0000-0000526B0000}"/>
    <cellStyle name="Normal 3 4 2 8 2 5" xfId="15644" xr:uid="{00000000-0005-0000-0000-0000536B0000}"/>
    <cellStyle name="Normal 3 4 2 8 2 5 2" xfId="33132" xr:uid="{00000000-0005-0000-0000-0000546B0000}"/>
    <cellStyle name="Normal 3 4 2 8 2 6" xfId="15645" xr:uid="{00000000-0005-0000-0000-0000556B0000}"/>
    <cellStyle name="Normal 3 4 2 8 2 6 2" xfId="33133" xr:uid="{00000000-0005-0000-0000-0000566B0000}"/>
    <cellStyle name="Normal 3 4 2 8 2 7" xfId="15646" xr:uid="{00000000-0005-0000-0000-0000576B0000}"/>
    <cellStyle name="Normal 3 4 2 8 2 7 2" xfId="33134" xr:uid="{00000000-0005-0000-0000-0000586B0000}"/>
    <cellStyle name="Normal 3 4 2 8 2 8" xfId="15647" xr:uid="{00000000-0005-0000-0000-0000596B0000}"/>
    <cellStyle name="Normal 3 4 2 8 2 8 2" xfId="33135" xr:uid="{00000000-0005-0000-0000-00005A6B0000}"/>
    <cellStyle name="Normal 3 4 2 8 2 9" xfId="15648" xr:uid="{00000000-0005-0000-0000-00005B6B0000}"/>
    <cellStyle name="Normal 3 4 2 8 2 9 2" xfId="33136" xr:uid="{00000000-0005-0000-0000-00005C6B0000}"/>
    <cellStyle name="Normal 3 4 2 8 3" xfId="15649" xr:uid="{00000000-0005-0000-0000-00005D6B0000}"/>
    <cellStyle name="Normal 3 4 2 8 3 2" xfId="33137" xr:uid="{00000000-0005-0000-0000-00005E6B0000}"/>
    <cellStyle name="Normal 3 4 2 8 4" xfId="15650" xr:uid="{00000000-0005-0000-0000-00005F6B0000}"/>
    <cellStyle name="Normal 3 4 2 8 4 2" xfId="33138" xr:uid="{00000000-0005-0000-0000-0000606B0000}"/>
    <cellStyle name="Normal 3 4 2 8 5" xfId="15651" xr:uid="{00000000-0005-0000-0000-0000616B0000}"/>
    <cellStyle name="Normal 3 4 2 8 5 2" xfId="33139" xr:uid="{00000000-0005-0000-0000-0000626B0000}"/>
    <cellStyle name="Normal 3 4 2 8 6" xfId="15652" xr:uid="{00000000-0005-0000-0000-0000636B0000}"/>
    <cellStyle name="Normal 3 4 2 8 6 2" xfId="33140" xr:uid="{00000000-0005-0000-0000-0000646B0000}"/>
    <cellStyle name="Normal 3 4 2 8 7" xfId="15653" xr:uid="{00000000-0005-0000-0000-0000656B0000}"/>
    <cellStyle name="Normal 3 4 2 8 7 2" xfId="33141" xr:uid="{00000000-0005-0000-0000-0000666B0000}"/>
    <cellStyle name="Normal 3 4 2 8 8" xfId="15654" xr:uid="{00000000-0005-0000-0000-0000676B0000}"/>
    <cellStyle name="Normal 3 4 2 8 8 2" xfId="33142" xr:uid="{00000000-0005-0000-0000-0000686B0000}"/>
    <cellStyle name="Normal 3 4 2 8 9" xfId="15655" xr:uid="{00000000-0005-0000-0000-0000696B0000}"/>
    <cellStyle name="Normal 3 4 2 8 9 2" xfId="33143" xr:uid="{00000000-0005-0000-0000-00006A6B0000}"/>
    <cellStyle name="Normal 3 4 2 9" xfId="15656" xr:uid="{00000000-0005-0000-0000-00006B6B0000}"/>
    <cellStyle name="Normal 3 4 2 9 10" xfId="15657" xr:uid="{00000000-0005-0000-0000-00006C6B0000}"/>
    <cellStyle name="Normal 3 4 2 9 10 2" xfId="33145" xr:uid="{00000000-0005-0000-0000-00006D6B0000}"/>
    <cellStyle name="Normal 3 4 2 9 11" xfId="15658" xr:uid="{00000000-0005-0000-0000-00006E6B0000}"/>
    <cellStyle name="Normal 3 4 2 9 11 2" xfId="33146" xr:uid="{00000000-0005-0000-0000-00006F6B0000}"/>
    <cellStyle name="Normal 3 4 2 9 12" xfId="15659" xr:uid="{00000000-0005-0000-0000-0000706B0000}"/>
    <cellStyle name="Normal 3 4 2 9 12 2" xfId="33147" xr:uid="{00000000-0005-0000-0000-0000716B0000}"/>
    <cellStyle name="Normal 3 4 2 9 13" xfId="15660" xr:uid="{00000000-0005-0000-0000-0000726B0000}"/>
    <cellStyle name="Normal 3 4 2 9 13 2" xfId="33148" xr:uid="{00000000-0005-0000-0000-0000736B0000}"/>
    <cellStyle name="Normal 3 4 2 9 14" xfId="15661" xr:uid="{00000000-0005-0000-0000-0000746B0000}"/>
    <cellStyle name="Normal 3 4 2 9 14 2" xfId="33149" xr:uid="{00000000-0005-0000-0000-0000756B0000}"/>
    <cellStyle name="Normal 3 4 2 9 15" xfId="33144" xr:uid="{00000000-0005-0000-0000-0000766B0000}"/>
    <cellStyle name="Normal 3 4 2 9 2" xfId="15662" xr:uid="{00000000-0005-0000-0000-0000776B0000}"/>
    <cellStyle name="Normal 3 4 2 9 2 2" xfId="33150" xr:uid="{00000000-0005-0000-0000-0000786B0000}"/>
    <cellStyle name="Normal 3 4 2 9 3" xfId="15663" xr:uid="{00000000-0005-0000-0000-0000796B0000}"/>
    <cellStyle name="Normal 3 4 2 9 3 2" xfId="33151" xr:uid="{00000000-0005-0000-0000-00007A6B0000}"/>
    <cellStyle name="Normal 3 4 2 9 4" xfId="15664" xr:uid="{00000000-0005-0000-0000-00007B6B0000}"/>
    <cellStyle name="Normal 3 4 2 9 4 2" xfId="33152" xr:uid="{00000000-0005-0000-0000-00007C6B0000}"/>
    <cellStyle name="Normal 3 4 2 9 5" xfId="15665" xr:uid="{00000000-0005-0000-0000-00007D6B0000}"/>
    <cellStyle name="Normal 3 4 2 9 5 2" xfId="33153" xr:uid="{00000000-0005-0000-0000-00007E6B0000}"/>
    <cellStyle name="Normal 3 4 2 9 6" xfId="15666" xr:uid="{00000000-0005-0000-0000-00007F6B0000}"/>
    <cellStyle name="Normal 3 4 2 9 6 2" xfId="33154" xr:uid="{00000000-0005-0000-0000-0000806B0000}"/>
    <cellStyle name="Normal 3 4 2 9 7" xfId="15667" xr:uid="{00000000-0005-0000-0000-0000816B0000}"/>
    <cellStyle name="Normal 3 4 2 9 7 2" xfId="33155" xr:uid="{00000000-0005-0000-0000-0000826B0000}"/>
    <cellStyle name="Normal 3 4 2 9 8" xfId="15668" xr:uid="{00000000-0005-0000-0000-0000836B0000}"/>
    <cellStyle name="Normal 3 4 2 9 8 2" xfId="33156" xr:uid="{00000000-0005-0000-0000-0000846B0000}"/>
    <cellStyle name="Normal 3 4 2 9 9" xfId="15669" xr:uid="{00000000-0005-0000-0000-0000856B0000}"/>
    <cellStyle name="Normal 3 4 2 9 9 2" xfId="33157" xr:uid="{00000000-0005-0000-0000-0000866B0000}"/>
    <cellStyle name="Normal 3 4 20" xfId="15670" xr:uid="{00000000-0005-0000-0000-0000876B0000}"/>
    <cellStyle name="Normal 3 4 20 10" xfId="15671" xr:uid="{00000000-0005-0000-0000-0000886B0000}"/>
    <cellStyle name="Normal 3 4 20 10 2" xfId="33159" xr:uid="{00000000-0005-0000-0000-0000896B0000}"/>
    <cellStyle name="Normal 3 4 20 11" xfId="15672" xr:uid="{00000000-0005-0000-0000-00008A6B0000}"/>
    <cellStyle name="Normal 3 4 20 11 2" xfId="33160" xr:uid="{00000000-0005-0000-0000-00008B6B0000}"/>
    <cellStyle name="Normal 3 4 20 12" xfId="15673" xr:uid="{00000000-0005-0000-0000-00008C6B0000}"/>
    <cellStyle name="Normal 3 4 20 12 2" xfId="33161" xr:uid="{00000000-0005-0000-0000-00008D6B0000}"/>
    <cellStyle name="Normal 3 4 20 13" xfId="15674" xr:uid="{00000000-0005-0000-0000-00008E6B0000}"/>
    <cellStyle name="Normal 3 4 20 13 2" xfId="33162" xr:uid="{00000000-0005-0000-0000-00008F6B0000}"/>
    <cellStyle name="Normal 3 4 20 14" xfId="15675" xr:uid="{00000000-0005-0000-0000-0000906B0000}"/>
    <cellStyle name="Normal 3 4 20 14 2" xfId="33163" xr:uid="{00000000-0005-0000-0000-0000916B0000}"/>
    <cellStyle name="Normal 3 4 20 15" xfId="33158" xr:uid="{00000000-0005-0000-0000-0000926B0000}"/>
    <cellStyle name="Normal 3 4 20 2" xfId="15676" xr:uid="{00000000-0005-0000-0000-0000936B0000}"/>
    <cellStyle name="Normal 3 4 20 2 2" xfId="33164" xr:uid="{00000000-0005-0000-0000-0000946B0000}"/>
    <cellStyle name="Normal 3 4 20 3" xfId="15677" xr:uid="{00000000-0005-0000-0000-0000956B0000}"/>
    <cellStyle name="Normal 3 4 20 3 2" xfId="33165" xr:uid="{00000000-0005-0000-0000-0000966B0000}"/>
    <cellStyle name="Normal 3 4 20 4" xfId="15678" xr:uid="{00000000-0005-0000-0000-0000976B0000}"/>
    <cellStyle name="Normal 3 4 20 4 2" xfId="33166" xr:uid="{00000000-0005-0000-0000-0000986B0000}"/>
    <cellStyle name="Normal 3 4 20 5" xfId="15679" xr:uid="{00000000-0005-0000-0000-0000996B0000}"/>
    <cellStyle name="Normal 3 4 20 5 2" xfId="33167" xr:uid="{00000000-0005-0000-0000-00009A6B0000}"/>
    <cellStyle name="Normal 3 4 20 6" xfId="15680" xr:uid="{00000000-0005-0000-0000-00009B6B0000}"/>
    <cellStyle name="Normal 3 4 20 6 2" xfId="33168" xr:uid="{00000000-0005-0000-0000-00009C6B0000}"/>
    <cellStyle name="Normal 3 4 20 7" xfId="15681" xr:uid="{00000000-0005-0000-0000-00009D6B0000}"/>
    <cellStyle name="Normal 3 4 20 7 2" xfId="33169" xr:uid="{00000000-0005-0000-0000-00009E6B0000}"/>
    <cellStyle name="Normal 3 4 20 8" xfId="15682" xr:uid="{00000000-0005-0000-0000-00009F6B0000}"/>
    <cellStyle name="Normal 3 4 20 8 2" xfId="33170" xr:uid="{00000000-0005-0000-0000-0000A06B0000}"/>
    <cellStyle name="Normal 3 4 20 9" xfId="15683" xr:uid="{00000000-0005-0000-0000-0000A16B0000}"/>
    <cellStyle name="Normal 3 4 20 9 2" xfId="33171" xr:uid="{00000000-0005-0000-0000-0000A26B0000}"/>
    <cellStyle name="Normal 3 4 21" xfId="15684" xr:uid="{00000000-0005-0000-0000-0000A36B0000}"/>
    <cellStyle name="Normal 3 4 21 10" xfId="15685" xr:uid="{00000000-0005-0000-0000-0000A46B0000}"/>
    <cellStyle name="Normal 3 4 21 10 2" xfId="33173" xr:uid="{00000000-0005-0000-0000-0000A56B0000}"/>
    <cellStyle name="Normal 3 4 21 11" xfId="15686" xr:uid="{00000000-0005-0000-0000-0000A66B0000}"/>
    <cellStyle name="Normal 3 4 21 11 2" xfId="33174" xr:uid="{00000000-0005-0000-0000-0000A76B0000}"/>
    <cellStyle name="Normal 3 4 21 12" xfId="15687" xr:uid="{00000000-0005-0000-0000-0000A86B0000}"/>
    <cellStyle name="Normal 3 4 21 12 2" xfId="33175" xr:uid="{00000000-0005-0000-0000-0000A96B0000}"/>
    <cellStyle name="Normal 3 4 21 13" xfId="15688" xr:uid="{00000000-0005-0000-0000-0000AA6B0000}"/>
    <cellStyle name="Normal 3 4 21 13 2" xfId="33176" xr:uid="{00000000-0005-0000-0000-0000AB6B0000}"/>
    <cellStyle name="Normal 3 4 21 14" xfId="15689" xr:uid="{00000000-0005-0000-0000-0000AC6B0000}"/>
    <cellStyle name="Normal 3 4 21 14 2" xfId="33177" xr:uid="{00000000-0005-0000-0000-0000AD6B0000}"/>
    <cellStyle name="Normal 3 4 21 15" xfId="33172" xr:uid="{00000000-0005-0000-0000-0000AE6B0000}"/>
    <cellStyle name="Normal 3 4 21 2" xfId="15690" xr:uid="{00000000-0005-0000-0000-0000AF6B0000}"/>
    <cellStyle name="Normal 3 4 21 2 2" xfId="33178" xr:uid="{00000000-0005-0000-0000-0000B06B0000}"/>
    <cellStyle name="Normal 3 4 21 3" xfId="15691" xr:uid="{00000000-0005-0000-0000-0000B16B0000}"/>
    <cellStyle name="Normal 3 4 21 3 2" xfId="33179" xr:uid="{00000000-0005-0000-0000-0000B26B0000}"/>
    <cellStyle name="Normal 3 4 21 4" xfId="15692" xr:uid="{00000000-0005-0000-0000-0000B36B0000}"/>
    <cellStyle name="Normal 3 4 21 4 2" xfId="33180" xr:uid="{00000000-0005-0000-0000-0000B46B0000}"/>
    <cellStyle name="Normal 3 4 21 5" xfId="15693" xr:uid="{00000000-0005-0000-0000-0000B56B0000}"/>
    <cellStyle name="Normal 3 4 21 5 2" xfId="33181" xr:uid="{00000000-0005-0000-0000-0000B66B0000}"/>
    <cellStyle name="Normal 3 4 21 6" xfId="15694" xr:uid="{00000000-0005-0000-0000-0000B76B0000}"/>
    <cellStyle name="Normal 3 4 21 6 2" xfId="33182" xr:uid="{00000000-0005-0000-0000-0000B86B0000}"/>
    <cellStyle name="Normal 3 4 21 7" xfId="15695" xr:uid="{00000000-0005-0000-0000-0000B96B0000}"/>
    <cellStyle name="Normal 3 4 21 7 2" xfId="33183" xr:uid="{00000000-0005-0000-0000-0000BA6B0000}"/>
    <cellStyle name="Normal 3 4 21 8" xfId="15696" xr:uid="{00000000-0005-0000-0000-0000BB6B0000}"/>
    <cellStyle name="Normal 3 4 21 8 2" xfId="33184" xr:uid="{00000000-0005-0000-0000-0000BC6B0000}"/>
    <cellStyle name="Normal 3 4 21 9" xfId="15697" xr:uid="{00000000-0005-0000-0000-0000BD6B0000}"/>
    <cellStyle name="Normal 3 4 21 9 2" xfId="33185" xr:uid="{00000000-0005-0000-0000-0000BE6B0000}"/>
    <cellStyle name="Normal 3 4 22" xfId="15698" xr:uid="{00000000-0005-0000-0000-0000BF6B0000}"/>
    <cellStyle name="Normal 3 4 23" xfId="15699" xr:uid="{00000000-0005-0000-0000-0000C06B0000}"/>
    <cellStyle name="Normal 3 4 24" xfId="15700" xr:uid="{00000000-0005-0000-0000-0000C16B0000}"/>
    <cellStyle name="Normal 3 4 24 10" xfId="15701" xr:uid="{00000000-0005-0000-0000-0000C26B0000}"/>
    <cellStyle name="Normal 3 4 24 10 2" xfId="33187" xr:uid="{00000000-0005-0000-0000-0000C36B0000}"/>
    <cellStyle name="Normal 3 4 24 11" xfId="15702" xr:uid="{00000000-0005-0000-0000-0000C46B0000}"/>
    <cellStyle name="Normal 3 4 24 11 2" xfId="33188" xr:uid="{00000000-0005-0000-0000-0000C56B0000}"/>
    <cellStyle name="Normal 3 4 24 12" xfId="15703" xr:uid="{00000000-0005-0000-0000-0000C66B0000}"/>
    <cellStyle name="Normal 3 4 24 12 2" xfId="33189" xr:uid="{00000000-0005-0000-0000-0000C76B0000}"/>
    <cellStyle name="Normal 3 4 24 13" xfId="15704" xr:uid="{00000000-0005-0000-0000-0000C86B0000}"/>
    <cellStyle name="Normal 3 4 24 13 2" xfId="33190" xr:uid="{00000000-0005-0000-0000-0000C96B0000}"/>
    <cellStyle name="Normal 3 4 24 14" xfId="15705" xr:uid="{00000000-0005-0000-0000-0000CA6B0000}"/>
    <cellStyle name="Normal 3 4 24 14 2" xfId="33191" xr:uid="{00000000-0005-0000-0000-0000CB6B0000}"/>
    <cellStyle name="Normal 3 4 24 15" xfId="33186" xr:uid="{00000000-0005-0000-0000-0000CC6B0000}"/>
    <cellStyle name="Normal 3 4 24 2" xfId="15706" xr:uid="{00000000-0005-0000-0000-0000CD6B0000}"/>
    <cellStyle name="Normal 3 4 24 2 2" xfId="33192" xr:uid="{00000000-0005-0000-0000-0000CE6B0000}"/>
    <cellStyle name="Normal 3 4 24 3" xfId="15707" xr:uid="{00000000-0005-0000-0000-0000CF6B0000}"/>
    <cellStyle name="Normal 3 4 24 3 2" xfId="33193" xr:uid="{00000000-0005-0000-0000-0000D06B0000}"/>
    <cellStyle name="Normal 3 4 24 4" xfId="15708" xr:uid="{00000000-0005-0000-0000-0000D16B0000}"/>
    <cellStyle name="Normal 3 4 24 4 2" xfId="33194" xr:uid="{00000000-0005-0000-0000-0000D26B0000}"/>
    <cellStyle name="Normal 3 4 24 5" xfId="15709" xr:uid="{00000000-0005-0000-0000-0000D36B0000}"/>
    <cellStyle name="Normal 3 4 24 5 2" xfId="33195" xr:uid="{00000000-0005-0000-0000-0000D46B0000}"/>
    <cellStyle name="Normal 3 4 24 6" xfId="15710" xr:uid="{00000000-0005-0000-0000-0000D56B0000}"/>
    <cellStyle name="Normal 3 4 24 6 2" xfId="33196" xr:uid="{00000000-0005-0000-0000-0000D66B0000}"/>
    <cellStyle name="Normal 3 4 24 7" xfId="15711" xr:uid="{00000000-0005-0000-0000-0000D76B0000}"/>
    <cellStyle name="Normal 3 4 24 7 2" xfId="33197" xr:uid="{00000000-0005-0000-0000-0000D86B0000}"/>
    <cellStyle name="Normal 3 4 24 8" xfId="15712" xr:uid="{00000000-0005-0000-0000-0000D96B0000}"/>
    <cellStyle name="Normal 3 4 24 8 2" xfId="33198" xr:uid="{00000000-0005-0000-0000-0000DA6B0000}"/>
    <cellStyle name="Normal 3 4 24 9" xfId="15713" xr:uid="{00000000-0005-0000-0000-0000DB6B0000}"/>
    <cellStyle name="Normal 3 4 24 9 2" xfId="33199" xr:uid="{00000000-0005-0000-0000-0000DC6B0000}"/>
    <cellStyle name="Normal 3 4 25" xfId="15714" xr:uid="{00000000-0005-0000-0000-0000DD6B0000}"/>
    <cellStyle name="Normal 3 4 25 10" xfId="15715" xr:uid="{00000000-0005-0000-0000-0000DE6B0000}"/>
    <cellStyle name="Normal 3 4 25 10 2" xfId="33201" xr:uid="{00000000-0005-0000-0000-0000DF6B0000}"/>
    <cellStyle name="Normal 3 4 25 11" xfId="15716" xr:uid="{00000000-0005-0000-0000-0000E06B0000}"/>
    <cellStyle name="Normal 3 4 25 11 2" xfId="33202" xr:uid="{00000000-0005-0000-0000-0000E16B0000}"/>
    <cellStyle name="Normal 3 4 25 12" xfId="15717" xr:uid="{00000000-0005-0000-0000-0000E26B0000}"/>
    <cellStyle name="Normal 3 4 25 12 2" xfId="33203" xr:uid="{00000000-0005-0000-0000-0000E36B0000}"/>
    <cellStyle name="Normal 3 4 25 13" xfId="15718" xr:uid="{00000000-0005-0000-0000-0000E46B0000}"/>
    <cellStyle name="Normal 3 4 25 13 2" xfId="33204" xr:uid="{00000000-0005-0000-0000-0000E56B0000}"/>
    <cellStyle name="Normal 3 4 25 14" xfId="15719" xr:uid="{00000000-0005-0000-0000-0000E66B0000}"/>
    <cellStyle name="Normal 3 4 25 14 2" xfId="33205" xr:uid="{00000000-0005-0000-0000-0000E76B0000}"/>
    <cellStyle name="Normal 3 4 25 15" xfId="33200" xr:uid="{00000000-0005-0000-0000-0000E86B0000}"/>
    <cellStyle name="Normal 3 4 25 2" xfId="15720" xr:uid="{00000000-0005-0000-0000-0000E96B0000}"/>
    <cellStyle name="Normal 3 4 25 2 2" xfId="33206" xr:uid="{00000000-0005-0000-0000-0000EA6B0000}"/>
    <cellStyle name="Normal 3 4 25 3" xfId="15721" xr:uid="{00000000-0005-0000-0000-0000EB6B0000}"/>
    <cellStyle name="Normal 3 4 25 3 2" xfId="33207" xr:uid="{00000000-0005-0000-0000-0000EC6B0000}"/>
    <cellStyle name="Normal 3 4 25 4" xfId="15722" xr:uid="{00000000-0005-0000-0000-0000ED6B0000}"/>
    <cellStyle name="Normal 3 4 25 4 2" xfId="33208" xr:uid="{00000000-0005-0000-0000-0000EE6B0000}"/>
    <cellStyle name="Normal 3 4 25 5" xfId="15723" xr:uid="{00000000-0005-0000-0000-0000EF6B0000}"/>
    <cellStyle name="Normal 3 4 25 5 2" xfId="33209" xr:uid="{00000000-0005-0000-0000-0000F06B0000}"/>
    <cellStyle name="Normal 3 4 25 6" xfId="15724" xr:uid="{00000000-0005-0000-0000-0000F16B0000}"/>
    <cellStyle name="Normal 3 4 25 6 2" xfId="33210" xr:uid="{00000000-0005-0000-0000-0000F26B0000}"/>
    <cellStyle name="Normal 3 4 25 7" xfId="15725" xr:uid="{00000000-0005-0000-0000-0000F36B0000}"/>
    <cellStyle name="Normal 3 4 25 7 2" xfId="33211" xr:uid="{00000000-0005-0000-0000-0000F46B0000}"/>
    <cellStyle name="Normal 3 4 25 8" xfId="15726" xr:uid="{00000000-0005-0000-0000-0000F56B0000}"/>
    <cellStyle name="Normal 3 4 25 8 2" xfId="33212" xr:uid="{00000000-0005-0000-0000-0000F66B0000}"/>
    <cellStyle name="Normal 3 4 25 9" xfId="15727" xr:uid="{00000000-0005-0000-0000-0000F76B0000}"/>
    <cellStyle name="Normal 3 4 25 9 2" xfId="33213" xr:uid="{00000000-0005-0000-0000-0000F86B0000}"/>
    <cellStyle name="Normal 3 4 3" xfId="15728" xr:uid="{00000000-0005-0000-0000-0000F96B0000}"/>
    <cellStyle name="Normal 3 4 3 10" xfId="15729" xr:uid="{00000000-0005-0000-0000-0000FA6B0000}"/>
    <cellStyle name="Normal 3 4 3 10 10" xfId="15730" xr:uid="{00000000-0005-0000-0000-0000FB6B0000}"/>
    <cellStyle name="Normal 3 4 3 10 10 2" xfId="33216" xr:uid="{00000000-0005-0000-0000-0000FC6B0000}"/>
    <cellStyle name="Normal 3 4 3 10 11" xfId="15731" xr:uid="{00000000-0005-0000-0000-0000FD6B0000}"/>
    <cellStyle name="Normal 3 4 3 10 11 2" xfId="33217" xr:uid="{00000000-0005-0000-0000-0000FE6B0000}"/>
    <cellStyle name="Normal 3 4 3 10 12" xfId="15732" xr:uid="{00000000-0005-0000-0000-0000FF6B0000}"/>
    <cellStyle name="Normal 3 4 3 10 12 2" xfId="33218" xr:uid="{00000000-0005-0000-0000-0000006C0000}"/>
    <cellStyle name="Normal 3 4 3 10 13" xfId="15733" xr:uid="{00000000-0005-0000-0000-0000016C0000}"/>
    <cellStyle name="Normal 3 4 3 10 13 2" xfId="33219" xr:uid="{00000000-0005-0000-0000-0000026C0000}"/>
    <cellStyle name="Normal 3 4 3 10 14" xfId="15734" xr:uid="{00000000-0005-0000-0000-0000036C0000}"/>
    <cellStyle name="Normal 3 4 3 10 14 2" xfId="33220" xr:uid="{00000000-0005-0000-0000-0000046C0000}"/>
    <cellStyle name="Normal 3 4 3 10 15" xfId="33215" xr:uid="{00000000-0005-0000-0000-0000056C0000}"/>
    <cellStyle name="Normal 3 4 3 10 2" xfId="15735" xr:uid="{00000000-0005-0000-0000-0000066C0000}"/>
    <cellStyle name="Normal 3 4 3 10 2 2" xfId="33221" xr:uid="{00000000-0005-0000-0000-0000076C0000}"/>
    <cellStyle name="Normal 3 4 3 10 3" xfId="15736" xr:uid="{00000000-0005-0000-0000-0000086C0000}"/>
    <cellStyle name="Normal 3 4 3 10 3 2" xfId="33222" xr:uid="{00000000-0005-0000-0000-0000096C0000}"/>
    <cellStyle name="Normal 3 4 3 10 4" xfId="15737" xr:uid="{00000000-0005-0000-0000-00000A6C0000}"/>
    <cellStyle name="Normal 3 4 3 10 4 2" xfId="33223" xr:uid="{00000000-0005-0000-0000-00000B6C0000}"/>
    <cellStyle name="Normal 3 4 3 10 5" xfId="15738" xr:uid="{00000000-0005-0000-0000-00000C6C0000}"/>
    <cellStyle name="Normal 3 4 3 10 5 2" xfId="33224" xr:uid="{00000000-0005-0000-0000-00000D6C0000}"/>
    <cellStyle name="Normal 3 4 3 10 6" xfId="15739" xr:uid="{00000000-0005-0000-0000-00000E6C0000}"/>
    <cellStyle name="Normal 3 4 3 10 6 2" xfId="33225" xr:uid="{00000000-0005-0000-0000-00000F6C0000}"/>
    <cellStyle name="Normal 3 4 3 10 7" xfId="15740" xr:uid="{00000000-0005-0000-0000-0000106C0000}"/>
    <cellStyle name="Normal 3 4 3 10 7 2" xfId="33226" xr:uid="{00000000-0005-0000-0000-0000116C0000}"/>
    <cellStyle name="Normal 3 4 3 10 8" xfId="15741" xr:uid="{00000000-0005-0000-0000-0000126C0000}"/>
    <cellStyle name="Normal 3 4 3 10 8 2" xfId="33227" xr:uid="{00000000-0005-0000-0000-0000136C0000}"/>
    <cellStyle name="Normal 3 4 3 10 9" xfId="15742" xr:uid="{00000000-0005-0000-0000-0000146C0000}"/>
    <cellStyle name="Normal 3 4 3 10 9 2" xfId="33228" xr:uid="{00000000-0005-0000-0000-0000156C0000}"/>
    <cellStyle name="Normal 3 4 3 11" xfId="15743" xr:uid="{00000000-0005-0000-0000-0000166C0000}"/>
    <cellStyle name="Normal 3 4 3 11 10" xfId="15744" xr:uid="{00000000-0005-0000-0000-0000176C0000}"/>
    <cellStyle name="Normal 3 4 3 11 10 2" xfId="33230" xr:uid="{00000000-0005-0000-0000-0000186C0000}"/>
    <cellStyle name="Normal 3 4 3 11 11" xfId="15745" xr:uid="{00000000-0005-0000-0000-0000196C0000}"/>
    <cellStyle name="Normal 3 4 3 11 11 2" xfId="33231" xr:uid="{00000000-0005-0000-0000-00001A6C0000}"/>
    <cellStyle name="Normal 3 4 3 11 12" xfId="15746" xr:uid="{00000000-0005-0000-0000-00001B6C0000}"/>
    <cellStyle name="Normal 3 4 3 11 12 2" xfId="33232" xr:uid="{00000000-0005-0000-0000-00001C6C0000}"/>
    <cellStyle name="Normal 3 4 3 11 13" xfId="15747" xr:uid="{00000000-0005-0000-0000-00001D6C0000}"/>
    <cellStyle name="Normal 3 4 3 11 13 2" xfId="33233" xr:uid="{00000000-0005-0000-0000-00001E6C0000}"/>
    <cellStyle name="Normal 3 4 3 11 14" xfId="15748" xr:uid="{00000000-0005-0000-0000-00001F6C0000}"/>
    <cellStyle name="Normal 3 4 3 11 14 2" xfId="33234" xr:uid="{00000000-0005-0000-0000-0000206C0000}"/>
    <cellStyle name="Normal 3 4 3 11 15" xfId="33229" xr:uid="{00000000-0005-0000-0000-0000216C0000}"/>
    <cellStyle name="Normal 3 4 3 11 2" xfId="15749" xr:uid="{00000000-0005-0000-0000-0000226C0000}"/>
    <cellStyle name="Normal 3 4 3 11 2 2" xfId="33235" xr:uid="{00000000-0005-0000-0000-0000236C0000}"/>
    <cellStyle name="Normal 3 4 3 11 3" xfId="15750" xr:uid="{00000000-0005-0000-0000-0000246C0000}"/>
    <cellStyle name="Normal 3 4 3 11 3 2" xfId="33236" xr:uid="{00000000-0005-0000-0000-0000256C0000}"/>
    <cellStyle name="Normal 3 4 3 11 4" xfId="15751" xr:uid="{00000000-0005-0000-0000-0000266C0000}"/>
    <cellStyle name="Normal 3 4 3 11 4 2" xfId="33237" xr:uid="{00000000-0005-0000-0000-0000276C0000}"/>
    <cellStyle name="Normal 3 4 3 11 5" xfId="15752" xr:uid="{00000000-0005-0000-0000-0000286C0000}"/>
    <cellStyle name="Normal 3 4 3 11 5 2" xfId="33238" xr:uid="{00000000-0005-0000-0000-0000296C0000}"/>
    <cellStyle name="Normal 3 4 3 11 6" xfId="15753" xr:uid="{00000000-0005-0000-0000-00002A6C0000}"/>
    <cellStyle name="Normal 3 4 3 11 6 2" xfId="33239" xr:uid="{00000000-0005-0000-0000-00002B6C0000}"/>
    <cellStyle name="Normal 3 4 3 11 7" xfId="15754" xr:uid="{00000000-0005-0000-0000-00002C6C0000}"/>
    <cellStyle name="Normal 3 4 3 11 7 2" xfId="33240" xr:uid="{00000000-0005-0000-0000-00002D6C0000}"/>
    <cellStyle name="Normal 3 4 3 11 8" xfId="15755" xr:uid="{00000000-0005-0000-0000-00002E6C0000}"/>
    <cellStyle name="Normal 3 4 3 11 8 2" xfId="33241" xr:uid="{00000000-0005-0000-0000-00002F6C0000}"/>
    <cellStyle name="Normal 3 4 3 11 9" xfId="15756" xr:uid="{00000000-0005-0000-0000-0000306C0000}"/>
    <cellStyle name="Normal 3 4 3 11 9 2" xfId="33242" xr:uid="{00000000-0005-0000-0000-0000316C0000}"/>
    <cellStyle name="Normal 3 4 3 12" xfId="15757" xr:uid="{00000000-0005-0000-0000-0000326C0000}"/>
    <cellStyle name="Normal 3 4 3 12 10" xfId="15758" xr:uid="{00000000-0005-0000-0000-0000336C0000}"/>
    <cellStyle name="Normal 3 4 3 12 10 2" xfId="33244" xr:uid="{00000000-0005-0000-0000-0000346C0000}"/>
    <cellStyle name="Normal 3 4 3 12 11" xfId="15759" xr:uid="{00000000-0005-0000-0000-0000356C0000}"/>
    <cellStyle name="Normal 3 4 3 12 11 2" xfId="33245" xr:uid="{00000000-0005-0000-0000-0000366C0000}"/>
    <cellStyle name="Normal 3 4 3 12 12" xfId="15760" xr:uid="{00000000-0005-0000-0000-0000376C0000}"/>
    <cellStyle name="Normal 3 4 3 12 12 2" xfId="33246" xr:uid="{00000000-0005-0000-0000-0000386C0000}"/>
    <cellStyle name="Normal 3 4 3 12 13" xfId="15761" xr:uid="{00000000-0005-0000-0000-0000396C0000}"/>
    <cellStyle name="Normal 3 4 3 12 13 2" xfId="33247" xr:uid="{00000000-0005-0000-0000-00003A6C0000}"/>
    <cellStyle name="Normal 3 4 3 12 14" xfId="15762" xr:uid="{00000000-0005-0000-0000-00003B6C0000}"/>
    <cellStyle name="Normal 3 4 3 12 14 2" xfId="33248" xr:uid="{00000000-0005-0000-0000-00003C6C0000}"/>
    <cellStyle name="Normal 3 4 3 12 15" xfId="33243" xr:uid="{00000000-0005-0000-0000-00003D6C0000}"/>
    <cellStyle name="Normal 3 4 3 12 2" xfId="15763" xr:uid="{00000000-0005-0000-0000-00003E6C0000}"/>
    <cellStyle name="Normal 3 4 3 12 2 2" xfId="33249" xr:uid="{00000000-0005-0000-0000-00003F6C0000}"/>
    <cellStyle name="Normal 3 4 3 12 3" xfId="15764" xr:uid="{00000000-0005-0000-0000-0000406C0000}"/>
    <cellStyle name="Normal 3 4 3 12 3 2" xfId="33250" xr:uid="{00000000-0005-0000-0000-0000416C0000}"/>
    <cellStyle name="Normal 3 4 3 12 4" xfId="15765" xr:uid="{00000000-0005-0000-0000-0000426C0000}"/>
    <cellStyle name="Normal 3 4 3 12 4 2" xfId="33251" xr:uid="{00000000-0005-0000-0000-0000436C0000}"/>
    <cellStyle name="Normal 3 4 3 12 5" xfId="15766" xr:uid="{00000000-0005-0000-0000-0000446C0000}"/>
    <cellStyle name="Normal 3 4 3 12 5 2" xfId="33252" xr:uid="{00000000-0005-0000-0000-0000456C0000}"/>
    <cellStyle name="Normal 3 4 3 12 6" xfId="15767" xr:uid="{00000000-0005-0000-0000-0000466C0000}"/>
    <cellStyle name="Normal 3 4 3 12 6 2" xfId="33253" xr:uid="{00000000-0005-0000-0000-0000476C0000}"/>
    <cellStyle name="Normal 3 4 3 12 7" xfId="15768" xr:uid="{00000000-0005-0000-0000-0000486C0000}"/>
    <cellStyle name="Normal 3 4 3 12 7 2" xfId="33254" xr:uid="{00000000-0005-0000-0000-0000496C0000}"/>
    <cellStyle name="Normal 3 4 3 12 8" xfId="15769" xr:uid="{00000000-0005-0000-0000-00004A6C0000}"/>
    <cellStyle name="Normal 3 4 3 12 8 2" xfId="33255" xr:uid="{00000000-0005-0000-0000-00004B6C0000}"/>
    <cellStyle name="Normal 3 4 3 12 9" xfId="15770" xr:uid="{00000000-0005-0000-0000-00004C6C0000}"/>
    <cellStyle name="Normal 3 4 3 12 9 2" xfId="33256" xr:uid="{00000000-0005-0000-0000-00004D6C0000}"/>
    <cellStyle name="Normal 3 4 3 13" xfId="15771" xr:uid="{00000000-0005-0000-0000-00004E6C0000}"/>
    <cellStyle name="Normal 3 4 3 13 10" xfId="15772" xr:uid="{00000000-0005-0000-0000-00004F6C0000}"/>
    <cellStyle name="Normal 3 4 3 13 10 2" xfId="33258" xr:uid="{00000000-0005-0000-0000-0000506C0000}"/>
    <cellStyle name="Normal 3 4 3 13 11" xfId="15773" xr:uid="{00000000-0005-0000-0000-0000516C0000}"/>
    <cellStyle name="Normal 3 4 3 13 11 2" xfId="33259" xr:uid="{00000000-0005-0000-0000-0000526C0000}"/>
    <cellStyle name="Normal 3 4 3 13 12" xfId="15774" xr:uid="{00000000-0005-0000-0000-0000536C0000}"/>
    <cellStyle name="Normal 3 4 3 13 12 2" xfId="33260" xr:uid="{00000000-0005-0000-0000-0000546C0000}"/>
    <cellStyle name="Normal 3 4 3 13 13" xfId="15775" xr:uid="{00000000-0005-0000-0000-0000556C0000}"/>
    <cellStyle name="Normal 3 4 3 13 13 2" xfId="33261" xr:uid="{00000000-0005-0000-0000-0000566C0000}"/>
    <cellStyle name="Normal 3 4 3 13 14" xfId="15776" xr:uid="{00000000-0005-0000-0000-0000576C0000}"/>
    <cellStyle name="Normal 3 4 3 13 14 2" xfId="33262" xr:uid="{00000000-0005-0000-0000-0000586C0000}"/>
    <cellStyle name="Normal 3 4 3 13 15" xfId="33257" xr:uid="{00000000-0005-0000-0000-0000596C0000}"/>
    <cellStyle name="Normal 3 4 3 13 2" xfId="15777" xr:uid="{00000000-0005-0000-0000-00005A6C0000}"/>
    <cellStyle name="Normal 3 4 3 13 2 2" xfId="33263" xr:uid="{00000000-0005-0000-0000-00005B6C0000}"/>
    <cellStyle name="Normal 3 4 3 13 3" xfId="15778" xr:uid="{00000000-0005-0000-0000-00005C6C0000}"/>
    <cellStyle name="Normal 3 4 3 13 3 2" xfId="33264" xr:uid="{00000000-0005-0000-0000-00005D6C0000}"/>
    <cellStyle name="Normal 3 4 3 13 4" xfId="15779" xr:uid="{00000000-0005-0000-0000-00005E6C0000}"/>
    <cellStyle name="Normal 3 4 3 13 4 2" xfId="33265" xr:uid="{00000000-0005-0000-0000-00005F6C0000}"/>
    <cellStyle name="Normal 3 4 3 13 5" xfId="15780" xr:uid="{00000000-0005-0000-0000-0000606C0000}"/>
    <cellStyle name="Normal 3 4 3 13 5 2" xfId="33266" xr:uid="{00000000-0005-0000-0000-0000616C0000}"/>
    <cellStyle name="Normal 3 4 3 13 6" xfId="15781" xr:uid="{00000000-0005-0000-0000-0000626C0000}"/>
    <cellStyle name="Normal 3 4 3 13 6 2" xfId="33267" xr:uid="{00000000-0005-0000-0000-0000636C0000}"/>
    <cellStyle name="Normal 3 4 3 13 7" xfId="15782" xr:uid="{00000000-0005-0000-0000-0000646C0000}"/>
    <cellStyle name="Normal 3 4 3 13 7 2" xfId="33268" xr:uid="{00000000-0005-0000-0000-0000656C0000}"/>
    <cellStyle name="Normal 3 4 3 13 8" xfId="15783" xr:uid="{00000000-0005-0000-0000-0000666C0000}"/>
    <cellStyle name="Normal 3 4 3 13 8 2" xfId="33269" xr:uid="{00000000-0005-0000-0000-0000676C0000}"/>
    <cellStyle name="Normal 3 4 3 13 9" xfId="15784" xr:uid="{00000000-0005-0000-0000-0000686C0000}"/>
    <cellStyle name="Normal 3 4 3 13 9 2" xfId="33270" xr:uid="{00000000-0005-0000-0000-0000696C0000}"/>
    <cellStyle name="Normal 3 4 3 14" xfId="15785" xr:uid="{00000000-0005-0000-0000-00006A6C0000}"/>
    <cellStyle name="Normal 3 4 3 14 10" xfId="15786" xr:uid="{00000000-0005-0000-0000-00006B6C0000}"/>
    <cellStyle name="Normal 3 4 3 14 10 2" xfId="33272" xr:uid="{00000000-0005-0000-0000-00006C6C0000}"/>
    <cellStyle name="Normal 3 4 3 14 11" xfId="15787" xr:uid="{00000000-0005-0000-0000-00006D6C0000}"/>
    <cellStyle name="Normal 3 4 3 14 11 2" xfId="33273" xr:uid="{00000000-0005-0000-0000-00006E6C0000}"/>
    <cellStyle name="Normal 3 4 3 14 12" xfId="15788" xr:uid="{00000000-0005-0000-0000-00006F6C0000}"/>
    <cellStyle name="Normal 3 4 3 14 12 2" xfId="33274" xr:uid="{00000000-0005-0000-0000-0000706C0000}"/>
    <cellStyle name="Normal 3 4 3 14 13" xfId="15789" xr:uid="{00000000-0005-0000-0000-0000716C0000}"/>
    <cellStyle name="Normal 3 4 3 14 13 2" xfId="33275" xr:uid="{00000000-0005-0000-0000-0000726C0000}"/>
    <cellStyle name="Normal 3 4 3 14 14" xfId="15790" xr:uid="{00000000-0005-0000-0000-0000736C0000}"/>
    <cellStyle name="Normal 3 4 3 14 14 2" xfId="33276" xr:uid="{00000000-0005-0000-0000-0000746C0000}"/>
    <cellStyle name="Normal 3 4 3 14 15" xfId="33271" xr:uid="{00000000-0005-0000-0000-0000756C0000}"/>
    <cellStyle name="Normal 3 4 3 14 2" xfId="15791" xr:uid="{00000000-0005-0000-0000-0000766C0000}"/>
    <cellStyle name="Normal 3 4 3 14 2 2" xfId="33277" xr:uid="{00000000-0005-0000-0000-0000776C0000}"/>
    <cellStyle name="Normal 3 4 3 14 3" xfId="15792" xr:uid="{00000000-0005-0000-0000-0000786C0000}"/>
    <cellStyle name="Normal 3 4 3 14 3 2" xfId="33278" xr:uid="{00000000-0005-0000-0000-0000796C0000}"/>
    <cellStyle name="Normal 3 4 3 14 4" xfId="15793" xr:uid="{00000000-0005-0000-0000-00007A6C0000}"/>
    <cellStyle name="Normal 3 4 3 14 4 2" xfId="33279" xr:uid="{00000000-0005-0000-0000-00007B6C0000}"/>
    <cellStyle name="Normal 3 4 3 14 5" xfId="15794" xr:uid="{00000000-0005-0000-0000-00007C6C0000}"/>
    <cellStyle name="Normal 3 4 3 14 5 2" xfId="33280" xr:uid="{00000000-0005-0000-0000-00007D6C0000}"/>
    <cellStyle name="Normal 3 4 3 14 6" xfId="15795" xr:uid="{00000000-0005-0000-0000-00007E6C0000}"/>
    <cellStyle name="Normal 3 4 3 14 6 2" xfId="33281" xr:uid="{00000000-0005-0000-0000-00007F6C0000}"/>
    <cellStyle name="Normal 3 4 3 14 7" xfId="15796" xr:uid="{00000000-0005-0000-0000-0000806C0000}"/>
    <cellStyle name="Normal 3 4 3 14 7 2" xfId="33282" xr:uid="{00000000-0005-0000-0000-0000816C0000}"/>
    <cellStyle name="Normal 3 4 3 14 8" xfId="15797" xr:uid="{00000000-0005-0000-0000-0000826C0000}"/>
    <cellStyle name="Normal 3 4 3 14 8 2" xfId="33283" xr:uid="{00000000-0005-0000-0000-0000836C0000}"/>
    <cellStyle name="Normal 3 4 3 14 9" xfId="15798" xr:uid="{00000000-0005-0000-0000-0000846C0000}"/>
    <cellStyle name="Normal 3 4 3 14 9 2" xfId="33284" xr:uid="{00000000-0005-0000-0000-0000856C0000}"/>
    <cellStyle name="Normal 3 4 3 15" xfId="15799" xr:uid="{00000000-0005-0000-0000-0000866C0000}"/>
    <cellStyle name="Normal 3 4 3 15 2" xfId="33285" xr:uid="{00000000-0005-0000-0000-0000876C0000}"/>
    <cellStyle name="Normal 3 4 3 16" xfId="15800" xr:uid="{00000000-0005-0000-0000-0000886C0000}"/>
    <cellStyle name="Normal 3 4 3 16 2" xfId="33286" xr:uid="{00000000-0005-0000-0000-0000896C0000}"/>
    <cellStyle name="Normal 3 4 3 17" xfId="15801" xr:uid="{00000000-0005-0000-0000-00008A6C0000}"/>
    <cellStyle name="Normal 3 4 3 17 2" xfId="33287" xr:uid="{00000000-0005-0000-0000-00008B6C0000}"/>
    <cellStyle name="Normal 3 4 3 18" xfId="15802" xr:uid="{00000000-0005-0000-0000-00008C6C0000}"/>
    <cellStyle name="Normal 3 4 3 18 2" xfId="33288" xr:uid="{00000000-0005-0000-0000-00008D6C0000}"/>
    <cellStyle name="Normal 3 4 3 19" xfId="15803" xr:uid="{00000000-0005-0000-0000-00008E6C0000}"/>
    <cellStyle name="Normal 3 4 3 19 2" xfId="33289" xr:uid="{00000000-0005-0000-0000-00008F6C0000}"/>
    <cellStyle name="Normal 3 4 3 2" xfId="15804" xr:uid="{00000000-0005-0000-0000-0000906C0000}"/>
    <cellStyle name="Normal 3 4 3 20" xfId="15805" xr:uid="{00000000-0005-0000-0000-0000916C0000}"/>
    <cellStyle name="Normal 3 4 3 20 2" xfId="33290" xr:uid="{00000000-0005-0000-0000-0000926C0000}"/>
    <cellStyle name="Normal 3 4 3 21" xfId="15806" xr:uid="{00000000-0005-0000-0000-0000936C0000}"/>
    <cellStyle name="Normal 3 4 3 21 2" xfId="33291" xr:uid="{00000000-0005-0000-0000-0000946C0000}"/>
    <cellStyle name="Normal 3 4 3 22" xfId="15807" xr:uid="{00000000-0005-0000-0000-0000956C0000}"/>
    <cellStyle name="Normal 3 4 3 22 2" xfId="33292" xr:uid="{00000000-0005-0000-0000-0000966C0000}"/>
    <cellStyle name="Normal 3 4 3 23" xfId="15808" xr:uid="{00000000-0005-0000-0000-0000976C0000}"/>
    <cellStyle name="Normal 3 4 3 23 2" xfId="33293" xr:uid="{00000000-0005-0000-0000-0000986C0000}"/>
    <cellStyle name="Normal 3 4 3 24" xfId="15809" xr:uid="{00000000-0005-0000-0000-0000996C0000}"/>
    <cellStyle name="Normal 3 4 3 24 2" xfId="33294" xr:uid="{00000000-0005-0000-0000-00009A6C0000}"/>
    <cellStyle name="Normal 3 4 3 25" xfId="15810" xr:uid="{00000000-0005-0000-0000-00009B6C0000}"/>
    <cellStyle name="Normal 3 4 3 25 2" xfId="33295" xr:uid="{00000000-0005-0000-0000-00009C6C0000}"/>
    <cellStyle name="Normal 3 4 3 26" xfId="15811" xr:uid="{00000000-0005-0000-0000-00009D6C0000}"/>
    <cellStyle name="Normal 3 4 3 26 2" xfId="33296" xr:uid="{00000000-0005-0000-0000-00009E6C0000}"/>
    <cellStyle name="Normal 3 4 3 27" xfId="15812" xr:uid="{00000000-0005-0000-0000-00009F6C0000}"/>
    <cellStyle name="Normal 3 4 3 27 2" xfId="33297" xr:uid="{00000000-0005-0000-0000-0000A06C0000}"/>
    <cellStyle name="Normal 3 4 3 28" xfId="33214" xr:uid="{00000000-0005-0000-0000-0000A16C0000}"/>
    <cellStyle name="Normal 3 4 3 3" xfId="15813" xr:uid="{00000000-0005-0000-0000-0000A26C0000}"/>
    <cellStyle name="Normal 3 4 3 4" xfId="15814" xr:uid="{00000000-0005-0000-0000-0000A36C0000}"/>
    <cellStyle name="Normal 3 4 3 5" xfId="15815" xr:uid="{00000000-0005-0000-0000-0000A46C0000}"/>
    <cellStyle name="Normal 3 4 3 6" xfId="15816" xr:uid="{00000000-0005-0000-0000-0000A56C0000}"/>
    <cellStyle name="Normal 3 4 3 6 10" xfId="15817" xr:uid="{00000000-0005-0000-0000-0000A66C0000}"/>
    <cellStyle name="Normal 3 4 3 6 10 2" xfId="33299" xr:uid="{00000000-0005-0000-0000-0000A76C0000}"/>
    <cellStyle name="Normal 3 4 3 6 11" xfId="15818" xr:uid="{00000000-0005-0000-0000-0000A86C0000}"/>
    <cellStyle name="Normal 3 4 3 6 11 2" xfId="33300" xr:uid="{00000000-0005-0000-0000-0000A96C0000}"/>
    <cellStyle name="Normal 3 4 3 6 12" xfId="15819" xr:uid="{00000000-0005-0000-0000-0000AA6C0000}"/>
    <cellStyle name="Normal 3 4 3 6 12 2" xfId="33301" xr:uid="{00000000-0005-0000-0000-0000AB6C0000}"/>
    <cellStyle name="Normal 3 4 3 6 13" xfId="15820" xr:uid="{00000000-0005-0000-0000-0000AC6C0000}"/>
    <cellStyle name="Normal 3 4 3 6 13 2" xfId="33302" xr:uid="{00000000-0005-0000-0000-0000AD6C0000}"/>
    <cellStyle name="Normal 3 4 3 6 14" xfId="15821" xr:uid="{00000000-0005-0000-0000-0000AE6C0000}"/>
    <cellStyle name="Normal 3 4 3 6 14 2" xfId="33303" xr:uid="{00000000-0005-0000-0000-0000AF6C0000}"/>
    <cellStyle name="Normal 3 4 3 6 15" xfId="15822" xr:uid="{00000000-0005-0000-0000-0000B06C0000}"/>
    <cellStyle name="Normal 3 4 3 6 15 2" xfId="33304" xr:uid="{00000000-0005-0000-0000-0000B16C0000}"/>
    <cellStyle name="Normal 3 4 3 6 16" xfId="33298" xr:uid="{00000000-0005-0000-0000-0000B26C0000}"/>
    <cellStyle name="Normal 3 4 3 6 2" xfId="15823" xr:uid="{00000000-0005-0000-0000-0000B36C0000}"/>
    <cellStyle name="Normal 3 4 3 6 2 10" xfId="15824" xr:uid="{00000000-0005-0000-0000-0000B46C0000}"/>
    <cellStyle name="Normal 3 4 3 6 2 10 2" xfId="33306" xr:uid="{00000000-0005-0000-0000-0000B56C0000}"/>
    <cellStyle name="Normal 3 4 3 6 2 11" xfId="15825" xr:uid="{00000000-0005-0000-0000-0000B66C0000}"/>
    <cellStyle name="Normal 3 4 3 6 2 11 2" xfId="33307" xr:uid="{00000000-0005-0000-0000-0000B76C0000}"/>
    <cellStyle name="Normal 3 4 3 6 2 12" xfId="15826" xr:uid="{00000000-0005-0000-0000-0000B86C0000}"/>
    <cellStyle name="Normal 3 4 3 6 2 12 2" xfId="33308" xr:uid="{00000000-0005-0000-0000-0000B96C0000}"/>
    <cellStyle name="Normal 3 4 3 6 2 13" xfId="15827" xr:uid="{00000000-0005-0000-0000-0000BA6C0000}"/>
    <cellStyle name="Normal 3 4 3 6 2 13 2" xfId="33309" xr:uid="{00000000-0005-0000-0000-0000BB6C0000}"/>
    <cellStyle name="Normal 3 4 3 6 2 14" xfId="15828" xr:uid="{00000000-0005-0000-0000-0000BC6C0000}"/>
    <cellStyle name="Normal 3 4 3 6 2 14 2" xfId="33310" xr:uid="{00000000-0005-0000-0000-0000BD6C0000}"/>
    <cellStyle name="Normal 3 4 3 6 2 15" xfId="33305" xr:uid="{00000000-0005-0000-0000-0000BE6C0000}"/>
    <cellStyle name="Normal 3 4 3 6 2 2" xfId="15829" xr:uid="{00000000-0005-0000-0000-0000BF6C0000}"/>
    <cellStyle name="Normal 3 4 3 6 2 2 2" xfId="33311" xr:uid="{00000000-0005-0000-0000-0000C06C0000}"/>
    <cellStyle name="Normal 3 4 3 6 2 3" xfId="15830" xr:uid="{00000000-0005-0000-0000-0000C16C0000}"/>
    <cellStyle name="Normal 3 4 3 6 2 3 2" xfId="33312" xr:uid="{00000000-0005-0000-0000-0000C26C0000}"/>
    <cellStyle name="Normal 3 4 3 6 2 4" xfId="15831" xr:uid="{00000000-0005-0000-0000-0000C36C0000}"/>
    <cellStyle name="Normal 3 4 3 6 2 4 2" xfId="33313" xr:uid="{00000000-0005-0000-0000-0000C46C0000}"/>
    <cellStyle name="Normal 3 4 3 6 2 5" xfId="15832" xr:uid="{00000000-0005-0000-0000-0000C56C0000}"/>
    <cellStyle name="Normal 3 4 3 6 2 5 2" xfId="33314" xr:uid="{00000000-0005-0000-0000-0000C66C0000}"/>
    <cellStyle name="Normal 3 4 3 6 2 6" xfId="15833" xr:uid="{00000000-0005-0000-0000-0000C76C0000}"/>
    <cellStyle name="Normal 3 4 3 6 2 6 2" xfId="33315" xr:uid="{00000000-0005-0000-0000-0000C86C0000}"/>
    <cellStyle name="Normal 3 4 3 6 2 7" xfId="15834" xr:uid="{00000000-0005-0000-0000-0000C96C0000}"/>
    <cellStyle name="Normal 3 4 3 6 2 7 2" xfId="33316" xr:uid="{00000000-0005-0000-0000-0000CA6C0000}"/>
    <cellStyle name="Normal 3 4 3 6 2 8" xfId="15835" xr:uid="{00000000-0005-0000-0000-0000CB6C0000}"/>
    <cellStyle name="Normal 3 4 3 6 2 8 2" xfId="33317" xr:uid="{00000000-0005-0000-0000-0000CC6C0000}"/>
    <cellStyle name="Normal 3 4 3 6 2 9" xfId="15836" xr:uid="{00000000-0005-0000-0000-0000CD6C0000}"/>
    <cellStyle name="Normal 3 4 3 6 2 9 2" xfId="33318" xr:uid="{00000000-0005-0000-0000-0000CE6C0000}"/>
    <cellStyle name="Normal 3 4 3 6 3" xfId="15837" xr:uid="{00000000-0005-0000-0000-0000CF6C0000}"/>
    <cellStyle name="Normal 3 4 3 6 3 2" xfId="33319" xr:uid="{00000000-0005-0000-0000-0000D06C0000}"/>
    <cellStyle name="Normal 3 4 3 6 4" xfId="15838" xr:uid="{00000000-0005-0000-0000-0000D16C0000}"/>
    <cellStyle name="Normal 3 4 3 6 4 2" xfId="33320" xr:uid="{00000000-0005-0000-0000-0000D26C0000}"/>
    <cellStyle name="Normal 3 4 3 6 5" xfId="15839" xr:uid="{00000000-0005-0000-0000-0000D36C0000}"/>
    <cellStyle name="Normal 3 4 3 6 5 2" xfId="33321" xr:uid="{00000000-0005-0000-0000-0000D46C0000}"/>
    <cellStyle name="Normal 3 4 3 6 6" xfId="15840" xr:uid="{00000000-0005-0000-0000-0000D56C0000}"/>
    <cellStyle name="Normal 3 4 3 6 6 2" xfId="33322" xr:uid="{00000000-0005-0000-0000-0000D66C0000}"/>
    <cellStyle name="Normal 3 4 3 6 7" xfId="15841" xr:uid="{00000000-0005-0000-0000-0000D76C0000}"/>
    <cellStyle name="Normal 3 4 3 6 7 2" xfId="33323" xr:uid="{00000000-0005-0000-0000-0000D86C0000}"/>
    <cellStyle name="Normal 3 4 3 6 8" xfId="15842" xr:uid="{00000000-0005-0000-0000-0000D96C0000}"/>
    <cellStyle name="Normal 3 4 3 6 8 2" xfId="33324" xr:uid="{00000000-0005-0000-0000-0000DA6C0000}"/>
    <cellStyle name="Normal 3 4 3 6 9" xfId="15843" xr:uid="{00000000-0005-0000-0000-0000DB6C0000}"/>
    <cellStyle name="Normal 3 4 3 6 9 2" xfId="33325" xr:uid="{00000000-0005-0000-0000-0000DC6C0000}"/>
    <cellStyle name="Normal 3 4 3 7" xfId="15844" xr:uid="{00000000-0005-0000-0000-0000DD6C0000}"/>
    <cellStyle name="Normal 3 4 3 7 10" xfId="15845" xr:uid="{00000000-0005-0000-0000-0000DE6C0000}"/>
    <cellStyle name="Normal 3 4 3 7 10 2" xfId="33327" xr:uid="{00000000-0005-0000-0000-0000DF6C0000}"/>
    <cellStyle name="Normal 3 4 3 7 11" xfId="15846" xr:uid="{00000000-0005-0000-0000-0000E06C0000}"/>
    <cellStyle name="Normal 3 4 3 7 11 2" xfId="33328" xr:uid="{00000000-0005-0000-0000-0000E16C0000}"/>
    <cellStyle name="Normal 3 4 3 7 12" xfId="15847" xr:uid="{00000000-0005-0000-0000-0000E26C0000}"/>
    <cellStyle name="Normal 3 4 3 7 12 2" xfId="33329" xr:uid="{00000000-0005-0000-0000-0000E36C0000}"/>
    <cellStyle name="Normal 3 4 3 7 13" xfId="15848" xr:uid="{00000000-0005-0000-0000-0000E46C0000}"/>
    <cellStyle name="Normal 3 4 3 7 13 2" xfId="33330" xr:uid="{00000000-0005-0000-0000-0000E56C0000}"/>
    <cellStyle name="Normal 3 4 3 7 14" xfId="15849" xr:uid="{00000000-0005-0000-0000-0000E66C0000}"/>
    <cellStyle name="Normal 3 4 3 7 14 2" xfId="33331" xr:uid="{00000000-0005-0000-0000-0000E76C0000}"/>
    <cellStyle name="Normal 3 4 3 7 15" xfId="15850" xr:uid="{00000000-0005-0000-0000-0000E86C0000}"/>
    <cellStyle name="Normal 3 4 3 7 15 2" xfId="33332" xr:uid="{00000000-0005-0000-0000-0000E96C0000}"/>
    <cellStyle name="Normal 3 4 3 7 16" xfId="33326" xr:uid="{00000000-0005-0000-0000-0000EA6C0000}"/>
    <cellStyle name="Normal 3 4 3 7 2" xfId="15851" xr:uid="{00000000-0005-0000-0000-0000EB6C0000}"/>
    <cellStyle name="Normal 3 4 3 7 2 10" xfId="15852" xr:uid="{00000000-0005-0000-0000-0000EC6C0000}"/>
    <cellStyle name="Normal 3 4 3 7 2 10 2" xfId="33334" xr:uid="{00000000-0005-0000-0000-0000ED6C0000}"/>
    <cellStyle name="Normal 3 4 3 7 2 11" xfId="15853" xr:uid="{00000000-0005-0000-0000-0000EE6C0000}"/>
    <cellStyle name="Normal 3 4 3 7 2 11 2" xfId="33335" xr:uid="{00000000-0005-0000-0000-0000EF6C0000}"/>
    <cellStyle name="Normal 3 4 3 7 2 12" xfId="15854" xr:uid="{00000000-0005-0000-0000-0000F06C0000}"/>
    <cellStyle name="Normal 3 4 3 7 2 12 2" xfId="33336" xr:uid="{00000000-0005-0000-0000-0000F16C0000}"/>
    <cellStyle name="Normal 3 4 3 7 2 13" xfId="15855" xr:uid="{00000000-0005-0000-0000-0000F26C0000}"/>
    <cellStyle name="Normal 3 4 3 7 2 13 2" xfId="33337" xr:uid="{00000000-0005-0000-0000-0000F36C0000}"/>
    <cellStyle name="Normal 3 4 3 7 2 14" xfId="15856" xr:uid="{00000000-0005-0000-0000-0000F46C0000}"/>
    <cellStyle name="Normal 3 4 3 7 2 14 2" xfId="33338" xr:uid="{00000000-0005-0000-0000-0000F56C0000}"/>
    <cellStyle name="Normal 3 4 3 7 2 15" xfId="33333" xr:uid="{00000000-0005-0000-0000-0000F66C0000}"/>
    <cellStyle name="Normal 3 4 3 7 2 2" xfId="15857" xr:uid="{00000000-0005-0000-0000-0000F76C0000}"/>
    <cellStyle name="Normal 3 4 3 7 2 2 2" xfId="33339" xr:uid="{00000000-0005-0000-0000-0000F86C0000}"/>
    <cellStyle name="Normal 3 4 3 7 2 3" xfId="15858" xr:uid="{00000000-0005-0000-0000-0000F96C0000}"/>
    <cellStyle name="Normal 3 4 3 7 2 3 2" xfId="33340" xr:uid="{00000000-0005-0000-0000-0000FA6C0000}"/>
    <cellStyle name="Normal 3 4 3 7 2 4" xfId="15859" xr:uid="{00000000-0005-0000-0000-0000FB6C0000}"/>
    <cellStyle name="Normal 3 4 3 7 2 4 2" xfId="33341" xr:uid="{00000000-0005-0000-0000-0000FC6C0000}"/>
    <cellStyle name="Normal 3 4 3 7 2 5" xfId="15860" xr:uid="{00000000-0005-0000-0000-0000FD6C0000}"/>
    <cellStyle name="Normal 3 4 3 7 2 5 2" xfId="33342" xr:uid="{00000000-0005-0000-0000-0000FE6C0000}"/>
    <cellStyle name="Normal 3 4 3 7 2 6" xfId="15861" xr:uid="{00000000-0005-0000-0000-0000FF6C0000}"/>
    <cellStyle name="Normal 3 4 3 7 2 6 2" xfId="33343" xr:uid="{00000000-0005-0000-0000-0000006D0000}"/>
    <cellStyle name="Normal 3 4 3 7 2 7" xfId="15862" xr:uid="{00000000-0005-0000-0000-0000016D0000}"/>
    <cellStyle name="Normal 3 4 3 7 2 7 2" xfId="33344" xr:uid="{00000000-0005-0000-0000-0000026D0000}"/>
    <cellStyle name="Normal 3 4 3 7 2 8" xfId="15863" xr:uid="{00000000-0005-0000-0000-0000036D0000}"/>
    <cellStyle name="Normal 3 4 3 7 2 8 2" xfId="33345" xr:uid="{00000000-0005-0000-0000-0000046D0000}"/>
    <cellStyle name="Normal 3 4 3 7 2 9" xfId="15864" xr:uid="{00000000-0005-0000-0000-0000056D0000}"/>
    <cellStyle name="Normal 3 4 3 7 2 9 2" xfId="33346" xr:uid="{00000000-0005-0000-0000-0000066D0000}"/>
    <cellStyle name="Normal 3 4 3 7 3" xfId="15865" xr:uid="{00000000-0005-0000-0000-0000076D0000}"/>
    <cellStyle name="Normal 3 4 3 7 3 2" xfId="33347" xr:uid="{00000000-0005-0000-0000-0000086D0000}"/>
    <cellStyle name="Normal 3 4 3 7 4" xfId="15866" xr:uid="{00000000-0005-0000-0000-0000096D0000}"/>
    <cellStyle name="Normal 3 4 3 7 4 2" xfId="33348" xr:uid="{00000000-0005-0000-0000-00000A6D0000}"/>
    <cellStyle name="Normal 3 4 3 7 5" xfId="15867" xr:uid="{00000000-0005-0000-0000-00000B6D0000}"/>
    <cellStyle name="Normal 3 4 3 7 5 2" xfId="33349" xr:uid="{00000000-0005-0000-0000-00000C6D0000}"/>
    <cellStyle name="Normal 3 4 3 7 6" xfId="15868" xr:uid="{00000000-0005-0000-0000-00000D6D0000}"/>
    <cellStyle name="Normal 3 4 3 7 6 2" xfId="33350" xr:uid="{00000000-0005-0000-0000-00000E6D0000}"/>
    <cellStyle name="Normal 3 4 3 7 7" xfId="15869" xr:uid="{00000000-0005-0000-0000-00000F6D0000}"/>
    <cellStyle name="Normal 3 4 3 7 7 2" xfId="33351" xr:uid="{00000000-0005-0000-0000-0000106D0000}"/>
    <cellStyle name="Normal 3 4 3 7 8" xfId="15870" xr:uid="{00000000-0005-0000-0000-0000116D0000}"/>
    <cellStyle name="Normal 3 4 3 7 8 2" xfId="33352" xr:uid="{00000000-0005-0000-0000-0000126D0000}"/>
    <cellStyle name="Normal 3 4 3 7 9" xfId="15871" xr:uid="{00000000-0005-0000-0000-0000136D0000}"/>
    <cellStyle name="Normal 3 4 3 7 9 2" xfId="33353" xr:uid="{00000000-0005-0000-0000-0000146D0000}"/>
    <cellStyle name="Normal 3 4 3 8" xfId="15872" xr:uid="{00000000-0005-0000-0000-0000156D0000}"/>
    <cellStyle name="Normal 3 4 3 8 10" xfId="15873" xr:uid="{00000000-0005-0000-0000-0000166D0000}"/>
    <cellStyle name="Normal 3 4 3 8 10 2" xfId="33355" xr:uid="{00000000-0005-0000-0000-0000176D0000}"/>
    <cellStyle name="Normal 3 4 3 8 11" xfId="15874" xr:uid="{00000000-0005-0000-0000-0000186D0000}"/>
    <cellStyle name="Normal 3 4 3 8 11 2" xfId="33356" xr:uid="{00000000-0005-0000-0000-0000196D0000}"/>
    <cellStyle name="Normal 3 4 3 8 12" xfId="15875" xr:uid="{00000000-0005-0000-0000-00001A6D0000}"/>
    <cellStyle name="Normal 3 4 3 8 12 2" xfId="33357" xr:uid="{00000000-0005-0000-0000-00001B6D0000}"/>
    <cellStyle name="Normal 3 4 3 8 13" xfId="15876" xr:uid="{00000000-0005-0000-0000-00001C6D0000}"/>
    <cellStyle name="Normal 3 4 3 8 13 2" xfId="33358" xr:uid="{00000000-0005-0000-0000-00001D6D0000}"/>
    <cellStyle name="Normal 3 4 3 8 14" xfId="15877" xr:uid="{00000000-0005-0000-0000-00001E6D0000}"/>
    <cellStyle name="Normal 3 4 3 8 14 2" xfId="33359" xr:uid="{00000000-0005-0000-0000-00001F6D0000}"/>
    <cellStyle name="Normal 3 4 3 8 15" xfId="15878" xr:uid="{00000000-0005-0000-0000-0000206D0000}"/>
    <cellStyle name="Normal 3 4 3 8 15 2" xfId="33360" xr:uid="{00000000-0005-0000-0000-0000216D0000}"/>
    <cellStyle name="Normal 3 4 3 8 16" xfId="33354" xr:uid="{00000000-0005-0000-0000-0000226D0000}"/>
    <cellStyle name="Normal 3 4 3 8 2" xfId="15879" xr:uid="{00000000-0005-0000-0000-0000236D0000}"/>
    <cellStyle name="Normal 3 4 3 8 2 10" xfId="15880" xr:uid="{00000000-0005-0000-0000-0000246D0000}"/>
    <cellStyle name="Normal 3 4 3 8 2 10 2" xfId="33362" xr:uid="{00000000-0005-0000-0000-0000256D0000}"/>
    <cellStyle name="Normal 3 4 3 8 2 11" xfId="15881" xr:uid="{00000000-0005-0000-0000-0000266D0000}"/>
    <cellStyle name="Normal 3 4 3 8 2 11 2" xfId="33363" xr:uid="{00000000-0005-0000-0000-0000276D0000}"/>
    <cellStyle name="Normal 3 4 3 8 2 12" xfId="15882" xr:uid="{00000000-0005-0000-0000-0000286D0000}"/>
    <cellStyle name="Normal 3 4 3 8 2 12 2" xfId="33364" xr:uid="{00000000-0005-0000-0000-0000296D0000}"/>
    <cellStyle name="Normal 3 4 3 8 2 13" xfId="15883" xr:uid="{00000000-0005-0000-0000-00002A6D0000}"/>
    <cellStyle name="Normal 3 4 3 8 2 13 2" xfId="33365" xr:uid="{00000000-0005-0000-0000-00002B6D0000}"/>
    <cellStyle name="Normal 3 4 3 8 2 14" xfId="15884" xr:uid="{00000000-0005-0000-0000-00002C6D0000}"/>
    <cellStyle name="Normal 3 4 3 8 2 14 2" xfId="33366" xr:uid="{00000000-0005-0000-0000-00002D6D0000}"/>
    <cellStyle name="Normal 3 4 3 8 2 15" xfId="33361" xr:uid="{00000000-0005-0000-0000-00002E6D0000}"/>
    <cellStyle name="Normal 3 4 3 8 2 2" xfId="15885" xr:uid="{00000000-0005-0000-0000-00002F6D0000}"/>
    <cellStyle name="Normal 3 4 3 8 2 2 2" xfId="33367" xr:uid="{00000000-0005-0000-0000-0000306D0000}"/>
    <cellStyle name="Normal 3 4 3 8 2 3" xfId="15886" xr:uid="{00000000-0005-0000-0000-0000316D0000}"/>
    <cellStyle name="Normal 3 4 3 8 2 3 2" xfId="33368" xr:uid="{00000000-0005-0000-0000-0000326D0000}"/>
    <cellStyle name="Normal 3 4 3 8 2 4" xfId="15887" xr:uid="{00000000-0005-0000-0000-0000336D0000}"/>
    <cellStyle name="Normal 3 4 3 8 2 4 2" xfId="33369" xr:uid="{00000000-0005-0000-0000-0000346D0000}"/>
    <cellStyle name="Normal 3 4 3 8 2 5" xfId="15888" xr:uid="{00000000-0005-0000-0000-0000356D0000}"/>
    <cellStyle name="Normal 3 4 3 8 2 5 2" xfId="33370" xr:uid="{00000000-0005-0000-0000-0000366D0000}"/>
    <cellStyle name="Normal 3 4 3 8 2 6" xfId="15889" xr:uid="{00000000-0005-0000-0000-0000376D0000}"/>
    <cellStyle name="Normal 3 4 3 8 2 6 2" xfId="33371" xr:uid="{00000000-0005-0000-0000-0000386D0000}"/>
    <cellStyle name="Normal 3 4 3 8 2 7" xfId="15890" xr:uid="{00000000-0005-0000-0000-0000396D0000}"/>
    <cellStyle name="Normal 3 4 3 8 2 7 2" xfId="33372" xr:uid="{00000000-0005-0000-0000-00003A6D0000}"/>
    <cellStyle name="Normal 3 4 3 8 2 8" xfId="15891" xr:uid="{00000000-0005-0000-0000-00003B6D0000}"/>
    <cellStyle name="Normal 3 4 3 8 2 8 2" xfId="33373" xr:uid="{00000000-0005-0000-0000-00003C6D0000}"/>
    <cellStyle name="Normal 3 4 3 8 2 9" xfId="15892" xr:uid="{00000000-0005-0000-0000-00003D6D0000}"/>
    <cellStyle name="Normal 3 4 3 8 2 9 2" xfId="33374" xr:uid="{00000000-0005-0000-0000-00003E6D0000}"/>
    <cellStyle name="Normal 3 4 3 8 3" xfId="15893" xr:uid="{00000000-0005-0000-0000-00003F6D0000}"/>
    <cellStyle name="Normal 3 4 3 8 3 2" xfId="33375" xr:uid="{00000000-0005-0000-0000-0000406D0000}"/>
    <cellStyle name="Normal 3 4 3 8 4" xfId="15894" xr:uid="{00000000-0005-0000-0000-0000416D0000}"/>
    <cellStyle name="Normal 3 4 3 8 4 2" xfId="33376" xr:uid="{00000000-0005-0000-0000-0000426D0000}"/>
    <cellStyle name="Normal 3 4 3 8 5" xfId="15895" xr:uid="{00000000-0005-0000-0000-0000436D0000}"/>
    <cellStyle name="Normal 3 4 3 8 5 2" xfId="33377" xr:uid="{00000000-0005-0000-0000-0000446D0000}"/>
    <cellStyle name="Normal 3 4 3 8 6" xfId="15896" xr:uid="{00000000-0005-0000-0000-0000456D0000}"/>
    <cellStyle name="Normal 3 4 3 8 6 2" xfId="33378" xr:uid="{00000000-0005-0000-0000-0000466D0000}"/>
    <cellStyle name="Normal 3 4 3 8 7" xfId="15897" xr:uid="{00000000-0005-0000-0000-0000476D0000}"/>
    <cellStyle name="Normal 3 4 3 8 7 2" xfId="33379" xr:uid="{00000000-0005-0000-0000-0000486D0000}"/>
    <cellStyle name="Normal 3 4 3 8 8" xfId="15898" xr:uid="{00000000-0005-0000-0000-0000496D0000}"/>
    <cellStyle name="Normal 3 4 3 8 8 2" xfId="33380" xr:uid="{00000000-0005-0000-0000-00004A6D0000}"/>
    <cellStyle name="Normal 3 4 3 8 9" xfId="15899" xr:uid="{00000000-0005-0000-0000-00004B6D0000}"/>
    <cellStyle name="Normal 3 4 3 8 9 2" xfId="33381" xr:uid="{00000000-0005-0000-0000-00004C6D0000}"/>
    <cellStyle name="Normal 3 4 3 9" xfId="15900" xr:uid="{00000000-0005-0000-0000-00004D6D0000}"/>
    <cellStyle name="Normal 3 4 3 9 10" xfId="15901" xr:uid="{00000000-0005-0000-0000-00004E6D0000}"/>
    <cellStyle name="Normal 3 4 3 9 10 2" xfId="33383" xr:uid="{00000000-0005-0000-0000-00004F6D0000}"/>
    <cellStyle name="Normal 3 4 3 9 11" xfId="15902" xr:uid="{00000000-0005-0000-0000-0000506D0000}"/>
    <cellStyle name="Normal 3 4 3 9 11 2" xfId="33384" xr:uid="{00000000-0005-0000-0000-0000516D0000}"/>
    <cellStyle name="Normal 3 4 3 9 12" xfId="15903" xr:uid="{00000000-0005-0000-0000-0000526D0000}"/>
    <cellStyle name="Normal 3 4 3 9 12 2" xfId="33385" xr:uid="{00000000-0005-0000-0000-0000536D0000}"/>
    <cellStyle name="Normal 3 4 3 9 13" xfId="15904" xr:uid="{00000000-0005-0000-0000-0000546D0000}"/>
    <cellStyle name="Normal 3 4 3 9 13 2" xfId="33386" xr:uid="{00000000-0005-0000-0000-0000556D0000}"/>
    <cellStyle name="Normal 3 4 3 9 14" xfId="15905" xr:uid="{00000000-0005-0000-0000-0000566D0000}"/>
    <cellStyle name="Normal 3 4 3 9 14 2" xfId="33387" xr:uid="{00000000-0005-0000-0000-0000576D0000}"/>
    <cellStyle name="Normal 3 4 3 9 15" xfId="33382" xr:uid="{00000000-0005-0000-0000-0000586D0000}"/>
    <cellStyle name="Normal 3 4 3 9 2" xfId="15906" xr:uid="{00000000-0005-0000-0000-0000596D0000}"/>
    <cellStyle name="Normal 3 4 3 9 2 2" xfId="33388" xr:uid="{00000000-0005-0000-0000-00005A6D0000}"/>
    <cellStyle name="Normal 3 4 3 9 3" xfId="15907" xr:uid="{00000000-0005-0000-0000-00005B6D0000}"/>
    <cellStyle name="Normal 3 4 3 9 3 2" xfId="33389" xr:uid="{00000000-0005-0000-0000-00005C6D0000}"/>
    <cellStyle name="Normal 3 4 3 9 4" xfId="15908" xr:uid="{00000000-0005-0000-0000-00005D6D0000}"/>
    <cellStyle name="Normal 3 4 3 9 4 2" xfId="33390" xr:uid="{00000000-0005-0000-0000-00005E6D0000}"/>
    <cellStyle name="Normal 3 4 3 9 5" xfId="15909" xr:uid="{00000000-0005-0000-0000-00005F6D0000}"/>
    <cellStyle name="Normal 3 4 3 9 5 2" xfId="33391" xr:uid="{00000000-0005-0000-0000-0000606D0000}"/>
    <cellStyle name="Normal 3 4 3 9 6" xfId="15910" xr:uid="{00000000-0005-0000-0000-0000616D0000}"/>
    <cellStyle name="Normal 3 4 3 9 6 2" xfId="33392" xr:uid="{00000000-0005-0000-0000-0000626D0000}"/>
    <cellStyle name="Normal 3 4 3 9 7" xfId="15911" xr:uid="{00000000-0005-0000-0000-0000636D0000}"/>
    <cellStyle name="Normal 3 4 3 9 7 2" xfId="33393" xr:uid="{00000000-0005-0000-0000-0000646D0000}"/>
    <cellStyle name="Normal 3 4 3 9 8" xfId="15912" xr:uid="{00000000-0005-0000-0000-0000656D0000}"/>
    <cellStyle name="Normal 3 4 3 9 8 2" xfId="33394" xr:uid="{00000000-0005-0000-0000-0000666D0000}"/>
    <cellStyle name="Normal 3 4 3 9 9" xfId="15913" xr:uid="{00000000-0005-0000-0000-0000676D0000}"/>
    <cellStyle name="Normal 3 4 3 9 9 2" xfId="33395" xr:uid="{00000000-0005-0000-0000-0000686D0000}"/>
    <cellStyle name="Normal 3 4 4" xfId="15914" xr:uid="{00000000-0005-0000-0000-0000696D0000}"/>
    <cellStyle name="Normal 3 4 4 10" xfId="15915" xr:uid="{00000000-0005-0000-0000-00006A6D0000}"/>
    <cellStyle name="Normal 3 4 4 10 10" xfId="15916" xr:uid="{00000000-0005-0000-0000-00006B6D0000}"/>
    <cellStyle name="Normal 3 4 4 10 10 2" xfId="33398" xr:uid="{00000000-0005-0000-0000-00006C6D0000}"/>
    <cellStyle name="Normal 3 4 4 10 11" xfId="15917" xr:uid="{00000000-0005-0000-0000-00006D6D0000}"/>
    <cellStyle name="Normal 3 4 4 10 11 2" xfId="33399" xr:uid="{00000000-0005-0000-0000-00006E6D0000}"/>
    <cellStyle name="Normal 3 4 4 10 12" xfId="15918" xr:uid="{00000000-0005-0000-0000-00006F6D0000}"/>
    <cellStyle name="Normal 3 4 4 10 12 2" xfId="33400" xr:uid="{00000000-0005-0000-0000-0000706D0000}"/>
    <cellStyle name="Normal 3 4 4 10 13" xfId="15919" xr:uid="{00000000-0005-0000-0000-0000716D0000}"/>
    <cellStyle name="Normal 3 4 4 10 13 2" xfId="33401" xr:uid="{00000000-0005-0000-0000-0000726D0000}"/>
    <cellStyle name="Normal 3 4 4 10 14" xfId="15920" xr:uid="{00000000-0005-0000-0000-0000736D0000}"/>
    <cellStyle name="Normal 3 4 4 10 14 2" xfId="33402" xr:uid="{00000000-0005-0000-0000-0000746D0000}"/>
    <cellStyle name="Normal 3 4 4 10 15" xfId="33397" xr:uid="{00000000-0005-0000-0000-0000756D0000}"/>
    <cellStyle name="Normal 3 4 4 10 2" xfId="15921" xr:uid="{00000000-0005-0000-0000-0000766D0000}"/>
    <cellStyle name="Normal 3 4 4 10 2 2" xfId="33403" xr:uid="{00000000-0005-0000-0000-0000776D0000}"/>
    <cellStyle name="Normal 3 4 4 10 3" xfId="15922" xr:uid="{00000000-0005-0000-0000-0000786D0000}"/>
    <cellStyle name="Normal 3 4 4 10 3 2" xfId="33404" xr:uid="{00000000-0005-0000-0000-0000796D0000}"/>
    <cellStyle name="Normal 3 4 4 10 4" xfId="15923" xr:uid="{00000000-0005-0000-0000-00007A6D0000}"/>
    <cellStyle name="Normal 3 4 4 10 4 2" xfId="33405" xr:uid="{00000000-0005-0000-0000-00007B6D0000}"/>
    <cellStyle name="Normal 3 4 4 10 5" xfId="15924" xr:uid="{00000000-0005-0000-0000-00007C6D0000}"/>
    <cellStyle name="Normal 3 4 4 10 5 2" xfId="33406" xr:uid="{00000000-0005-0000-0000-00007D6D0000}"/>
    <cellStyle name="Normal 3 4 4 10 6" xfId="15925" xr:uid="{00000000-0005-0000-0000-00007E6D0000}"/>
    <cellStyle name="Normal 3 4 4 10 6 2" xfId="33407" xr:uid="{00000000-0005-0000-0000-00007F6D0000}"/>
    <cellStyle name="Normal 3 4 4 10 7" xfId="15926" xr:uid="{00000000-0005-0000-0000-0000806D0000}"/>
    <cellStyle name="Normal 3 4 4 10 7 2" xfId="33408" xr:uid="{00000000-0005-0000-0000-0000816D0000}"/>
    <cellStyle name="Normal 3 4 4 10 8" xfId="15927" xr:uid="{00000000-0005-0000-0000-0000826D0000}"/>
    <cellStyle name="Normal 3 4 4 10 8 2" xfId="33409" xr:uid="{00000000-0005-0000-0000-0000836D0000}"/>
    <cellStyle name="Normal 3 4 4 10 9" xfId="15928" xr:uid="{00000000-0005-0000-0000-0000846D0000}"/>
    <cellStyle name="Normal 3 4 4 10 9 2" xfId="33410" xr:uid="{00000000-0005-0000-0000-0000856D0000}"/>
    <cellStyle name="Normal 3 4 4 11" xfId="15929" xr:uid="{00000000-0005-0000-0000-0000866D0000}"/>
    <cellStyle name="Normal 3 4 4 11 10" xfId="15930" xr:uid="{00000000-0005-0000-0000-0000876D0000}"/>
    <cellStyle name="Normal 3 4 4 11 10 2" xfId="33412" xr:uid="{00000000-0005-0000-0000-0000886D0000}"/>
    <cellStyle name="Normal 3 4 4 11 11" xfId="15931" xr:uid="{00000000-0005-0000-0000-0000896D0000}"/>
    <cellStyle name="Normal 3 4 4 11 11 2" xfId="33413" xr:uid="{00000000-0005-0000-0000-00008A6D0000}"/>
    <cellStyle name="Normal 3 4 4 11 12" xfId="15932" xr:uid="{00000000-0005-0000-0000-00008B6D0000}"/>
    <cellStyle name="Normal 3 4 4 11 12 2" xfId="33414" xr:uid="{00000000-0005-0000-0000-00008C6D0000}"/>
    <cellStyle name="Normal 3 4 4 11 13" xfId="15933" xr:uid="{00000000-0005-0000-0000-00008D6D0000}"/>
    <cellStyle name="Normal 3 4 4 11 13 2" xfId="33415" xr:uid="{00000000-0005-0000-0000-00008E6D0000}"/>
    <cellStyle name="Normal 3 4 4 11 14" xfId="15934" xr:uid="{00000000-0005-0000-0000-00008F6D0000}"/>
    <cellStyle name="Normal 3 4 4 11 14 2" xfId="33416" xr:uid="{00000000-0005-0000-0000-0000906D0000}"/>
    <cellStyle name="Normal 3 4 4 11 15" xfId="33411" xr:uid="{00000000-0005-0000-0000-0000916D0000}"/>
    <cellStyle name="Normal 3 4 4 11 2" xfId="15935" xr:uid="{00000000-0005-0000-0000-0000926D0000}"/>
    <cellStyle name="Normal 3 4 4 11 2 2" xfId="33417" xr:uid="{00000000-0005-0000-0000-0000936D0000}"/>
    <cellStyle name="Normal 3 4 4 11 3" xfId="15936" xr:uid="{00000000-0005-0000-0000-0000946D0000}"/>
    <cellStyle name="Normal 3 4 4 11 3 2" xfId="33418" xr:uid="{00000000-0005-0000-0000-0000956D0000}"/>
    <cellStyle name="Normal 3 4 4 11 4" xfId="15937" xr:uid="{00000000-0005-0000-0000-0000966D0000}"/>
    <cellStyle name="Normal 3 4 4 11 4 2" xfId="33419" xr:uid="{00000000-0005-0000-0000-0000976D0000}"/>
    <cellStyle name="Normal 3 4 4 11 5" xfId="15938" xr:uid="{00000000-0005-0000-0000-0000986D0000}"/>
    <cellStyle name="Normal 3 4 4 11 5 2" xfId="33420" xr:uid="{00000000-0005-0000-0000-0000996D0000}"/>
    <cellStyle name="Normal 3 4 4 11 6" xfId="15939" xr:uid="{00000000-0005-0000-0000-00009A6D0000}"/>
    <cellStyle name="Normal 3 4 4 11 6 2" xfId="33421" xr:uid="{00000000-0005-0000-0000-00009B6D0000}"/>
    <cellStyle name="Normal 3 4 4 11 7" xfId="15940" xr:uid="{00000000-0005-0000-0000-00009C6D0000}"/>
    <cellStyle name="Normal 3 4 4 11 7 2" xfId="33422" xr:uid="{00000000-0005-0000-0000-00009D6D0000}"/>
    <cellStyle name="Normal 3 4 4 11 8" xfId="15941" xr:uid="{00000000-0005-0000-0000-00009E6D0000}"/>
    <cellStyle name="Normal 3 4 4 11 8 2" xfId="33423" xr:uid="{00000000-0005-0000-0000-00009F6D0000}"/>
    <cellStyle name="Normal 3 4 4 11 9" xfId="15942" xr:uid="{00000000-0005-0000-0000-0000A06D0000}"/>
    <cellStyle name="Normal 3 4 4 11 9 2" xfId="33424" xr:uid="{00000000-0005-0000-0000-0000A16D0000}"/>
    <cellStyle name="Normal 3 4 4 12" xfId="15943" xr:uid="{00000000-0005-0000-0000-0000A26D0000}"/>
    <cellStyle name="Normal 3 4 4 12 10" xfId="15944" xr:uid="{00000000-0005-0000-0000-0000A36D0000}"/>
    <cellStyle name="Normal 3 4 4 12 10 2" xfId="33426" xr:uid="{00000000-0005-0000-0000-0000A46D0000}"/>
    <cellStyle name="Normal 3 4 4 12 11" xfId="15945" xr:uid="{00000000-0005-0000-0000-0000A56D0000}"/>
    <cellStyle name="Normal 3 4 4 12 11 2" xfId="33427" xr:uid="{00000000-0005-0000-0000-0000A66D0000}"/>
    <cellStyle name="Normal 3 4 4 12 12" xfId="15946" xr:uid="{00000000-0005-0000-0000-0000A76D0000}"/>
    <cellStyle name="Normal 3 4 4 12 12 2" xfId="33428" xr:uid="{00000000-0005-0000-0000-0000A86D0000}"/>
    <cellStyle name="Normal 3 4 4 12 13" xfId="15947" xr:uid="{00000000-0005-0000-0000-0000A96D0000}"/>
    <cellStyle name="Normal 3 4 4 12 13 2" xfId="33429" xr:uid="{00000000-0005-0000-0000-0000AA6D0000}"/>
    <cellStyle name="Normal 3 4 4 12 14" xfId="15948" xr:uid="{00000000-0005-0000-0000-0000AB6D0000}"/>
    <cellStyle name="Normal 3 4 4 12 14 2" xfId="33430" xr:uid="{00000000-0005-0000-0000-0000AC6D0000}"/>
    <cellStyle name="Normal 3 4 4 12 15" xfId="33425" xr:uid="{00000000-0005-0000-0000-0000AD6D0000}"/>
    <cellStyle name="Normal 3 4 4 12 2" xfId="15949" xr:uid="{00000000-0005-0000-0000-0000AE6D0000}"/>
    <cellStyle name="Normal 3 4 4 12 2 2" xfId="33431" xr:uid="{00000000-0005-0000-0000-0000AF6D0000}"/>
    <cellStyle name="Normal 3 4 4 12 3" xfId="15950" xr:uid="{00000000-0005-0000-0000-0000B06D0000}"/>
    <cellStyle name="Normal 3 4 4 12 3 2" xfId="33432" xr:uid="{00000000-0005-0000-0000-0000B16D0000}"/>
    <cellStyle name="Normal 3 4 4 12 4" xfId="15951" xr:uid="{00000000-0005-0000-0000-0000B26D0000}"/>
    <cellStyle name="Normal 3 4 4 12 4 2" xfId="33433" xr:uid="{00000000-0005-0000-0000-0000B36D0000}"/>
    <cellStyle name="Normal 3 4 4 12 5" xfId="15952" xr:uid="{00000000-0005-0000-0000-0000B46D0000}"/>
    <cellStyle name="Normal 3 4 4 12 5 2" xfId="33434" xr:uid="{00000000-0005-0000-0000-0000B56D0000}"/>
    <cellStyle name="Normal 3 4 4 12 6" xfId="15953" xr:uid="{00000000-0005-0000-0000-0000B66D0000}"/>
    <cellStyle name="Normal 3 4 4 12 6 2" xfId="33435" xr:uid="{00000000-0005-0000-0000-0000B76D0000}"/>
    <cellStyle name="Normal 3 4 4 12 7" xfId="15954" xr:uid="{00000000-0005-0000-0000-0000B86D0000}"/>
    <cellStyle name="Normal 3 4 4 12 7 2" xfId="33436" xr:uid="{00000000-0005-0000-0000-0000B96D0000}"/>
    <cellStyle name="Normal 3 4 4 12 8" xfId="15955" xr:uid="{00000000-0005-0000-0000-0000BA6D0000}"/>
    <cellStyle name="Normal 3 4 4 12 8 2" xfId="33437" xr:uid="{00000000-0005-0000-0000-0000BB6D0000}"/>
    <cellStyle name="Normal 3 4 4 12 9" xfId="15956" xr:uid="{00000000-0005-0000-0000-0000BC6D0000}"/>
    <cellStyle name="Normal 3 4 4 12 9 2" xfId="33438" xr:uid="{00000000-0005-0000-0000-0000BD6D0000}"/>
    <cellStyle name="Normal 3 4 4 13" xfId="15957" xr:uid="{00000000-0005-0000-0000-0000BE6D0000}"/>
    <cellStyle name="Normal 3 4 4 13 10" xfId="15958" xr:uid="{00000000-0005-0000-0000-0000BF6D0000}"/>
    <cellStyle name="Normal 3 4 4 13 10 2" xfId="33440" xr:uid="{00000000-0005-0000-0000-0000C06D0000}"/>
    <cellStyle name="Normal 3 4 4 13 11" xfId="15959" xr:uid="{00000000-0005-0000-0000-0000C16D0000}"/>
    <cellStyle name="Normal 3 4 4 13 11 2" xfId="33441" xr:uid="{00000000-0005-0000-0000-0000C26D0000}"/>
    <cellStyle name="Normal 3 4 4 13 12" xfId="15960" xr:uid="{00000000-0005-0000-0000-0000C36D0000}"/>
    <cellStyle name="Normal 3 4 4 13 12 2" xfId="33442" xr:uid="{00000000-0005-0000-0000-0000C46D0000}"/>
    <cellStyle name="Normal 3 4 4 13 13" xfId="15961" xr:uid="{00000000-0005-0000-0000-0000C56D0000}"/>
    <cellStyle name="Normal 3 4 4 13 13 2" xfId="33443" xr:uid="{00000000-0005-0000-0000-0000C66D0000}"/>
    <cellStyle name="Normal 3 4 4 13 14" xfId="15962" xr:uid="{00000000-0005-0000-0000-0000C76D0000}"/>
    <cellStyle name="Normal 3 4 4 13 14 2" xfId="33444" xr:uid="{00000000-0005-0000-0000-0000C86D0000}"/>
    <cellStyle name="Normal 3 4 4 13 15" xfId="33439" xr:uid="{00000000-0005-0000-0000-0000C96D0000}"/>
    <cellStyle name="Normal 3 4 4 13 2" xfId="15963" xr:uid="{00000000-0005-0000-0000-0000CA6D0000}"/>
    <cellStyle name="Normal 3 4 4 13 2 2" xfId="33445" xr:uid="{00000000-0005-0000-0000-0000CB6D0000}"/>
    <cellStyle name="Normal 3 4 4 13 3" xfId="15964" xr:uid="{00000000-0005-0000-0000-0000CC6D0000}"/>
    <cellStyle name="Normal 3 4 4 13 3 2" xfId="33446" xr:uid="{00000000-0005-0000-0000-0000CD6D0000}"/>
    <cellStyle name="Normal 3 4 4 13 4" xfId="15965" xr:uid="{00000000-0005-0000-0000-0000CE6D0000}"/>
    <cellStyle name="Normal 3 4 4 13 4 2" xfId="33447" xr:uid="{00000000-0005-0000-0000-0000CF6D0000}"/>
    <cellStyle name="Normal 3 4 4 13 5" xfId="15966" xr:uid="{00000000-0005-0000-0000-0000D06D0000}"/>
    <cellStyle name="Normal 3 4 4 13 5 2" xfId="33448" xr:uid="{00000000-0005-0000-0000-0000D16D0000}"/>
    <cellStyle name="Normal 3 4 4 13 6" xfId="15967" xr:uid="{00000000-0005-0000-0000-0000D26D0000}"/>
    <cellStyle name="Normal 3 4 4 13 6 2" xfId="33449" xr:uid="{00000000-0005-0000-0000-0000D36D0000}"/>
    <cellStyle name="Normal 3 4 4 13 7" xfId="15968" xr:uid="{00000000-0005-0000-0000-0000D46D0000}"/>
    <cellStyle name="Normal 3 4 4 13 7 2" xfId="33450" xr:uid="{00000000-0005-0000-0000-0000D56D0000}"/>
    <cellStyle name="Normal 3 4 4 13 8" xfId="15969" xr:uid="{00000000-0005-0000-0000-0000D66D0000}"/>
    <cellStyle name="Normal 3 4 4 13 8 2" xfId="33451" xr:uid="{00000000-0005-0000-0000-0000D76D0000}"/>
    <cellStyle name="Normal 3 4 4 13 9" xfId="15970" xr:uid="{00000000-0005-0000-0000-0000D86D0000}"/>
    <cellStyle name="Normal 3 4 4 13 9 2" xfId="33452" xr:uid="{00000000-0005-0000-0000-0000D96D0000}"/>
    <cellStyle name="Normal 3 4 4 14" xfId="15971" xr:uid="{00000000-0005-0000-0000-0000DA6D0000}"/>
    <cellStyle name="Normal 3 4 4 14 10" xfId="15972" xr:uid="{00000000-0005-0000-0000-0000DB6D0000}"/>
    <cellStyle name="Normal 3 4 4 14 10 2" xfId="33454" xr:uid="{00000000-0005-0000-0000-0000DC6D0000}"/>
    <cellStyle name="Normal 3 4 4 14 11" xfId="15973" xr:uid="{00000000-0005-0000-0000-0000DD6D0000}"/>
    <cellStyle name="Normal 3 4 4 14 11 2" xfId="33455" xr:uid="{00000000-0005-0000-0000-0000DE6D0000}"/>
    <cellStyle name="Normal 3 4 4 14 12" xfId="15974" xr:uid="{00000000-0005-0000-0000-0000DF6D0000}"/>
    <cellStyle name="Normal 3 4 4 14 12 2" xfId="33456" xr:uid="{00000000-0005-0000-0000-0000E06D0000}"/>
    <cellStyle name="Normal 3 4 4 14 13" xfId="15975" xr:uid="{00000000-0005-0000-0000-0000E16D0000}"/>
    <cellStyle name="Normal 3 4 4 14 13 2" xfId="33457" xr:uid="{00000000-0005-0000-0000-0000E26D0000}"/>
    <cellStyle name="Normal 3 4 4 14 14" xfId="15976" xr:uid="{00000000-0005-0000-0000-0000E36D0000}"/>
    <cellStyle name="Normal 3 4 4 14 14 2" xfId="33458" xr:uid="{00000000-0005-0000-0000-0000E46D0000}"/>
    <cellStyle name="Normal 3 4 4 14 15" xfId="33453" xr:uid="{00000000-0005-0000-0000-0000E56D0000}"/>
    <cellStyle name="Normal 3 4 4 14 2" xfId="15977" xr:uid="{00000000-0005-0000-0000-0000E66D0000}"/>
    <cellStyle name="Normal 3 4 4 14 2 2" xfId="33459" xr:uid="{00000000-0005-0000-0000-0000E76D0000}"/>
    <cellStyle name="Normal 3 4 4 14 3" xfId="15978" xr:uid="{00000000-0005-0000-0000-0000E86D0000}"/>
    <cellStyle name="Normal 3 4 4 14 3 2" xfId="33460" xr:uid="{00000000-0005-0000-0000-0000E96D0000}"/>
    <cellStyle name="Normal 3 4 4 14 4" xfId="15979" xr:uid="{00000000-0005-0000-0000-0000EA6D0000}"/>
    <cellStyle name="Normal 3 4 4 14 4 2" xfId="33461" xr:uid="{00000000-0005-0000-0000-0000EB6D0000}"/>
    <cellStyle name="Normal 3 4 4 14 5" xfId="15980" xr:uid="{00000000-0005-0000-0000-0000EC6D0000}"/>
    <cellStyle name="Normal 3 4 4 14 5 2" xfId="33462" xr:uid="{00000000-0005-0000-0000-0000ED6D0000}"/>
    <cellStyle name="Normal 3 4 4 14 6" xfId="15981" xr:uid="{00000000-0005-0000-0000-0000EE6D0000}"/>
    <cellStyle name="Normal 3 4 4 14 6 2" xfId="33463" xr:uid="{00000000-0005-0000-0000-0000EF6D0000}"/>
    <cellStyle name="Normal 3 4 4 14 7" xfId="15982" xr:uid="{00000000-0005-0000-0000-0000F06D0000}"/>
    <cellStyle name="Normal 3 4 4 14 7 2" xfId="33464" xr:uid="{00000000-0005-0000-0000-0000F16D0000}"/>
    <cellStyle name="Normal 3 4 4 14 8" xfId="15983" xr:uid="{00000000-0005-0000-0000-0000F26D0000}"/>
    <cellStyle name="Normal 3 4 4 14 8 2" xfId="33465" xr:uid="{00000000-0005-0000-0000-0000F36D0000}"/>
    <cellStyle name="Normal 3 4 4 14 9" xfId="15984" xr:uid="{00000000-0005-0000-0000-0000F46D0000}"/>
    <cellStyle name="Normal 3 4 4 14 9 2" xfId="33466" xr:uid="{00000000-0005-0000-0000-0000F56D0000}"/>
    <cellStyle name="Normal 3 4 4 15" xfId="15985" xr:uid="{00000000-0005-0000-0000-0000F66D0000}"/>
    <cellStyle name="Normal 3 4 4 15 2" xfId="33467" xr:uid="{00000000-0005-0000-0000-0000F76D0000}"/>
    <cellStyle name="Normal 3 4 4 16" xfId="15986" xr:uid="{00000000-0005-0000-0000-0000F86D0000}"/>
    <cellStyle name="Normal 3 4 4 16 2" xfId="33468" xr:uid="{00000000-0005-0000-0000-0000F96D0000}"/>
    <cellStyle name="Normal 3 4 4 17" xfId="15987" xr:uid="{00000000-0005-0000-0000-0000FA6D0000}"/>
    <cellStyle name="Normal 3 4 4 17 2" xfId="33469" xr:uid="{00000000-0005-0000-0000-0000FB6D0000}"/>
    <cellStyle name="Normal 3 4 4 18" xfId="15988" xr:uid="{00000000-0005-0000-0000-0000FC6D0000}"/>
    <cellStyle name="Normal 3 4 4 18 2" xfId="33470" xr:uid="{00000000-0005-0000-0000-0000FD6D0000}"/>
    <cellStyle name="Normal 3 4 4 19" xfId="15989" xr:uid="{00000000-0005-0000-0000-0000FE6D0000}"/>
    <cellStyle name="Normal 3 4 4 19 2" xfId="33471" xr:uid="{00000000-0005-0000-0000-0000FF6D0000}"/>
    <cellStyle name="Normal 3 4 4 2" xfId="15990" xr:uid="{00000000-0005-0000-0000-0000006E0000}"/>
    <cellStyle name="Normal 3 4 4 20" xfId="15991" xr:uid="{00000000-0005-0000-0000-0000016E0000}"/>
    <cellStyle name="Normal 3 4 4 20 2" xfId="33472" xr:uid="{00000000-0005-0000-0000-0000026E0000}"/>
    <cellStyle name="Normal 3 4 4 21" xfId="15992" xr:uid="{00000000-0005-0000-0000-0000036E0000}"/>
    <cellStyle name="Normal 3 4 4 21 2" xfId="33473" xr:uid="{00000000-0005-0000-0000-0000046E0000}"/>
    <cellStyle name="Normal 3 4 4 22" xfId="15993" xr:uid="{00000000-0005-0000-0000-0000056E0000}"/>
    <cellStyle name="Normal 3 4 4 22 2" xfId="33474" xr:uid="{00000000-0005-0000-0000-0000066E0000}"/>
    <cellStyle name="Normal 3 4 4 23" xfId="15994" xr:uid="{00000000-0005-0000-0000-0000076E0000}"/>
    <cellStyle name="Normal 3 4 4 23 2" xfId="33475" xr:uid="{00000000-0005-0000-0000-0000086E0000}"/>
    <cellStyle name="Normal 3 4 4 24" xfId="15995" xr:uid="{00000000-0005-0000-0000-0000096E0000}"/>
    <cellStyle name="Normal 3 4 4 24 2" xfId="33476" xr:uid="{00000000-0005-0000-0000-00000A6E0000}"/>
    <cellStyle name="Normal 3 4 4 25" xfId="15996" xr:uid="{00000000-0005-0000-0000-00000B6E0000}"/>
    <cellStyle name="Normal 3 4 4 25 2" xfId="33477" xr:uid="{00000000-0005-0000-0000-00000C6E0000}"/>
    <cellStyle name="Normal 3 4 4 26" xfId="15997" xr:uid="{00000000-0005-0000-0000-00000D6E0000}"/>
    <cellStyle name="Normal 3 4 4 26 2" xfId="33478" xr:uid="{00000000-0005-0000-0000-00000E6E0000}"/>
    <cellStyle name="Normal 3 4 4 27" xfId="15998" xr:uid="{00000000-0005-0000-0000-00000F6E0000}"/>
    <cellStyle name="Normal 3 4 4 27 2" xfId="33479" xr:uid="{00000000-0005-0000-0000-0000106E0000}"/>
    <cellStyle name="Normal 3 4 4 28" xfId="33396" xr:uid="{00000000-0005-0000-0000-0000116E0000}"/>
    <cellStyle name="Normal 3 4 4 3" xfId="15999" xr:uid="{00000000-0005-0000-0000-0000126E0000}"/>
    <cellStyle name="Normal 3 4 4 4" xfId="16000" xr:uid="{00000000-0005-0000-0000-0000136E0000}"/>
    <cellStyle name="Normal 3 4 4 5" xfId="16001" xr:uid="{00000000-0005-0000-0000-0000146E0000}"/>
    <cellStyle name="Normal 3 4 4 6" xfId="16002" xr:uid="{00000000-0005-0000-0000-0000156E0000}"/>
    <cellStyle name="Normal 3 4 4 6 10" xfId="16003" xr:uid="{00000000-0005-0000-0000-0000166E0000}"/>
    <cellStyle name="Normal 3 4 4 6 10 2" xfId="33481" xr:uid="{00000000-0005-0000-0000-0000176E0000}"/>
    <cellStyle name="Normal 3 4 4 6 11" xfId="16004" xr:uid="{00000000-0005-0000-0000-0000186E0000}"/>
    <cellStyle name="Normal 3 4 4 6 11 2" xfId="33482" xr:uid="{00000000-0005-0000-0000-0000196E0000}"/>
    <cellStyle name="Normal 3 4 4 6 12" xfId="16005" xr:uid="{00000000-0005-0000-0000-00001A6E0000}"/>
    <cellStyle name="Normal 3 4 4 6 12 2" xfId="33483" xr:uid="{00000000-0005-0000-0000-00001B6E0000}"/>
    <cellStyle name="Normal 3 4 4 6 13" xfId="16006" xr:uid="{00000000-0005-0000-0000-00001C6E0000}"/>
    <cellStyle name="Normal 3 4 4 6 13 2" xfId="33484" xr:uid="{00000000-0005-0000-0000-00001D6E0000}"/>
    <cellStyle name="Normal 3 4 4 6 14" xfId="16007" xr:uid="{00000000-0005-0000-0000-00001E6E0000}"/>
    <cellStyle name="Normal 3 4 4 6 14 2" xfId="33485" xr:uid="{00000000-0005-0000-0000-00001F6E0000}"/>
    <cellStyle name="Normal 3 4 4 6 15" xfId="16008" xr:uid="{00000000-0005-0000-0000-0000206E0000}"/>
    <cellStyle name="Normal 3 4 4 6 15 2" xfId="33486" xr:uid="{00000000-0005-0000-0000-0000216E0000}"/>
    <cellStyle name="Normal 3 4 4 6 16" xfId="33480" xr:uid="{00000000-0005-0000-0000-0000226E0000}"/>
    <cellStyle name="Normal 3 4 4 6 2" xfId="16009" xr:uid="{00000000-0005-0000-0000-0000236E0000}"/>
    <cellStyle name="Normal 3 4 4 6 2 10" xfId="16010" xr:uid="{00000000-0005-0000-0000-0000246E0000}"/>
    <cellStyle name="Normal 3 4 4 6 2 10 2" xfId="33488" xr:uid="{00000000-0005-0000-0000-0000256E0000}"/>
    <cellStyle name="Normal 3 4 4 6 2 11" xfId="16011" xr:uid="{00000000-0005-0000-0000-0000266E0000}"/>
    <cellStyle name="Normal 3 4 4 6 2 11 2" xfId="33489" xr:uid="{00000000-0005-0000-0000-0000276E0000}"/>
    <cellStyle name="Normal 3 4 4 6 2 12" xfId="16012" xr:uid="{00000000-0005-0000-0000-0000286E0000}"/>
    <cellStyle name="Normal 3 4 4 6 2 12 2" xfId="33490" xr:uid="{00000000-0005-0000-0000-0000296E0000}"/>
    <cellStyle name="Normal 3 4 4 6 2 13" xfId="16013" xr:uid="{00000000-0005-0000-0000-00002A6E0000}"/>
    <cellStyle name="Normal 3 4 4 6 2 13 2" xfId="33491" xr:uid="{00000000-0005-0000-0000-00002B6E0000}"/>
    <cellStyle name="Normal 3 4 4 6 2 14" xfId="16014" xr:uid="{00000000-0005-0000-0000-00002C6E0000}"/>
    <cellStyle name="Normal 3 4 4 6 2 14 2" xfId="33492" xr:uid="{00000000-0005-0000-0000-00002D6E0000}"/>
    <cellStyle name="Normal 3 4 4 6 2 15" xfId="33487" xr:uid="{00000000-0005-0000-0000-00002E6E0000}"/>
    <cellStyle name="Normal 3 4 4 6 2 2" xfId="16015" xr:uid="{00000000-0005-0000-0000-00002F6E0000}"/>
    <cellStyle name="Normal 3 4 4 6 2 2 2" xfId="33493" xr:uid="{00000000-0005-0000-0000-0000306E0000}"/>
    <cellStyle name="Normal 3 4 4 6 2 3" xfId="16016" xr:uid="{00000000-0005-0000-0000-0000316E0000}"/>
    <cellStyle name="Normal 3 4 4 6 2 3 2" xfId="33494" xr:uid="{00000000-0005-0000-0000-0000326E0000}"/>
    <cellStyle name="Normal 3 4 4 6 2 4" xfId="16017" xr:uid="{00000000-0005-0000-0000-0000336E0000}"/>
    <cellStyle name="Normal 3 4 4 6 2 4 2" xfId="33495" xr:uid="{00000000-0005-0000-0000-0000346E0000}"/>
    <cellStyle name="Normal 3 4 4 6 2 5" xfId="16018" xr:uid="{00000000-0005-0000-0000-0000356E0000}"/>
    <cellStyle name="Normal 3 4 4 6 2 5 2" xfId="33496" xr:uid="{00000000-0005-0000-0000-0000366E0000}"/>
    <cellStyle name="Normal 3 4 4 6 2 6" xfId="16019" xr:uid="{00000000-0005-0000-0000-0000376E0000}"/>
    <cellStyle name="Normal 3 4 4 6 2 6 2" xfId="33497" xr:uid="{00000000-0005-0000-0000-0000386E0000}"/>
    <cellStyle name="Normal 3 4 4 6 2 7" xfId="16020" xr:uid="{00000000-0005-0000-0000-0000396E0000}"/>
    <cellStyle name="Normal 3 4 4 6 2 7 2" xfId="33498" xr:uid="{00000000-0005-0000-0000-00003A6E0000}"/>
    <cellStyle name="Normal 3 4 4 6 2 8" xfId="16021" xr:uid="{00000000-0005-0000-0000-00003B6E0000}"/>
    <cellStyle name="Normal 3 4 4 6 2 8 2" xfId="33499" xr:uid="{00000000-0005-0000-0000-00003C6E0000}"/>
    <cellStyle name="Normal 3 4 4 6 2 9" xfId="16022" xr:uid="{00000000-0005-0000-0000-00003D6E0000}"/>
    <cellStyle name="Normal 3 4 4 6 2 9 2" xfId="33500" xr:uid="{00000000-0005-0000-0000-00003E6E0000}"/>
    <cellStyle name="Normal 3 4 4 6 3" xfId="16023" xr:uid="{00000000-0005-0000-0000-00003F6E0000}"/>
    <cellStyle name="Normal 3 4 4 6 3 2" xfId="33501" xr:uid="{00000000-0005-0000-0000-0000406E0000}"/>
    <cellStyle name="Normal 3 4 4 6 4" xfId="16024" xr:uid="{00000000-0005-0000-0000-0000416E0000}"/>
    <cellStyle name="Normal 3 4 4 6 4 2" xfId="33502" xr:uid="{00000000-0005-0000-0000-0000426E0000}"/>
    <cellStyle name="Normal 3 4 4 6 5" xfId="16025" xr:uid="{00000000-0005-0000-0000-0000436E0000}"/>
    <cellStyle name="Normal 3 4 4 6 5 2" xfId="33503" xr:uid="{00000000-0005-0000-0000-0000446E0000}"/>
    <cellStyle name="Normal 3 4 4 6 6" xfId="16026" xr:uid="{00000000-0005-0000-0000-0000456E0000}"/>
    <cellStyle name="Normal 3 4 4 6 6 2" xfId="33504" xr:uid="{00000000-0005-0000-0000-0000466E0000}"/>
    <cellStyle name="Normal 3 4 4 6 7" xfId="16027" xr:uid="{00000000-0005-0000-0000-0000476E0000}"/>
    <cellStyle name="Normal 3 4 4 6 7 2" xfId="33505" xr:uid="{00000000-0005-0000-0000-0000486E0000}"/>
    <cellStyle name="Normal 3 4 4 6 8" xfId="16028" xr:uid="{00000000-0005-0000-0000-0000496E0000}"/>
    <cellStyle name="Normal 3 4 4 6 8 2" xfId="33506" xr:uid="{00000000-0005-0000-0000-00004A6E0000}"/>
    <cellStyle name="Normal 3 4 4 6 9" xfId="16029" xr:uid="{00000000-0005-0000-0000-00004B6E0000}"/>
    <cellStyle name="Normal 3 4 4 6 9 2" xfId="33507" xr:uid="{00000000-0005-0000-0000-00004C6E0000}"/>
    <cellStyle name="Normal 3 4 4 7" xfId="16030" xr:uid="{00000000-0005-0000-0000-00004D6E0000}"/>
    <cellStyle name="Normal 3 4 4 7 10" xfId="16031" xr:uid="{00000000-0005-0000-0000-00004E6E0000}"/>
    <cellStyle name="Normal 3 4 4 7 10 2" xfId="33509" xr:uid="{00000000-0005-0000-0000-00004F6E0000}"/>
    <cellStyle name="Normal 3 4 4 7 11" xfId="16032" xr:uid="{00000000-0005-0000-0000-0000506E0000}"/>
    <cellStyle name="Normal 3 4 4 7 11 2" xfId="33510" xr:uid="{00000000-0005-0000-0000-0000516E0000}"/>
    <cellStyle name="Normal 3 4 4 7 12" xfId="16033" xr:uid="{00000000-0005-0000-0000-0000526E0000}"/>
    <cellStyle name="Normal 3 4 4 7 12 2" xfId="33511" xr:uid="{00000000-0005-0000-0000-0000536E0000}"/>
    <cellStyle name="Normal 3 4 4 7 13" xfId="16034" xr:uid="{00000000-0005-0000-0000-0000546E0000}"/>
    <cellStyle name="Normal 3 4 4 7 13 2" xfId="33512" xr:uid="{00000000-0005-0000-0000-0000556E0000}"/>
    <cellStyle name="Normal 3 4 4 7 14" xfId="16035" xr:uid="{00000000-0005-0000-0000-0000566E0000}"/>
    <cellStyle name="Normal 3 4 4 7 14 2" xfId="33513" xr:uid="{00000000-0005-0000-0000-0000576E0000}"/>
    <cellStyle name="Normal 3 4 4 7 15" xfId="16036" xr:uid="{00000000-0005-0000-0000-0000586E0000}"/>
    <cellStyle name="Normal 3 4 4 7 15 2" xfId="33514" xr:uid="{00000000-0005-0000-0000-0000596E0000}"/>
    <cellStyle name="Normal 3 4 4 7 16" xfId="33508" xr:uid="{00000000-0005-0000-0000-00005A6E0000}"/>
    <cellStyle name="Normal 3 4 4 7 2" xfId="16037" xr:uid="{00000000-0005-0000-0000-00005B6E0000}"/>
    <cellStyle name="Normal 3 4 4 7 2 10" xfId="16038" xr:uid="{00000000-0005-0000-0000-00005C6E0000}"/>
    <cellStyle name="Normal 3 4 4 7 2 10 2" xfId="33516" xr:uid="{00000000-0005-0000-0000-00005D6E0000}"/>
    <cellStyle name="Normal 3 4 4 7 2 11" xfId="16039" xr:uid="{00000000-0005-0000-0000-00005E6E0000}"/>
    <cellStyle name="Normal 3 4 4 7 2 11 2" xfId="33517" xr:uid="{00000000-0005-0000-0000-00005F6E0000}"/>
    <cellStyle name="Normal 3 4 4 7 2 12" xfId="16040" xr:uid="{00000000-0005-0000-0000-0000606E0000}"/>
    <cellStyle name="Normal 3 4 4 7 2 12 2" xfId="33518" xr:uid="{00000000-0005-0000-0000-0000616E0000}"/>
    <cellStyle name="Normal 3 4 4 7 2 13" xfId="16041" xr:uid="{00000000-0005-0000-0000-0000626E0000}"/>
    <cellStyle name="Normal 3 4 4 7 2 13 2" xfId="33519" xr:uid="{00000000-0005-0000-0000-0000636E0000}"/>
    <cellStyle name="Normal 3 4 4 7 2 14" xfId="16042" xr:uid="{00000000-0005-0000-0000-0000646E0000}"/>
    <cellStyle name="Normal 3 4 4 7 2 14 2" xfId="33520" xr:uid="{00000000-0005-0000-0000-0000656E0000}"/>
    <cellStyle name="Normal 3 4 4 7 2 15" xfId="33515" xr:uid="{00000000-0005-0000-0000-0000666E0000}"/>
    <cellStyle name="Normal 3 4 4 7 2 2" xfId="16043" xr:uid="{00000000-0005-0000-0000-0000676E0000}"/>
    <cellStyle name="Normal 3 4 4 7 2 2 2" xfId="33521" xr:uid="{00000000-0005-0000-0000-0000686E0000}"/>
    <cellStyle name="Normal 3 4 4 7 2 3" xfId="16044" xr:uid="{00000000-0005-0000-0000-0000696E0000}"/>
    <cellStyle name="Normal 3 4 4 7 2 3 2" xfId="33522" xr:uid="{00000000-0005-0000-0000-00006A6E0000}"/>
    <cellStyle name="Normal 3 4 4 7 2 4" xfId="16045" xr:uid="{00000000-0005-0000-0000-00006B6E0000}"/>
    <cellStyle name="Normal 3 4 4 7 2 4 2" xfId="33523" xr:uid="{00000000-0005-0000-0000-00006C6E0000}"/>
    <cellStyle name="Normal 3 4 4 7 2 5" xfId="16046" xr:uid="{00000000-0005-0000-0000-00006D6E0000}"/>
    <cellStyle name="Normal 3 4 4 7 2 5 2" xfId="33524" xr:uid="{00000000-0005-0000-0000-00006E6E0000}"/>
    <cellStyle name="Normal 3 4 4 7 2 6" xfId="16047" xr:uid="{00000000-0005-0000-0000-00006F6E0000}"/>
    <cellStyle name="Normal 3 4 4 7 2 6 2" xfId="33525" xr:uid="{00000000-0005-0000-0000-0000706E0000}"/>
    <cellStyle name="Normal 3 4 4 7 2 7" xfId="16048" xr:uid="{00000000-0005-0000-0000-0000716E0000}"/>
    <cellStyle name="Normal 3 4 4 7 2 7 2" xfId="33526" xr:uid="{00000000-0005-0000-0000-0000726E0000}"/>
    <cellStyle name="Normal 3 4 4 7 2 8" xfId="16049" xr:uid="{00000000-0005-0000-0000-0000736E0000}"/>
    <cellStyle name="Normal 3 4 4 7 2 8 2" xfId="33527" xr:uid="{00000000-0005-0000-0000-0000746E0000}"/>
    <cellStyle name="Normal 3 4 4 7 2 9" xfId="16050" xr:uid="{00000000-0005-0000-0000-0000756E0000}"/>
    <cellStyle name="Normal 3 4 4 7 2 9 2" xfId="33528" xr:uid="{00000000-0005-0000-0000-0000766E0000}"/>
    <cellStyle name="Normal 3 4 4 7 3" xfId="16051" xr:uid="{00000000-0005-0000-0000-0000776E0000}"/>
    <cellStyle name="Normal 3 4 4 7 3 2" xfId="33529" xr:uid="{00000000-0005-0000-0000-0000786E0000}"/>
    <cellStyle name="Normal 3 4 4 7 4" xfId="16052" xr:uid="{00000000-0005-0000-0000-0000796E0000}"/>
    <cellStyle name="Normal 3 4 4 7 4 2" xfId="33530" xr:uid="{00000000-0005-0000-0000-00007A6E0000}"/>
    <cellStyle name="Normal 3 4 4 7 5" xfId="16053" xr:uid="{00000000-0005-0000-0000-00007B6E0000}"/>
    <cellStyle name="Normal 3 4 4 7 5 2" xfId="33531" xr:uid="{00000000-0005-0000-0000-00007C6E0000}"/>
    <cellStyle name="Normal 3 4 4 7 6" xfId="16054" xr:uid="{00000000-0005-0000-0000-00007D6E0000}"/>
    <cellStyle name="Normal 3 4 4 7 6 2" xfId="33532" xr:uid="{00000000-0005-0000-0000-00007E6E0000}"/>
    <cellStyle name="Normal 3 4 4 7 7" xfId="16055" xr:uid="{00000000-0005-0000-0000-00007F6E0000}"/>
    <cellStyle name="Normal 3 4 4 7 7 2" xfId="33533" xr:uid="{00000000-0005-0000-0000-0000806E0000}"/>
    <cellStyle name="Normal 3 4 4 7 8" xfId="16056" xr:uid="{00000000-0005-0000-0000-0000816E0000}"/>
    <cellStyle name="Normal 3 4 4 7 8 2" xfId="33534" xr:uid="{00000000-0005-0000-0000-0000826E0000}"/>
    <cellStyle name="Normal 3 4 4 7 9" xfId="16057" xr:uid="{00000000-0005-0000-0000-0000836E0000}"/>
    <cellStyle name="Normal 3 4 4 7 9 2" xfId="33535" xr:uid="{00000000-0005-0000-0000-0000846E0000}"/>
    <cellStyle name="Normal 3 4 4 8" xfId="16058" xr:uid="{00000000-0005-0000-0000-0000856E0000}"/>
    <cellStyle name="Normal 3 4 4 8 10" xfId="16059" xr:uid="{00000000-0005-0000-0000-0000866E0000}"/>
    <cellStyle name="Normal 3 4 4 8 10 2" xfId="33537" xr:uid="{00000000-0005-0000-0000-0000876E0000}"/>
    <cellStyle name="Normal 3 4 4 8 11" xfId="16060" xr:uid="{00000000-0005-0000-0000-0000886E0000}"/>
    <cellStyle name="Normal 3 4 4 8 11 2" xfId="33538" xr:uid="{00000000-0005-0000-0000-0000896E0000}"/>
    <cellStyle name="Normal 3 4 4 8 12" xfId="16061" xr:uid="{00000000-0005-0000-0000-00008A6E0000}"/>
    <cellStyle name="Normal 3 4 4 8 12 2" xfId="33539" xr:uid="{00000000-0005-0000-0000-00008B6E0000}"/>
    <cellStyle name="Normal 3 4 4 8 13" xfId="16062" xr:uid="{00000000-0005-0000-0000-00008C6E0000}"/>
    <cellStyle name="Normal 3 4 4 8 13 2" xfId="33540" xr:uid="{00000000-0005-0000-0000-00008D6E0000}"/>
    <cellStyle name="Normal 3 4 4 8 14" xfId="16063" xr:uid="{00000000-0005-0000-0000-00008E6E0000}"/>
    <cellStyle name="Normal 3 4 4 8 14 2" xfId="33541" xr:uid="{00000000-0005-0000-0000-00008F6E0000}"/>
    <cellStyle name="Normal 3 4 4 8 15" xfId="16064" xr:uid="{00000000-0005-0000-0000-0000906E0000}"/>
    <cellStyle name="Normal 3 4 4 8 15 2" xfId="33542" xr:uid="{00000000-0005-0000-0000-0000916E0000}"/>
    <cellStyle name="Normal 3 4 4 8 16" xfId="33536" xr:uid="{00000000-0005-0000-0000-0000926E0000}"/>
    <cellStyle name="Normal 3 4 4 8 2" xfId="16065" xr:uid="{00000000-0005-0000-0000-0000936E0000}"/>
    <cellStyle name="Normal 3 4 4 8 2 10" xfId="16066" xr:uid="{00000000-0005-0000-0000-0000946E0000}"/>
    <cellStyle name="Normal 3 4 4 8 2 10 2" xfId="33544" xr:uid="{00000000-0005-0000-0000-0000956E0000}"/>
    <cellStyle name="Normal 3 4 4 8 2 11" xfId="16067" xr:uid="{00000000-0005-0000-0000-0000966E0000}"/>
    <cellStyle name="Normal 3 4 4 8 2 11 2" xfId="33545" xr:uid="{00000000-0005-0000-0000-0000976E0000}"/>
    <cellStyle name="Normal 3 4 4 8 2 12" xfId="16068" xr:uid="{00000000-0005-0000-0000-0000986E0000}"/>
    <cellStyle name="Normal 3 4 4 8 2 12 2" xfId="33546" xr:uid="{00000000-0005-0000-0000-0000996E0000}"/>
    <cellStyle name="Normal 3 4 4 8 2 13" xfId="16069" xr:uid="{00000000-0005-0000-0000-00009A6E0000}"/>
    <cellStyle name="Normal 3 4 4 8 2 13 2" xfId="33547" xr:uid="{00000000-0005-0000-0000-00009B6E0000}"/>
    <cellStyle name="Normal 3 4 4 8 2 14" xfId="16070" xr:uid="{00000000-0005-0000-0000-00009C6E0000}"/>
    <cellStyle name="Normal 3 4 4 8 2 14 2" xfId="33548" xr:uid="{00000000-0005-0000-0000-00009D6E0000}"/>
    <cellStyle name="Normal 3 4 4 8 2 15" xfId="33543" xr:uid="{00000000-0005-0000-0000-00009E6E0000}"/>
    <cellStyle name="Normal 3 4 4 8 2 2" xfId="16071" xr:uid="{00000000-0005-0000-0000-00009F6E0000}"/>
    <cellStyle name="Normal 3 4 4 8 2 2 2" xfId="33549" xr:uid="{00000000-0005-0000-0000-0000A06E0000}"/>
    <cellStyle name="Normal 3 4 4 8 2 3" xfId="16072" xr:uid="{00000000-0005-0000-0000-0000A16E0000}"/>
    <cellStyle name="Normal 3 4 4 8 2 3 2" xfId="33550" xr:uid="{00000000-0005-0000-0000-0000A26E0000}"/>
    <cellStyle name="Normal 3 4 4 8 2 4" xfId="16073" xr:uid="{00000000-0005-0000-0000-0000A36E0000}"/>
    <cellStyle name="Normal 3 4 4 8 2 4 2" xfId="33551" xr:uid="{00000000-0005-0000-0000-0000A46E0000}"/>
    <cellStyle name="Normal 3 4 4 8 2 5" xfId="16074" xr:uid="{00000000-0005-0000-0000-0000A56E0000}"/>
    <cellStyle name="Normal 3 4 4 8 2 5 2" xfId="33552" xr:uid="{00000000-0005-0000-0000-0000A66E0000}"/>
    <cellStyle name="Normal 3 4 4 8 2 6" xfId="16075" xr:uid="{00000000-0005-0000-0000-0000A76E0000}"/>
    <cellStyle name="Normal 3 4 4 8 2 6 2" xfId="33553" xr:uid="{00000000-0005-0000-0000-0000A86E0000}"/>
    <cellStyle name="Normal 3 4 4 8 2 7" xfId="16076" xr:uid="{00000000-0005-0000-0000-0000A96E0000}"/>
    <cellStyle name="Normal 3 4 4 8 2 7 2" xfId="33554" xr:uid="{00000000-0005-0000-0000-0000AA6E0000}"/>
    <cellStyle name="Normal 3 4 4 8 2 8" xfId="16077" xr:uid="{00000000-0005-0000-0000-0000AB6E0000}"/>
    <cellStyle name="Normal 3 4 4 8 2 8 2" xfId="33555" xr:uid="{00000000-0005-0000-0000-0000AC6E0000}"/>
    <cellStyle name="Normal 3 4 4 8 2 9" xfId="16078" xr:uid="{00000000-0005-0000-0000-0000AD6E0000}"/>
    <cellStyle name="Normal 3 4 4 8 2 9 2" xfId="33556" xr:uid="{00000000-0005-0000-0000-0000AE6E0000}"/>
    <cellStyle name="Normal 3 4 4 8 3" xfId="16079" xr:uid="{00000000-0005-0000-0000-0000AF6E0000}"/>
    <cellStyle name="Normal 3 4 4 8 3 2" xfId="33557" xr:uid="{00000000-0005-0000-0000-0000B06E0000}"/>
    <cellStyle name="Normal 3 4 4 8 4" xfId="16080" xr:uid="{00000000-0005-0000-0000-0000B16E0000}"/>
    <cellStyle name="Normal 3 4 4 8 4 2" xfId="33558" xr:uid="{00000000-0005-0000-0000-0000B26E0000}"/>
    <cellStyle name="Normal 3 4 4 8 5" xfId="16081" xr:uid="{00000000-0005-0000-0000-0000B36E0000}"/>
    <cellStyle name="Normal 3 4 4 8 5 2" xfId="33559" xr:uid="{00000000-0005-0000-0000-0000B46E0000}"/>
    <cellStyle name="Normal 3 4 4 8 6" xfId="16082" xr:uid="{00000000-0005-0000-0000-0000B56E0000}"/>
    <cellStyle name="Normal 3 4 4 8 6 2" xfId="33560" xr:uid="{00000000-0005-0000-0000-0000B66E0000}"/>
    <cellStyle name="Normal 3 4 4 8 7" xfId="16083" xr:uid="{00000000-0005-0000-0000-0000B76E0000}"/>
    <cellStyle name="Normal 3 4 4 8 7 2" xfId="33561" xr:uid="{00000000-0005-0000-0000-0000B86E0000}"/>
    <cellStyle name="Normal 3 4 4 8 8" xfId="16084" xr:uid="{00000000-0005-0000-0000-0000B96E0000}"/>
    <cellStyle name="Normal 3 4 4 8 8 2" xfId="33562" xr:uid="{00000000-0005-0000-0000-0000BA6E0000}"/>
    <cellStyle name="Normal 3 4 4 8 9" xfId="16085" xr:uid="{00000000-0005-0000-0000-0000BB6E0000}"/>
    <cellStyle name="Normal 3 4 4 8 9 2" xfId="33563" xr:uid="{00000000-0005-0000-0000-0000BC6E0000}"/>
    <cellStyle name="Normal 3 4 4 9" xfId="16086" xr:uid="{00000000-0005-0000-0000-0000BD6E0000}"/>
    <cellStyle name="Normal 3 4 4 9 10" xfId="16087" xr:uid="{00000000-0005-0000-0000-0000BE6E0000}"/>
    <cellStyle name="Normal 3 4 4 9 10 2" xfId="33565" xr:uid="{00000000-0005-0000-0000-0000BF6E0000}"/>
    <cellStyle name="Normal 3 4 4 9 11" xfId="16088" xr:uid="{00000000-0005-0000-0000-0000C06E0000}"/>
    <cellStyle name="Normal 3 4 4 9 11 2" xfId="33566" xr:uid="{00000000-0005-0000-0000-0000C16E0000}"/>
    <cellStyle name="Normal 3 4 4 9 12" xfId="16089" xr:uid="{00000000-0005-0000-0000-0000C26E0000}"/>
    <cellStyle name="Normal 3 4 4 9 12 2" xfId="33567" xr:uid="{00000000-0005-0000-0000-0000C36E0000}"/>
    <cellStyle name="Normal 3 4 4 9 13" xfId="16090" xr:uid="{00000000-0005-0000-0000-0000C46E0000}"/>
    <cellStyle name="Normal 3 4 4 9 13 2" xfId="33568" xr:uid="{00000000-0005-0000-0000-0000C56E0000}"/>
    <cellStyle name="Normal 3 4 4 9 14" xfId="16091" xr:uid="{00000000-0005-0000-0000-0000C66E0000}"/>
    <cellStyle name="Normal 3 4 4 9 14 2" xfId="33569" xr:uid="{00000000-0005-0000-0000-0000C76E0000}"/>
    <cellStyle name="Normal 3 4 4 9 15" xfId="33564" xr:uid="{00000000-0005-0000-0000-0000C86E0000}"/>
    <cellStyle name="Normal 3 4 4 9 2" xfId="16092" xr:uid="{00000000-0005-0000-0000-0000C96E0000}"/>
    <cellStyle name="Normal 3 4 4 9 2 2" xfId="33570" xr:uid="{00000000-0005-0000-0000-0000CA6E0000}"/>
    <cellStyle name="Normal 3 4 4 9 3" xfId="16093" xr:uid="{00000000-0005-0000-0000-0000CB6E0000}"/>
    <cellStyle name="Normal 3 4 4 9 3 2" xfId="33571" xr:uid="{00000000-0005-0000-0000-0000CC6E0000}"/>
    <cellStyle name="Normal 3 4 4 9 4" xfId="16094" xr:uid="{00000000-0005-0000-0000-0000CD6E0000}"/>
    <cellStyle name="Normal 3 4 4 9 4 2" xfId="33572" xr:uid="{00000000-0005-0000-0000-0000CE6E0000}"/>
    <cellStyle name="Normal 3 4 4 9 5" xfId="16095" xr:uid="{00000000-0005-0000-0000-0000CF6E0000}"/>
    <cellStyle name="Normal 3 4 4 9 5 2" xfId="33573" xr:uid="{00000000-0005-0000-0000-0000D06E0000}"/>
    <cellStyle name="Normal 3 4 4 9 6" xfId="16096" xr:uid="{00000000-0005-0000-0000-0000D16E0000}"/>
    <cellStyle name="Normal 3 4 4 9 6 2" xfId="33574" xr:uid="{00000000-0005-0000-0000-0000D26E0000}"/>
    <cellStyle name="Normal 3 4 4 9 7" xfId="16097" xr:uid="{00000000-0005-0000-0000-0000D36E0000}"/>
    <cellStyle name="Normal 3 4 4 9 7 2" xfId="33575" xr:uid="{00000000-0005-0000-0000-0000D46E0000}"/>
    <cellStyle name="Normal 3 4 4 9 8" xfId="16098" xr:uid="{00000000-0005-0000-0000-0000D56E0000}"/>
    <cellStyle name="Normal 3 4 4 9 8 2" xfId="33576" xr:uid="{00000000-0005-0000-0000-0000D66E0000}"/>
    <cellStyle name="Normal 3 4 4 9 9" xfId="16099" xr:uid="{00000000-0005-0000-0000-0000D76E0000}"/>
    <cellStyle name="Normal 3 4 4 9 9 2" xfId="33577" xr:uid="{00000000-0005-0000-0000-0000D86E0000}"/>
    <cellStyle name="Normal 3 4 5" xfId="16100" xr:uid="{00000000-0005-0000-0000-0000D96E0000}"/>
    <cellStyle name="Normal 3 4 5 10" xfId="16101" xr:uid="{00000000-0005-0000-0000-0000DA6E0000}"/>
    <cellStyle name="Normal 3 4 5 10 10" xfId="16102" xr:uid="{00000000-0005-0000-0000-0000DB6E0000}"/>
    <cellStyle name="Normal 3 4 5 10 10 2" xfId="33580" xr:uid="{00000000-0005-0000-0000-0000DC6E0000}"/>
    <cellStyle name="Normal 3 4 5 10 11" xfId="16103" xr:uid="{00000000-0005-0000-0000-0000DD6E0000}"/>
    <cellStyle name="Normal 3 4 5 10 11 2" xfId="33581" xr:uid="{00000000-0005-0000-0000-0000DE6E0000}"/>
    <cellStyle name="Normal 3 4 5 10 12" xfId="16104" xr:uid="{00000000-0005-0000-0000-0000DF6E0000}"/>
    <cellStyle name="Normal 3 4 5 10 12 2" xfId="33582" xr:uid="{00000000-0005-0000-0000-0000E06E0000}"/>
    <cellStyle name="Normal 3 4 5 10 13" xfId="16105" xr:uid="{00000000-0005-0000-0000-0000E16E0000}"/>
    <cellStyle name="Normal 3 4 5 10 13 2" xfId="33583" xr:uid="{00000000-0005-0000-0000-0000E26E0000}"/>
    <cellStyle name="Normal 3 4 5 10 14" xfId="16106" xr:uid="{00000000-0005-0000-0000-0000E36E0000}"/>
    <cellStyle name="Normal 3 4 5 10 14 2" xfId="33584" xr:uid="{00000000-0005-0000-0000-0000E46E0000}"/>
    <cellStyle name="Normal 3 4 5 10 15" xfId="33579" xr:uid="{00000000-0005-0000-0000-0000E56E0000}"/>
    <cellStyle name="Normal 3 4 5 10 2" xfId="16107" xr:uid="{00000000-0005-0000-0000-0000E66E0000}"/>
    <cellStyle name="Normal 3 4 5 10 2 2" xfId="33585" xr:uid="{00000000-0005-0000-0000-0000E76E0000}"/>
    <cellStyle name="Normal 3 4 5 10 3" xfId="16108" xr:uid="{00000000-0005-0000-0000-0000E86E0000}"/>
    <cellStyle name="Normal 3 4 5 10 3 2" xfId="33586" xr:uid="{00000000-0005-0000-0000-0000E96E0000}"/>
    <cellStyle name="Normal 3 4 5 10 4" xfId="16109" xr:uid="{00000000-0005-0000-0000-0000EA6E0000}"/>
    <cellStyle name="Normal 3 4 5 10 4 2" xfId="33587" xr:uid="{00000000-0005-0000-0000-0000EB6E0000}"/>
    <cellStyle name="Normal 3 4 5 10 5" xfId="16110" xr:uid="{00000000-0005-0000-0000-0000EC6E0000}"/>
    <cellStyle name="Normal 3 4 5 10 5 2" xfId="33588" xr:uid="{00000000-0005-0000-0000-0000ED6E0000}"/>
    <cellStyle name="Normal 3 4 5 10 6" xfId="16111" xr:uid="{00000000-0005-0000-0000-0000EE6E0000}"/>
    <cellStyle name="Normal 3 4 5 10 6 2" xfId="33589" xr:uid="{00000000-0005-0000-0000-0000EF6E0000}"/>
    <cellStyle name="Normal 3 4 5 10 7" xfId="16112" xr:uid="{00000000-0005-0000-0000-0000F06E0000}"/>
    <cellStyle name="Normal 3 4 5 10 7 2" xfId="33590" xr:uid="{00000000-0005-0000-0000-0000F16E0000}"/>
    <cellStyle name="Normal 3 4 5 10 8" xfId="16113" xr:uid="{00000000-0005-0000-0000-0000F26E0000}"/>
    <cellStyle name="Normal 3 4 5 10 8 2" xfId="33591" xr:uid="{00000000-0005-0000-0000-0000F36E0000}"/>
    <cellStyle name="Normal 3 4 5 10 9" xfId="16114" xr:uid="{00000000-0005-0000-0000-0000F46E0000}"/>
    <cellStyle name="Normal 3 4 5 10 9 2" xfId="33592" xr:uid="{00000000-0005-0000-0000-0000F56E0000}"/>
    <cellStyle name="Normal 3 4 5 11" xfId="16115" xr:uid="{00000000-0005-0000-0000-0000F66E0000}"/>
    <cellStyle name="Normal 3 4 5 11 10" xfId="16116" xr:uid="{00000000-0005-0000-0000-0000F76E0000}"/>
    <cellStyle name="Normal 3 4 5 11 10 2" xfId="33594" xr:uid="{00000000-0005-0000-0000-0000F86E0000}"/>
    <cellStyle name="Normal 3 4 5 11 11" xfId="16117" xr:uid="{00000000-0005-0000-0000-0000F96E0000}"/>
    <cellStyle name="Normal 3 4 5 11 11 2" xfId="33595" xr:uid="{00000000-0005-0000-0000-0000FA6E0000}"/>
    <cellStyle name="Normal 3 4 5 11 12" xfId="16118" xr:uid="{00000000-0005-0000-0000-0000FB6E0000}"/>
    <cellStyle name="Normal 3 4 5 11 12 2" xfId="33596" xr:uid="{00000000-0005-0000-0000-0000FC6E0000}"/>
    <cellStyle name="Normal 3 4 5 11 13" xfId="16119" xr:uid="{00000000-0005-0000-0000-0000FD6E0000}"/>
    <cellStyle name="Normal 3 4 5 11 13 2" xfId="33597" xr:uid="{00000000-0005-0000-0000-0000FE6E0000}"/>
    <cellStyle name="Normal 3 4 5 11 14" xfId="16120" xr:uid="{00000000-0005-0000-0000-0000FF6E0000}"/>
    <cellStyle name="Normal 3 4 5 11 14 2" xfId="33598" xr:uid="{00000000-0005-0000-0000-0000006F0000}"/>
    <cellStyle name="Normal 3 4 5 11 15" xfId="33593" xr:uid="{00000000-0005-0000-0000-0000016F0000}"/>
    <cellStyle name="Normal 3 4 5 11 2" xfId="16121" xr:uid="{00000000-0005-0000-0000-0000026F0000}"/>
    <cellStyle name="Normal 3 4 5 11 2 2" xfId="33599" xr:uid="{00000000-0005-0000-0000-0000036F0000}"/>
    <cellStyle name="Normal 3 4 5 11 3" xfId="16122" xr:uid="{00000000-0005-0000-0000-0000046F0000}"/>
    <cellStyle name="Normal 3 4 5 11 3 2" xfId="33600" xr:uid="{00000000-0005-0000-0000-0000056F0000}"/>
    <cellStyle name="Normal 3 4 5 11 4" xfId="16123" xr:uid="{00000000-0005-0000-0000-0000066F0000}"/>
    <cellStyle name="Normal 3 4 5 11 4 2" xfId="33601" xr:uid="{00000000-0005-0000-0000-0000076F0000}"/>
    <cellStyle name="Normal 3 4 5 11 5" xfId="16124" xr:uid="{00000000-0005-0000-0000-0000086F0000}"/>
    <cellStyle name="Normal 3 4 5 11 5 2" xfId="33602" xr:uid="{00000000-0005-0000-0000-0000096F0000}"/>
    <cellStyle name="Normal 3 4 5 11 6" xfId="16125" xr:uid="{00000000-0005-0000-0000-00000A6F0000}"/>
    <cellStyle name="Normal 3 4 5 11 6 2" xfId="33603" xr:uid="{00000000-0005-0000-0000-00000B6F0000}"/>
    <cellStyle name="Normal 3 4 5 11 7" xfId="16126" xr:uid="{00000000-0005-0000-0000-00000C6F0000}"/>
    <cellStyle name="Normal 3 4 5 11 7 2" xfId="33604" xr:uid="{00000000-0005-0000-0000-00000D6F0000}"/>
    <cellStyle name="Normal 3 4 5 11 8" xfId="16127" xr:uid="{00000000-0005-0000-0000-00000E6F0000}"/>
    <cellStyle name="Normal 3 4 5 11 8 2" xfId="33605" xr:uid="{00000000-0005-0000-0000-00000F6F0000}"/>
    <cellStyle name="Normal 3 4 5 11 9" xfId="16128" xr:uid="{00000000-0005-0000-0000-0000106F0000}"/>
    <cellStyle name="Normal 3 4 5 11 9 2" xfId="33606" xr:uid="{00000000-0005-0000-0000-0000116F0000}"/>
    <cellStyle name="Normal 3 4 5 12" xfId="16129" xr:uid="{00000000-0005-0000-0000-0000126F0000}"/>
    <cellStyle name="Normal 3 4 5 12 10" xfId="16130" xr:uid="{00000000-0005-0000-0000-0000136F0000}"/>
    <cellStyle name="Normal 3 4 5 12 10 2" xfId="33608" xr:uid="{00000000-0005-0000-0000-0000146F0000}"/>
    <cellStyle name="Normal 3 4 5 12 11" xfId="16131" xr:uid="{00000000-0005-0000-0000-0000156F0000}"/>
    <cellStyle name="Normal 3 4 5 12 11 2" xfId="33609" xr:uid="{00000000-0005-0000-0000-0000166F0000}"/>
    <cellStyle name="Normal 3 4 5 12 12" xfId="16132" xr:uid="{00000000-0005-0000-0000-0000176F0000}"/>
    <cellStyle name="Normal 3 4 5 12 12 2" xfId="33610" xr:uid="{00000000-0005-0000-0000-0000186F0000}"/>
    <cellStyle name="Normal 3 4 5 12 13" xfId="16133" xr:uid="{00000000-0005-0000-0000-0000196F0000}"/>
    <cellStyle name="Normal 3 4 5 12 13 2" xfId="33611" xr:uid="{00000000-0005-0000-0000-00001A6F0000}"/>
    <cellStyle name="Normal 3 4 5 12 14" xfId="16134" xr:uid="{00000000-0005-0000-0000-00001B6F0000}"/>
    <cellStyle name="Normal 3 4 5 12 14 2" xfId="33612" xr:uid="{00000000-0005-0000-0000-00001C6F0000}"/>
    <cellStyle name="Normal 3 4 5 12 15" xfId="33607" xr:uid="{00000000-0005-0000-0000-00001D6F0000}"/>
    <cellStyle name="Normal 3 4 5 12 2" xfId="16135" xr:uid="{00000000-0005-0000-0000-00001E6F0000}"/>
    <cellStyle name="Normal 3 4 5 12 2 2" xfId="33613" xr:uid="{00000000-0005-0000-0000-00001F6F0000}"/>
    <cellStyle name="Normal 3 4 5 12 3" xfId="16136" xr:uid="{00000000-0005-0000-0000-0000206F0000}"/>
    <cellStyle name="Normal 3 4 5 12 3 2" xfId="33614" xr:uid="{00000000-0005-0000-0000-0000216F0000}"/>
    <cellStyle name="Normal 3 4 5 12 4" xfId="16137" xr:uid="{00000000-0005-0000-0000-0000226F0000}"/>
    <cellStyle name="Normal 3 4 5 12 4 2" xfId="33615" xr:uid="{00000000-0005-0000-0000-0000236F0000}"/>
    <cellStyle name="Normal 3 4 5 12 5" xfId="16138" xr:uid="{00000000-0005-0000-0000-0000246F0000}"/>
    <cellStyle name="Normal 3 4 5 12 5 2" xfId="33616" xr:uid="{00000000-0005-0000-0000-0000256F0000}"/>
    <cellStyle name="Normal 3 4 5 12 6" xfId="16139" xr:uid="{00000000-0005-0000-0000-0000266F0000}"/>
    <cellStyle name="Normal 3 4 5 12 6 2" xfId="33617" xr:uid="{00000000-0005-0000-0000-0000276F0000}"/>
    <cellStyle name="Normal 3 4 5 12 7" xfId="16140" xr:uid="{00000000-0005-0000-0000-0000286F0000}"/>
    <cellStyle name="Normal 3 4 5 12 7 2" xfId="33618" xr:uid="{00000000-0005-0000-0000-0000296F0000}"/>
    <cellStyle name="Normal 3 4 5 12 8" xfId="16141" xr:uid="{00000000-0005-0000-0000-00002A6F0000}"/>
    <cellStyle name="Normal 3 4 5 12 8 2" xfId="33619" xr:uid="{00000000-0005-0000-0000-00002B6F0000}"/>
    <cellStyle name="Normal 3 4 5 12 9" xfId="16142" xr:uid="{00000000-0005-0000-0000-00002C6F0000}"/>
    <cellStyle name="Normal 3 4 5 12 9 2" xfId="33620" xr:uid="{00000000-0005-0000-0000-00002D6F0000}"/>
    <cellStyle name="Normal 3 4 5 13" xfId="16143" xr:uid="{00000000-0005-0000-0000-00002E6F0000}"/>
    <cellStyle name="Normal 3 4 5 13 10" xfId="16144" xr:uid="{00000000-0005-0000-0000-00002F6F0000}"/>
    <cellStyle name="Normal 3 4 5 13 10 2" xfId="33622" xr:uid="{00000000-0005-0000-0000-0000306F0000}"/>
    <cellStyle name="Normal 3 4 5 13 11" xfId="16145" xr:uid="{00000000-0005-0000-0000-0000316F0000}"/>
    <cellStyle name="Normal 3 4 5 13 11 2" xfId="33623" xr:uid="{00000000-0005-0000-0000-0000326F0000}"/>
    <cellStyle name="Normal 3 4 5 13 12" xfId="16146" xr:uid="{00000000-0005-0000-0000-0000336F0000}"/>
    <cellStyle name="Normal 3 4 5 13 12 2" xfId="33624" xr:uid="{00000000-0005-0000-0000-0000346F0000}"/>
    <cellStyle name="Normal 3 4 5 13 13" xfId="16147" xr:uid="{00000000-0005-0000-0000-0000356F0000}"/>
    <cellStyle name="Normal 3 4 5 13 13 2" xfId="33625" xr:uid="{00000000-0005-0000-0000-0000366F0000}"/>
    <cellStyle name="Normal 3 4 5 13 14" xfId="16148" xr:uid="{00000000-0005-0000-0000-0000376F0000}"/>
    <cellStyle name="Normal 3 4 5 13 14 2" xfId="33626" xr:uid="{00000000-0005-0000-0000-0000386F0000}"/>
    <cellStyle name="Normal 3 4 5 13 15" xfId="33621" xr:uid="{00000000-0005-0000-0000-0000396F0000}"/>
    <cellStyle name="Normal 3 4 5 13 2" xfId="16149" xr:uid="{00000000-0005-0000-0000-00003A6F0000}"/>
    <cellStyle name="Normal 3 4 5 13 2 2" xfId="33627" xr:uid="{00000000-0005-0000-0000-00003B6F0000}"/>
    <cellStyle name="Normal 3 4 5 13 3" xfId="16150" xr:uid="{00000000-0005-0000-0000-00003C6F0000}"/>
    <cellStyle name="Normal 3 4 5 13 3 2" xfId="33628" xr:uid="{00000000-0005-0000-0000-00003D6F0000}"/>
    <cellStyle name="Normal 3 4 5 13 4" xfId="16151" xr:uid="{00000000-0005-0000-0000-00003E6F0000}"/>
    <cellStyle name="Normal 3 4 5 13 4 2" xfId="33629" xr:uid="{00000000-0005-0000-0000-00003F6F0000}"/>
    <cellStyle name="Normal 3 4 5 13 5" xfId="16152" xr:uid="{00000000-0005-0000-0000-0000406F0000}"/>
    <cellStyle name="Normal 3 4 5 13 5 2" xfId="33630" xr:uid="{00000000-0005-0000-0000-0000416F0000}"/>
    <cellStyle name="Normal 3 4 5 13 6" xfId="16153" xr:uid="{00000000-0005-0000-0000-0000426F0000}"/>
    <cellStyle name="Normal 3 4 5 13 6 2" xfId="33631" xr:uid="{00000000-0005-0000-0000-0000436F0000}"/>
    <cellStyle name="Normal 3 4 5 13 7" xfId="16154" xr:uid="{00000000-0005-0000-0000-0000446F0000}"/>
    <cellStyle name="Normal 3 4 5 13 7 2" xfId="33632" xr:uid="{00000000-0005-0000-0000-0000456F0000}"/>
    <cellStyle name="Normal 3 4 5 13 8" xfId="16155" xr:uid="{00000000-0005-0000-0000-0000466F0000}"/>
    <cellStyle name="Normal 3 4 5 13 8 2" xfId="33633" xr:uid="{00000000-0005-0000-0000-0000476F0000}"/>
    <cellStyle name="Normal 3 4 5 13 9" xfId="16156" xr:uid="{00000000-0005-0000-0000-0000486F0000}"/>
    <cellStyle name="Normal 3 4 5 13 9 2" xfId="33634" xr:uid="{00000000-0005-0000-0000-0000496F0000}"/>
    <cellStyle name="Normal 3 4 5 14" xfId="16157" xr:uid="{00000000-0005-0000-0000-00004A6F0000}"/>
    <cellStyle name="Normal 3 4 5 14 10" xfId="16158" xr:uid="{00000000-0005-0000-0000-00004B6F0000}"/>
    <cellStyle name="Normal 3 4 5 14 10 2" xfId="33636" xr:uid="{00000000-0005-0000-0000-00004C6F0000}"/>
    <cellStyle name="Normal 3 4 5 14 11" xfId="16159" xr:uid="{00000000-0005-0000-0000-00004D6F0000}"/>
    <cellStyle name="Normal 3 4 5 14 11 2" xfId="33637" xr:uid="{00000000-0005-0000-0000-00004E6F0000}"/>
    <cellStyle name="Normal 3 4 5 14 12" xfId="16160" xr:uid="{00000000-0005-0000-0000-00004F6F0000}"/>
    <cellStyle name="Normal 3 4 5 14 12 2" xfId="33638" xr:uid="{00000000-0005-0000-0000-0000506F0000}"/>
    <cellStyle name="Normal 3 4 5 14 13" xfId="16161" xr:uid="{00000000-0005-0000-0000-0000516F0000}"/>
    <cellStyle name="Normal 3 4 5 14 13 2" xfId="33639" xr:uid="{00000000-0005-0000-0000-0000526F0000}"/>
    <cellStyle name="Normal 3 4 5 14 14" xfId="16162" xr:uid="{00000000-0005-0000-0000-0000536F0000}"/>
    <cellStyle name="Normal 3 4 5 14 14 2" xfId="33640" xr:uid="{00000000-0005-0000-0000-0000546F0000}"/>
    <cellStyle name="Normal 3 4 5 14 15" xfId="33635" xr:uid="{00000000-0005-0000-0000-0000556F0000}"/>
    <cellStyle name="Normal 3 4 5 14 2" xfId="16163" xr:uid="{00000000-0005-0000-0000-0000566F0000}"/>
    <cellStyle name="Normal 3 4 5 14 2 2" xfId="33641" xr:uid="{00000000-0005-0000-0000-0000576F0000}"/>
    <cellStyle name="Normal 3 4 5 14 3" xfId="16164" xr:uid="{00000000-0005-0000-0000-0000586F0000}"/>
    <cellStyle name="Normal 3 4 5 14 3 2" xfId="33642" xr:uid="{00000000-0005-0000-0000-0000596F0000}"/>
    <cellStyle name="Normal 3 4 5 14 4" xfId="16165" xr:uid="{00000000-0005-0000-0000-00005A6F0000}"/>
    <cellStyle name="Normal 3 4 5 14 4 2" xfId="33643" xr:uid="{00000000-0005-0000-0000-00005B6F0000}"/>
    <cellStyle name="Normal 3 4 5 14 5" xfId="16166" xr:uid="{00000000-0005-0000-0000-00005C6F0000}"/>
    <cellStyle name="Normal 3 4 5 14 5 2" xfId="33644" xr:uid="{00000000-0005-0000-0000-00005D6F0000}"/>
    <cellStyle name="Normal 3 4 5 14 6" xfId="16167" xr:uid="{00000000-0005-0000-0000-00005E6F0000}"/>
    <cellStyle name="Normal 3 4 5 14 6 2" xfId="33645" xr:uid="{00000000-0005-0000-0000-00005F6F0000}"/>
    <cellStyle name="Normal 3 4 5 14 7" xfId="16168" xr:uid="{00000000-0005-0000-0000-0000606F0000}"/>
    <cellStyle name="Normal 3 4 5 14 7 2" xfId="33646" xr:uid="{00000000-0005-0000-0000-0000616F0000}"/>
    <cellStyle name="Normal 3 4 5 14 8" xfId="16169" xr:uid="{00000000-0005-0000-0000-0000626F0000}"/>
    <cellStyle name="Normal 3 4 5 14 8 2" xfId="33647" xr:uid="{00000000-0005-0000-0000-0000636F0000}"/>
    <cellStyle name="Normal 3 4 5 14 9" xfId="16170" xr:uid="{00000000-0005-0000-0000-0000646F0000}"/>
    <cellStyle name="Normal 3 4 5 14 9 2" xfId="33648" xr:uid="{00000000-0005-0000-0000-0000656F0000}"/>
    <cellStyle name="Normal 3 4 5 15" xfId="16171" xr:uid="{00000000-0005-0000-0000-0000666F0000}"/>
    <cellStyle name="Normal 3 4 5 15 2" xfId="33649" xr:uid="{00000000-0005-0000-0000-0000676F0000}"/>
    <cellStyle name="Normal 3 4 5 16" xfId="16172" xr:uid="{00000000-0005-0000-0000-0000686F0000}"/>
    <cellStyle name="Normal 3 4 5 16 2" xfId="33650" xr:uid="{00000000-0005-0000-0000-0000696F0000}"/>
    <cellStyle name="Normal 3 4 5 17" xfId="16173" xr:uid="{00000000-0005-0000-0000-00006A6F0000}"/>
    <cellStyle name="Normal 3 4 5 17 2" xfId="33651" xr:uid="{00000000-0005-0000-0000-00006B6F0000}"/>
    <cellStyle name="Normal 3 4 5 18" xfId="16174" xr:uid="{00000000-0005-0000-0000-00006C6F0000}"/>
    <cellStyle name="Normal 3 4 5 18 2" xfId="33652" xr:uid="{00000000-0005-0000-0000-00006D6F0000}"/>
    <cellStyle name="Normal 3 4 5 19" xfId="16175" xr:uid="{00000000-0005-0000-0000-00006E6F0000}"/>
    <cellStyle name="Normal 3 4 5 19 2" xfId="33653" xr:uid="{00000000-0005-0000-0000-00006F6F0000}"/>
    <cellStyle name="Normal 3 4 5 2" xfId="16176" xr:uid="{00000000-0005-0000-0000-0000706F0000}"/>
    <cellStyle name="Normal 3 4 5 20" xfId="16177" xr:uid="{00000000-0005-0000-0000-0000716F0000}"/>
    <cellStyle name="Normal 3 4 5 20 2" xfId="33654" xr:uid="{00000000-0005-0000-0000-0000726F0000}"/>
    <cellStyle name="Normal 3 4 5 21" xfId="16178" xr:uid="{00000000-0005-0000-0000-0000736F0000}"/>
    <cellStyle name="Normal 3 4 5 21 2" xfId="33655" xr:uid="{00000000-0005-0000-0000-0000746F0000}"/>
    <cellStyle name="Normal 3 4 5 22" xfId="16179" xr:uid="{00000000-0005-0000-0000-0000756F0000}"/>
    <cellStyle name="Normal 3 4 5 22 2" xfId="33656" xr:uid="{00000000-0005-0000-0000-0000766F0000}"/>
    <cellStyle name="Normal 3 4 5 23" xfId="16180" xr:uid="{00000000-0005-0000-0000-0000776F0000}"/>
    <cellStyle name="Normal 3 4 5 23 2" xfId="33657" xr:uid="{00000000-0005-0000-0000-0000786F0000}"/>
    <cellStyle name="Normal 3 4 5 24" xfId="16181" xr:uid="{00000000-0005-0000-0000-0000796F0000}"/>
    <cellStyle name="Normal 3 4 5 24 2" xfId="33658" xr:uid="{00000000-0005-0000-0000-00007A6F0000}"/>
    <cellStyle name="Normal 3 4 5 25" xfId="16182" xr:uid="{00000000-0005-0000-0000-00007B6F0000}"/>
    <cellStyle name="Normal 3 4 5 25 2" xfId="33659" xr:uid="{00000000-0005-0000-0000-00007C6F0000}"/>
    <cellStyle name="Normal 3 4 5 26" xfId="16183" xr:uid="{00000000-0005-0000-0000-00007D6F0000}"/>
    <cellStyle name="Normal 3 4 5 26 2" xfId="33660" xr:uid="{00000000-0005-0000-0000-00007E6F0000}"/>
    <cellStyle name="Normal 3 4 5 27" xfId="16184" xr:uid="{00000000-0005-0000-0000-00007F6F0000}"/>
    <cellStyle name="Normal 3 4 5 27 2" xfId="33661" xr:uid="{00000000-0005-0000-0000-0000806F0000}"/>
    <cellStyle name="Normal 3 4 5 28" xfId="33578" xr:uid="{00000000-0005-0000-0000-0000816F0000}"/>
    <cellStyle name="Normal 3 4 5 3" xfId="16185" xr:uid="{00000000-0005-0000-0000-0000826F0000}"/>
    <cellStyle name="Normal 3 4 5 4" xfId="16186" xr:uid="{00000000-0005-0000-0000-0000836F0000}"/>
    <cellStyle name="Normal 3 4 5 5" xfId="16187" xr:uid="{00000000-0005-0000-0000-0000846F0000}"/>
    <cellStyle name="Normal 3 4 5 6" xfId="16188" xr:uid="{00000000-0005-0000-0000-0000856F0000}"/>
    <cellStyle name="Normal 3 4 5 6 10" xfId="16189" xr:uid="{00000000-0005-0000-0000-0000866F0000}"/>
    <cellStyle name="Normal 3 4 5 6 10 2" xfId="33663" xr:uid="{00000000-0005-0000-0000-0000876F0000}"/>
    <cellStyle name="Normal 3 4 5 6 11" xfId="16190" xr:uid="{00000000-0005-0000-0000-0000886F0000}"/>
    <cellStyle name="Normal 3 4 5 6 11 2" xfId="33664" xr:uid="{00000000-0005-0000-0000-0000896F0000}"/>
    <cellStyle name="Normal 3 4 5 6 12" xfId="16191" xr:uid="{00000000-0005-0000-0000-00008A6F0000}"/>
    <cellStyle name="Normal 3 4 5 6 12 2" xfId="33665" xr:uid="{00000000-0005-0000-0000-00008B6F0000}"/>
    <cellStyle name="Normal 3 4 5 6 13" xfId="16192" xr:uid="{00000000-0005-0000-0000-00008C6F0000}"/>
    <cellStyle name="Normal 3 4 5 6 13 2" xfId="33666" xr:uid="{00000000-0005-0000-0000-00008D6F0000}"/>
    <cellStyle name="Normal 3 4 5 6 14" xfId="16193" xr:uid="{00000000-0005-0000-0000-00008E6F0000}"/>
    <cellStyle name="Normal 3 4 5 6 14 2" xfId="33667" xr:uid="{00000000-0005-0000-0000-00008F6F0000}"/>
    <cellStyle name="Normal 3 4 5 6 15" xfId="16194" xr:uid="{00000000-0005-0000-0000-0000906F0000}"/>
    <cellStyle name="Normal 3 4 5 6 15 2" xfId="33668" xr:uid="{00000000-0005-0000-0000-0000916F0000}"/>
    <cellStyle name="Normal 3 4 5 6 16" xfId="33662" xr:uid="{00000000-0005-0000-0000-0000926F0000}"/>
    <cellStyle name="Normal 3 4 5 6 2" xfId="16195" xr:uid="{00000000-0005-0000-0000-0000936F0000}"/>
    <cellStyle name="Normal 3 4 5 6 2 10" xfId="16196" xr:uid="{00000000-0005-0000-0000-0000946F0000}"/>
    <cellStyle name="Normal 3 4 5 6 2 10 2" xfId="33670" xr:uid="{00000000-0005-0000-0000-0000956F0000}"/>
    <cellStyle name="Normal 3 4 5 6 2 11" xfId="16197" xr:uid="{00000000-0005-0000-0000-0000966F0000}"/>
    <cellStyle name="Normal 3 4 5 6 2 11 2" xfId="33671" xr:uid="{00000000-0005-0000-0000-0000976F0000}"/>
    <cellStyle name="Normal 3 4 5 6 2 12" xfId="16198" xr:uid="{00000000-0005-0000-0000-0000986F0000}"/>
    <cellStyle name="Normal 3 4 5 6 2 12 2" xfId="33672" xr:uid="{00000000-0005-0000-0000-0000996F0000}"/>
    <cellStyle name="Normal 3 4 5 6 2 13" xfId="16199" xr:uid="{00000000-0005-0000-0000-00009A6F0000}"/>
    <cellStyle name="Normal 3 4 5 6 2 13 2" xfId="33673" xr:uid="{00000000-0005-0000-0000-00009B6F0000}"/>
    <cellStyle name="Normal 3 4 5 6 2 14" xfId="16200" xr:uid="{00000000-0005-0000-0000-00009C6F0000}"/>
    <cellStyle name="Normal 3 4 5 6 2 14 2" xfId="33674" xr:uid="{00000000-0005-0000-0000-00009D6F0000}"/>
    <cellStyle name="Normal 3 4 5 6 2 15" xfId="33669" xr:uid="{00000000-0005-0000-0000-00009E6F0000}"/>
    <cellStyle name="Normal 3 4 5 6 2 2" xfId="16201" xr:uid="{00000000-0005-0000-0000-00009F6F0000}"/>
    <cellStyle name="Normal 3 4 5 6 2 2 2" xfId="33675" xr:uid="{00000000-0005-0000-0000-0000A06F0000}"/>
    <cellStyle name="Normal 3 4 5 6 2 3" xfId="16202" xr:uid="{00000000-0005-0000-0000-0000A16F0000}"/>
    <cellStyle name="Normal 3 4 5 6 2 3 2" xfId="33676" xr:uid="{00000000-0005-0000-0000-0000A26F0000}"/>
    <cellStyle name="Normal 3 4 5 6 2 4" xfId="16203" xr:uid="{00000000-0005-0000-0000-0000A36F0000}"/>
    <cellStyle name="Normal 3 4 5 6 2 4 2" xfId="33677" xr:uid="{00000000-0005-0000-0000-0000A46F0000}"/>
    <cellStyle name="Normal 3 4 5 6 2 5" xfId="16204" xr:uid="{00000000-0005-0000-0000-0000A56F0000}"/>
    <cellStyle name="Normal 3 4 5 6 2 5 2" xfId="33678" xr:uid="{00000000-0005-0000-0000-0000A66F0000}"/>
    <cellStyle name="Normal 3 4 5 6 2 6" xfId="16205" xr:uid="{00000000-0005-0000-0000-0000A76F0000}"/>
    <cellStyle name="Normal 3 4 5 6 2 6 2" xfId="33679" xr:uid="{00000000-0005-0000-0000-0000A86F0000}"/>
    <cellStyle name="Normal 3 4 5 6 2 7" xfId="16206" xr:uid="{00000000-0005-0000-0000-0000A96F0000}"/>
    <cellStyle name="Normal 3 4 5 6 2 7 2" xfId="33680" xr:uid="{00000000-0005-0000-0000-0000AA6F0000}"/>
    <cellStyle name="Normal 3 4 5 6 2 8" xfId="16207" xr:uid="{00000000-0005-0000-0000-0000AB6F0000}"/>
    <cellStyle name="Normal 3 4 5 6 2 8 2" xfId="33681" xr:uid="{00000000-0005-0000-0000-0000AC6F0000}"/>
    <cellStyle name="Normal 3 4 5 6 2 9" xfId="16208" xr:uid="{00000000-0005-0000-0000-0000AD6F0000}"/>
    <cellStyle name="Normal 3 4 5 6 2 9 2" xfId="33682" xr:uid="{00000000-0005-0000-0000-0000AE6F0000}"/>
    <cellStyle name="Normal 3 4 5 6 3" xfId="16209" xr:uid="{00000000-0005-0000-0000-0000AF6F0000}"/>
    <cellStyle name="Normal 3 4 5 6 3 2" xfId="33683" xr:uid="{00000000-0005-0000-0000-0000B06F0000}"/>
    <cellStyle name="Normal 3 4 5 6 4" xfId="16210" xr:uid="{00000000-0005-0000-0000-0000B16F0000}"/>
    <cellStyle name="Normal 3 4 5 6 4 2" xfId="33684" xr:uid="{00000000-0005-0000-0000-0000B26F0000}"/>
    <cellStyle name="Normal 3 4 5 6 5" xfId="16211" xr:uid="{00000000-0005-0000-0000-0000B36F0000}"/>
    <cellStyle name="Normal 3 4 5 6 5 2" xfId="33685" xr:uid="{00000000-0005-0000-0000-0000B46F0000}"/>
    <cellStyle name="Normal 3 4 5 6 6" xfId="16212" xr:uid="{00000000-0005-0000-0000-0000B56F0000}"/>
    <cellStyle name="Normal 3 4 5 6 6 2" xfId="33686" xr:uid="{00000000-0005-0000-0000-0000B66F0000}"/>
    <cellStyle name="Normal 3 4 5 6 7" xfId="16213" xr:uid="{00000000-0005-0000-0000-0000B76F0000}"/>
    <cellStyle name="Normal 3 4 5 6 7 2" xfId="33687" xr:uid="{00000000-0005-0000-0000-0000B86F0000}"/>
    <cellStyle name="Normal 3 4 5 6 8" xfId="16214" xr:uid="{00000000-0005-0000-0000-0000B96F0000}"/>
    <cellStyle name="Normal 3 4 5 6 8 2" xfId="33688" xr:uid="{00000000-0005-0000-0000-0000BA6F0000}"/>
    <cellStyle name="Normal 3 4 5 6 9" xfId="16215" xr:uid="{00000000-0005-0000-0000-0000BB6F0000}"/>
    <cellStyle name="Normal 3 4 5 6 9 2" xfId="33689" xr:uid="{00000000-0005-0000-0000-0000BC6F0000}"/>
    <cellStyle name="Normal 3 4 5 7" xfId="16216" xr:uid="{00000000-0005-0000-0000-0000BD6F0000}"/>
    <cellStyle name="Normal 3 4 5 7 10" xfId="16217" xr:uid="{00000000-0005-0000-0000-0000BE6F0000}"/>
    <cellStyle name="Normal 3 4 5 7 10 2" xfId="33691" xr:uid="{00000000-0005-0000-0000-0000BF6F0000}"/>
    <cellStyle name="Normal 3 4 5 7 11" xfId="16218" xr:uid="{00000000-0005-0000-0000-0000C06F0000}"/>
    <cellStyle name="Normal 3 4 5 7 11 2" xfId="33692" xr:uid="{00000000-0005-0000-0000-0000C16F0000}"/>
    <cellStyle name="Normal 3 4 5 7 12" xfId="16219" xr:uid="{00000000-0005-0000-0000-0000C26F0000}"/>
    <cellStyle name="Normal 3 4 5 7 12 2" xfId="33693" xr:uid="{00000000-0005-0000-0000-0000C36F0000}"/>
    <cellStyle name="Normal 3 4 5 7 13" xfId="16220" xr:uid="{00000000-0005-0000-0000-0000C46F0000}"/>
    <cellStyle name="Normal 3 4 5 7 13 2" xfId="33694" xr:uid="{00000000-0005-0000-0000-0000C56F0000}"/>
    <cellStyle name="Normal 3 4 5 7 14" xfId="16221" xr:uid="{00000000-0005-0000-0000-0000C66F0000}"/>
    <cellStyle name="Normal 3 4 5 7 14 2" xfId="33695" xr:uid="{00000000-0005-0000-0000-0000C76F0000}"/>
    <cellStyle name="Normal 3 4 5 7 15" xfId="16222" xr:uid="{00000000-0005-0000-0000-0000C86F0000}"/>
    <cellStyle name="Normal 3 4 5 7 15 2" xfId="33696" xr:uid="{00000000-0005-0000-0000-0000C96F0000}"/>
    <cellStyle name="Normal 3 4 5 7 16" xfId="33690" xr:uid="{00000000-0005-0000-0000-0000CA6F0000}"/>
    <cellStyle name="Normal 3 4 5 7 2" xfId="16223" xr:uid="{00000000-0005-0000-0000-0000CB6F0000}"/>
    <cellStyle name="Normal 3 4 5 7 2 10" xfId="16224" xr:uid="{00000000-0005-0000-0000-0000CC6F0000}"/>
    <cellStyle name="Normal 3 4 5 7 2 10 2" xfId="33698" xr:uid="{00000000-0005-0000-0000-0000CD6F0000}"/>
    <cellStyle name="Normal 3 4 5 7 2 11" xfId="16225" xr:uid="{00000000-0005-0000-0000-0000CE6F0000}"/>
    <cellStyle name="Normal 3 4 5 7 2 11 2" xfId="33699" xr:uid="{00000000-0005-0000-0000-0000CF6F0000}"/>
    <cellStyle name="Normal 3 4 5 7 2 12" xfId="16226" xr:uid="{00000000-0005-0000-0000-0000D06F0000}"/>
    <cellStyle name="Normal 3 4 5 7 2 12 2" xfId="33700" xr:uid="{00000000-0005-0000-0000-0000D16F0000}"/>
    <cellStyle name="Normal 3 4 5 7 2 13" xfId="16227" xr:uid="{00000000-0005-0000-0000-0000D26F0000}"/>
    <cellStyle name="Normal 3 4 5 7 2 13 2" xfId="33701" xr:uid="{00000000-0005-0000-0000-0000D36F0000}"/>
    <cellStyle name="Normal 3 4 5 7 2 14" xfId="16228" xr:uid="{00000000-0005-0000-0000-0000D46F0000}"/>
    <cellStyle name="Normal 3 4 5 7 2 14 2" xfId="33702" xr:uid="{00000000-0005-0000-0000-0000D56F0000}"/>
    <cellStyle name="Normal 3 4 5 7 2 15" xfId="33697" xr:uid="{00000000-0005-0000-0000-0000D66F0000}"/>
    <cellStyle name="Normal 3 4 5 7 2 2" xfId="16229" xr:uid="{00000000-0005-0000-0000-0000D76F0000}"/>
    <cellStyle name="Normal 3 4 5 7 2 2 2" xfId="33703" xr:uid="{00000000-0005-0000-0000-0000D86F0000}"/>
    <cellStyle name="Normal 3 4 5 7 2 3" xfId="16230" xr:uid="{00000000-0005-0000-0000-0000D96F0000}"/>
    <cellStyle name="Normal 3 4 5 7 2 3 2" xfId="33704" xr:uid="{00000000-0005-0000-0000-0000DA6F0000}"/>
    <cellStyle name="Normal 3 4 5 7 2 4" xfId="16231" xr:uid="{00000000-0005-0000-0000-0000DB6F0000}"/>
    <cellStyle name="Normal 3 4 5 7 2 4 2" xfId="33705" xr:uid="{00000000-0005-0000-0000-0000DC6F0000}"/>
    <cellStyle name="Normal 3 4 5 7 2 5" xfId="16232" xr:uid="{00000000-0005-0000-0000-0000DD6F0000}"/>
    <cellStyle name="Normal 3 4 5 7 2 5 2" xfId="33706" xr:uid="{00000000-0005-0000-0000-0000DE6F0000}"/>
    <cellStyle name="Normal 3 4 5 7 2 6" xfId="16233" xr:uid="{00000000-0005-0000-0000-0000DF6F0000}"/>
    <cellStyle name="Normal 3 4 5 7 2 6 2" xfId="33707" xr:uid="{00000000-0005-0000-0000-0000E06F0000}"/>
    <cellStyle name="Normal 3 4 5 7 2 7" xfId="16234" xr:uid="{00000000-0005-0000-0000-0000E16F0000}"/>
    <cellStyle name="Normal 3 4 5 7 2 7 2" xfId="33708" xr:uid="{00000000-0005-0000-0000-0000E26F0000}"/>
    <cellStyle name="Normal 3 4 5 7 2 8" xfId="16235" xr:uid="{00000000-0005-0000-0000-0000E36F0000}"/>
    <cellStyle name="Normal 3 4 5 7 2 8 2" xfId="33709" xr:uid="{00000000-0005-0000-0000-0000E46F0000}"/>
    <cellStyle name="Normal 3 4 5 7 2 9" xfId="16236" xr:uid="{00000000-0005-0000-0000-0000E56F0000}"/>
    <cellStyle name="Normal 3 4 5 7 2 9 2" xfId="33710" xr:uid="{00000000-0005-0000-0000-0000E66F0000}"/>
    <cellStyle name="Normal 3 4 5 7 3" xfId="16237" xr:uid="{00000000-0005-0000-0000-0000E76F0000}"/>
    <cellStyle name="Normal 3 4 5 7 3 2" xfId="33711" xr:uid="{00000000-0005-0000-0000-0000E86F0000}"/>
    <cellStyle name="Normal 3 4 5 7 4" xfId="16238" xr:uid="{00000000-0005-0000-0000-0000E96F0000}"/>
    <cellStyle name="Normal 3 4 5 7 4 2" xfId="33712" xr:uid="{00000000-0005-0000-0000-0000EA6F0000}"/>
    <cellStyle name="Normal 3 4 5 7 5" xfId="16239" xr:uid="{00000000-0005-0000-0000-0000EB6F0000}"/>
    <cellStyle name="Normal 3 4 5 7 5 2" xfId="33713" xr:uid="{00000000-0005-0000-0000-0000EC6F0000}"/>
    <cellStyle name="Normal 3 4 5 7 6" xfId="16240" xr:uid="{00000000-0005-0000-0000-0000ED6F0000}"/>
    <cellStyle name="Normal 3 4 5 7 6 2" xfId="33714" xr:uid="{00000000-0005-0000-0000-0000EE6F0000}"/>
    <cellStyle name="Normal 3 4 5 7 7" xfId="16241" xr:uid="{00000000-0005-0000-0000-0000EF6F0000}"/>
    <cellStyle name="Normal 3 4 5 7 7 2" xfId="33715" xr:uid="{00000000-0005-0000-0000-0000F06F0000}"/>
    <cellStyle name="Normal 3 4 5 7 8" xfId="16242" xr:uid="{00000000-0005-0000-0000-0000F16F0000}"/>
    <cellStyle name="Normal 3 4 5 7 8 2" xfId="33716" xr:uid="{00000000-0005-0000-0000-0000F26F0000}"/>
    <cellStyle name="Normal 3 4 5 7 9" xfId="16243" xr:uid="{00000000-0005-0000-0000-0000F36F0000}"/>
    <cellStyle name="Normal 3 4 5 7 9 2" xfId="33717" xr:uid="{00000000-0005-0000-0000-0000F46F0000}"/>
    <cellStyle name="Normal 3 4 5 8" xfId="16244" xr:uid="{00000000-0005-0000-0000-0000F56F0000}"/>
    <cellStyle name="Normal 3 4 5 8 10" xfId="16245" xr:uid="{00000000-0005-0000-0000-0000F66F0000}"/>
    <cellStyle name="Normal 3 4 5 8 10 2" xfId="33719" xr:uid="{00000000-0005-0000-0000-0000F76F0000}"/>
    <cellStyle name="Normal 3 4 5 8 11" xfId="16246" xr:uid="{00000000-0005-0000-0000-0000F86F0000}"/>
    <cellStyle name="Normal 3 4 5 8 11 2" xfId="33720" xr:uid="{00000000-0005-0000-0000-0000F96F0000}"/>
    <cellStyle name="Normal 3 4 5 8 12" xfId="16247" xr:uid="{00000000-0005-0000-0000-0000FA6F0000}"/>
    <cellStyle name="Normal 3 4 5 8 12 2" xfId="33721" xr:uid="{00000000-0005-0000-0000-0000FB6F0000}"/>
    <cellStyle name="Normal 3 4 5 8 13" xfId="16248" xr:uid="{00000000-0005-0000-0000-0000FC6F0000}"/>
    <cellStyle name="Normal 3 4 5 8 13 2" xfId="33722" xr:uid="{00000000-0005-0000-0000-0000FD6F0000}"/>
    <cellStyle name="Normal 3 4 5 8 14" xfId="16249" xr:uid="{00000000-0005-0000-0000-0000FE6F0000}"/>
    <cellStyle name="Normal 3 4 5 8 14 2" xfId="33723" xr:uid="{00000000-0005-0000-0000-0000FF6F0000}"/>
    <cellStyle name="Normal 3 4 5 8 15" xfId="16250" xr:uid="{00000000-0005-0000-0000-000000700000}"/>
    <cellStyle name="Normal 3 4 5 8 15 2" xfId="33724" xr:uid="{00000000-0005-0000-0000-000001700000}"/>
    <cellStyle name="Normal 3 4 5 8 16" xfId="33718" xr:uid="{00000000-0005-0000-0000-000002700000}"/>
    <cellStyle name="Normal 3 4 5 8 2" xfId="16251" xr:uid="{00000000-0005-0000-0000-000003700000}"/>
    <cellStyle name="Normal 3 4 5 8 2 10" xfId="16252" xr:uid="{00000000-0005-0000-0000-000004700000}"/>
    <cellStyle name="Normal 3 4 5 8 2 10 2" xfId="33726" xr:uid="{00000000-0005-0000-0000-000005700000}"/>
    <cellStyle name="Normal 3 4 5 8 2 11" xfId="16253" xr:uid="{00000000-0005-0000-0000-000006700000}"/>
    <cellStyle name="Normal 3 4 5 8 2 11 2" xfId="33727" xr:uid="{00000000-0005-0000-0000-000007700000}"/>
    <cellStyle name="Normal 3 4 5 8 2 12" xfId="16254" xr:uid="{00000000-0005-0000-0000-000008700000}"/>
    <cellStyle name="Normal 3 4 5 8 2 12 2" xfId="33728" xr:uid="{00000000-0005-0000-0000-000009700000}"/>
    <cellStyle name="Normal 3 4 5 8 2 13" xfId="16255" xr:uid="{00000000-0005-0000-0000-00000A700000}"/>
    <cellStyle name="Normal 3 4 5 8 2 13 2" xfId="33729" xr:uid="{00000000-0005-0000-0000-00000B700000}"/>
    <cellStyle name="Normal 3 4 5 8 2 14" xfId="16256" xr:uid="{00000000-0005-0000-0000-00000C700000}"/>
    <cellStyle name="Normal 3 4 5 8 2 14 2" xfId="33730" xr:uid="{00000000-0005-0000-0000-00000D700000}"/>
    <cellStyle name="Normal 3 4 5 8 2 15" xfId="33725" xr:uid="{00000000-0005-0000-0000-00000E700000}"/>
    <cellStyle name="Normal 3 4 5 8 2 2" xfId="16257" xr:uid="{00000000-0005-0000-0000-00000F700000}"/>
    <cellStyle name="Normal 3 4 5 8 2 2 2" xfId="33731" xr:uid="{00000000-0005-0000-0000-000010700000}"/>
    <cellStyle name="Normal 3 4 5 8 2 3" xfId="16258" xr:uid="{00000000-0005-0000-0000-000011700000}"/>
    <cellStyle name="Normal 3 4 5 8 2 3 2" xfId="33732" xr:uid="{00000000-0005-0000-0000-000012700000}"/>
    <cellStyle name="Normal 3 4 5 8 2 4" xfId="16259" xr:uid="{00000000-0005-0000-0000-000013700000}"/>
    <cellStyle name="Normal 3 4 5 8 2 4 2" xfId="33733" xr:uid="{00000000-0005-0000-0000-000014700000}"/>
    <cellStyle name="Normal 3 4 5 8 2 5" xfId="16260" xr:uid="{00000000-0005-0000-0000-000015700000}"/>
    <cellStyle name="Normal 3 4 5 8 2 5 2" xfId="33734" xr:uid="{00000000-0005-0000-0000-000016700000}"/>
    <cellStyle name="Normal 3 4 5 8 2 6" xfId="16261" xr:uid="{00000000-0005-0000-0000-000017700000}"/>
    <cellStyle name="Normal 3 4 5 8 2 6 2" xfId="33735" xr:uid="{00000000-0005-0000-0000-000018700000}"/>
    <cellStyle name="Normal 3 4 5 8 2 7" xfId="16262" xr:uid="{00000000-0005-0000-0000-000019700000}"/>
    <cellStyle name="Normal 3 4 5 8 2 7 2" xfId="33736" xr:uid="{00000000-0005-0000-0000-00001A700000}"/>
    <cellStyle name="Normal 3 4 5 8 2 8" xfId="16263" xr:uid="{00000000-0005-0000-0000-00001B700000}"/>
    <cellStyle name="Normal 3 4 5 8 2 8 2" xfId="33737" xr:uid="{00000000-0005-0000-0000-00001C700000}"/>
    <cellStyle name="Normal 3 4 5 8 2 9" xfId="16264" xr:uid="{00000000-0005-0000-0000-00001D700000}"/>
    <cellStyle name="Normal 3 4 5 8 2 9 2" xfId="33738" xr:uid="{00000000-0005-0000-0000-00001E700000}"/>
    <cellStyle name="Normal 3 4 5 8 3" xfId="16265" xr:uid="{00000000-0005-0000-0000-00001F700000}"/>
    <cellStyle name="Normal 3 4 5 8 3 2" xfId="33739" xr:uid="{00000000-0005-0000-0000-000020700000}"/>
    <cellStyle name="Normal 3 4 5 8 4" xfId="16266" xr:uid="{00000000-0005-0000-0000-000021700000}"/>
    <cellStyle name="Normal 3 4 5 8 4 2" xfId="33740" xr:uid="{00000000-0005-0000-0000-000022700000}"/>
    <cellStyle name="Normal 3 4 5 8 5" xfId="16267" xr:uid="{00000000-0005-0000-0000-000023700000}"/>
    <cellStyle name="Normal 3 4 5 8 5 2" xfId="33741" xr:uid="{00000000-0005-0000-0000-000024700000}"/>
    <cellStyle name="Normal 3 4 5 8 6" xfId="16268" xr:uid="{00000000-0005-0000-0000-000025700000}"/>
    <cellStyle name="Normal 3 4 5 8 6 2" xfId="33742" xr:uid="{00000000-0005-0000-0000-000026700000}"/>
    <cellStyle name="Normal 3 4 5 8 7" xfId="16269" xr:uid="{00000000-0005-0000-0000-000027700000}"/>
    <cellStyle name="Normal 3 4 5 8 7 2" xfId="33743" xr:uid="{00000000-0005-0000-0000-000028700000}"/>
    <cellStyle name="Normal 3 4 5 8 8" xfId="16270" xr:uid="{00000000-0005-0000-0000-000029700000}"/>
    <cellStyle name="Normal 3 4 5 8 8 2" xfId="33744" xr:uid="{00000000-0005-0000-0000-00002A700000}"/>
    <cellStyle name="Normal 3 4 5 8 9" xfId="16271" xr:uid="{00000000-0005-0000-0000-00002B700000}"/>
    <cellStyle name="Normal 3 4 5 8 9 2" xfId="33745" xr:uid="{00000000-0005-0000-0000-00002C700000}"/>
    <cellStyle name="Normal 3 4 5 9" xfId="16272" xr:uid="{00000000-0005-0000-0000-00002D700000}"/>
    <cellStyle name="Normal 3 4 5 9 10" xfId="16273" xr:uid="{00000000-0005-0000-0000-00002E700000}"/>
    <cellStyle name="Normal 3 4 5 9 10 2" xfId="33747" xr:uid="{00000000-0005-0000-0000-00002F700000}"/>
    <cellStyle name="Normal 3 4 5 9 11" xfId="16274" xr:uid="{00000000-0005-0000-0000-000030700000}"/>
    <cellStyle name="Normal 3 4 5 9 11 2" xfId="33748" xr:uid="{00000000-0005-0000-0000-000031700000}"/>
    <cellStyle name="Normal 3 4 5 9 12" xfId="16275" xr:uid="{00000000-0005-0000-0000-000032700000}"/>
    <cellStyle name="Normal 3 4 5 9 12 2" xfId="33749" xr:uid="{00000000-0005-0000-0000-000033700000}"/>
    <cellStyle name="Normal 3 4 5 9 13" xfId="16276" xr:uid="{00000000-0005-0000-0000-000034700000}"/>
    <cellStyle name="Normal 3 4 5 9 13 2" xfId="33750" xr:uid="{00000000-0005-0000-0000-000035700000}"/>
    <cellStyle name="Normal 3 4 5 9 14" xfId="16277" xr:uid="{00000000-0005-0000-0000-000036700000}"/>
    <cellStyle name="Normal 3 4 5 9 14 2" xfId="33751" xr:uid="{00000000-0005-0000-0000-000037700000}"/>
    <cellStyle name="Normal 3 4 5 9 15" xfId="33746" xr:uid="{00000000-0005-0000-0000-000038700000}"/>
    <cellStyle name="Normal 3 4 5 9 2" xfId="16278" xr:uid="{00000000-0005-0000-0000-000039700000}"/>
    <cellStyle name="Normal 3 4 5 9 2 2" xfId="33752" xr:uid="{00000000-0005-0000-0000-00003A700000}"/>
    <cellStyle name="Normal 3 4 5 9 3" xfId="16279" xr:uid="{00000000-0005-0000-0000-00003B700000}"/>
    <cellStyle name="Normal 3 4 5 9 3 2" xfId="33753" xr:uid="{00000000-0005-0000-0000-00003C700000}"/>
    <cellStyle name="Normal 3 4 5 9 4" xfId="16280" xr:uid="{00000000-0005-0000-0000-00003D700000}"/>
    <cellStyle name="Normal 3 4 5 9 4 2" xfId="33754" xr:uid="{00000000-0005-0000-0000-00003E700000}"/>
    <cellStyle name="Normal 3 4 5 9 5" xfId="16281" xr:uid="{00000000-0005-0000-0000-00003F700000}"/>
    <cellStyle name="Normal 3 4 5 9 5 2" xfId="33755" xr:uid="{00000000-0005-0000-0000-000040700000}"/>
    <cellStyle name="Normal 3 4 5 9 6" xfId="16282" xr:uid="{00000000-0005-0000-0000-000041700000}"/>
    <cellStyle name="Normal 3 4 5 9 6 2" xfId="33756" xr:uid="{00000000-0005-0000-0000-000042700000}"/>
    <cellStyle name="Normal 3 4 5 9 7" xfId="16283" xr:uid="{00000000-0005-0000-0000-000043700000}"/>
    <cellStyle name="Normal 3 4 5 9 7 2" xfId="33757" xr:uid="{00000000-0005-0000-0000-000044700000}"/>
    <cellStyle name="Normal 3 4 5 9 8" xfId="16284" xr:uid="{00000000-0005-0000-0000-000045700000}"/>
    <cellStyle name="Normal 3 4 5 9 8 2" xfId="33758" xr:uid="{00000000-0005-0000-0000-000046700000}"/>
    <cellStyle name="Normal 3 4 5 9 9" xfId="16285" xr:uid="{00000000-0005-0000-0000-000047700000}"/>
    <cellStyle name="Normal 3 4 5 9 9 2" xfId="33759" xr:uid="{00000000-0005-0000-0000-000048700000}"/>
    <cellStyle name="Normal 3 4 6" xfId="16286" xr:uid="{00000000-0005-0000-0000-000049700000}"/>
    <cellStyle name="Normal 3 4 6 10" xfId="16287" xr:uid="{00000000-0005-0000-0000-00004A700000}"/>
    <cellStyle name="Normal 3 4 6 10 10" xfId="16288" xr:uid="{00000000-0005-0000-0000-00004B700000}"/>
    <cellStyle name="Normal 3 4 6 10 10 2" xfId="33762" xr:uid="{00000000-0005-0000-0000-00004C700000}"/>
    <cellStyle name="Normal 3 4 6 10 11" xfId="16289" xr:uid="{00000000-0005-0000-0000-00004D700000}"/>
    <cellStyle name="Normal 3 4 6 10 11 2" xfId="33763" xr:uid="{00000000-0005-0000-0000-00004E700000}"/>
    <cellStyle name="Normal 3 4 6 10 12" xfId="16290" xr:uid="{00000000-0005-0000-0000-00004F700000}"/>
    <cellStyle name="Normal 3 4 6 10 12 2" xfId="33764" xr:uid="{00000000-0005-0000-0000-000050700000}"/>
    <cellStyle name="Normal 3 4 6 10 13" xfId="16291" xr:uid="{00000000-0005-0000-0000-000051700000}"/>
    <cellStyle name="Normal 3 4 6 10 13 2" xfId="33765" xr:uid="{00000000-0005-0000-0000-000052700000}"/>
    <cellStyle name="Normal 3 4 6 10 14" xfId="16292" xr:uid="{00000000-0005-0000-0000-000053700000}"/>
    <cellStyle name="Normal 3 4 6 10 14 2" xfId="33766" xr:uid="{00000000-0005-0000-0000-000054700000}"/>
    <cellStyle name="Normal 3 4 6 10 15" xfId="33761" xr:uid="{00000000-0005-0000-0000-000055700000}"/>
    <cellStyle name="Normal 3 4 6 10 2" xfId="16293" xr:uid="{00000000-0005-0000-0000-000056700000}"/>
    <cellStyle name="Normal 3 4 6 10 2 2" xfId="33767" xr:uid="{00000000-0005-0000-0000-000057700000}"/>
    <cellStyle name="Normal 3 4 6 10 3" xfId="16294" xr:uid="{00000000-0005-0000-0000-000058700000}"/>
    <cellStyle name="Normal 3 4 6 10 3 2" xfId="33768" xr:uid="{00000000-0005-0000-0000-000059700000}"/>
    <cellStyle name="Normal 3 4 6 10 4" xfId="16295" xr:uid="{00000000-0005-0000-0000-00005A700000}"/>
    <cellStyle name="Normal 3 4 6 10 4 2" xfId="33769" xr:uid="{00000000-0005-0000-0000-00005B700000}"/>
    <cellStyle name="Normal 3 4 6 10 5" xfId="16296" xr:uid="{00000000-0005-0000-0000-00005C700000}"/>
    <cellStyle name="Normal 3 4 6 10 5 2" xfId="33770" xr:uid="{00000000-0005-0000-0000-00005D700000}"/>
    <cellStyle name="Normal 3 4 6 10 6" xfId="16297" xr:uid="{00000000-0005-0000-0000-00005E700000}"/>
    <cellStyle name="Normal 3 4 6 10 6 2" xfId="33771" xr:uid="{00000000-0005-0000-0000-00005F700000}"/>
    <cellStyle name="Normal 3 4 6 10 7" xfId="16298" xr:uid="{00000000-0005-0000-0000-000060700000}"/>
    <cellStyle name="Normal 3 4 6 10 7 2" xfId="33772" xr:uid="{00000000-0005-0000-0000-000061700000}"/>
    <cellStyle name="Normal 3 4 6 10 8" xfId="16299" xr:uid="{00000000-0005-0000-0000-000062700000}"/>
    <cellStyle name="Normal 3 4 6 10 8 2" xfId="33773" xr:uid="{00000000-0005-0000-0000-000063700000}"/>
    <cellStyle name="Normal 3 4 6 10 9" xfId="16300" xr:uid="{00000000-0005-0000-0000-000064700000}"/>
    <cellStyle name="Normal 3 4 6 10 9 2" xfId="33774" xr:uid="{00000000-0005-0000-0000-000065700000}"/>
    <cellStyle name="Normal 3 4 6 11" xfId="16301" xr:uid="{00000000-0005-0000-0000-000066700000}"/>
    <cellStyle name="Normal 3 4 6 11 10" xfId="16302" xr:uid="{00000000-0005-0000-0000-000067700000}"/>
    <cellStyle name="Normal 3 4 6 11 10 2" xfId="33776" xr:uid="{00000000-0005-0000-0000-000068700000}"/>
    <cellStyle name="Normal 3 4 6 11 11" xfId="16303" xr:uid="{00000000-0005-0000-0000-000069700000}"/>
    <cellStyle name="Normal 3 4 6 11 11 2" xfId="33777" xr:uid="{00000000-0005-0000-0000-00006A700000}"/>
    <cellStyle name="Normal 3 4 6 11 12" xfId="16304" xr:uid="{00000000-0005-0000-0000-00006B700000}"/>
    <cellStyle name="Normal 3 4 6 11 12 2" xfId="33778" xr:uid="{00000000-0005-0000-0000-00006C700000}"/>
    <cellStyle name="Normal 3 4 6 11 13" xfId="16305" xr:uid="{00000000-0005-0000-0000-00006D700000}"/>
    <cellStyle name="Normal 3 4 6 11 13 2" xfId="33779" xr:uid="{00000000-0005-0000-0000-00006E700000}"/>
    <cellStyle name="Normal 3 4 6 11 14" xfId="16306" xr:uid="{00000000-0005-0000-0000-00006F700000}"/>
    <cellStyle name="Normal 3 4 6 11 14 2" xfId="33780" xr:uid="{00000000-0005-0000-0000-000070700000}"/>
    <cellStyle name="Normal 3 4 6 11 15" xfId="33775" xr:uid="{00000000-0005-0000-0000-000071700000}"/>
    <cellStyle name="Normal 3 4 6 11 2" xfId="16307" xr:uid="{00000000-0005-0000-0000-000072700000}"/>
    <cellStyle name="Normal 3 4 6 11 2 2" xfId="33781" xr:uid="{00000000-0005-0000-0000-000073700000}"/>
    <cellStyle name="Normal 3 4 6 11 3" xfId="16308" xr:uid="{00000000-0005-0000-0000-000074700000}"/>
    <cellStyle name="Normal 3 4 6 11 3 2" xfId="33782" xr:uid="{00000000-0005-0000-0000-000075700000}"/>
    <cellStyle name="Normal 3 4 6 11 4" xfId="16309" xr:uid="{00000000-0005-0000-0000-000076700000}"/>
    <cellStyle name="Normal 3 4 6 11 4 2" xfId="33783" xr:uid="{00000000-0005-0000-0000-000077700000}"/>
    <cellStyle name="Normal 3 4 6 11 5" xfId="16310" xr:uid="{00000000-0005-0000-0000-000078700000}"/>
    <cellStyle name="Normal 3 4 6 11 5 2" xfId="33784" xr:uid="{00000000-0005-0000-0000-000079700000}"/>
    <cellStyle name="Normal 3 4 6 11 6" xfId="16311" xr:uid="{00000000-0005-0000-0000-00007A700000}"/>
    <cellStyle name="Normal 3 4 6 11 6 2" xfId="33785" xr:uid="{00000000-0005-0000-0000-00007B700000}"/>
    <cellStyle name="Normal 3 4 6 11 7" xfId="16312" xr:uid="{00000000-0005-0000-0000-00007C700000}"/>
    <cellStyle name="Normal 3 4 6 11 7 2" xfId="33786" xr:uid="{00000000-0005-0000-0000-00007D700000}"/>
    <cellStyle name="Normal 3 4 6 11 8" xfId="16313" xr:uid="{00000000-0005-0000-0000-00007E700000}"/>
    <cellStyle name="Normal 3 4 6 11 8 2" xfId="33787" xr:uid="{00000000-0005-0000-0000-00007F700000}"/>
    <cellStyle name="Normal 3 4 6 11 9" xfId="16314" xr:uid="{00000000-0005-0000-0000-000080700000}"/>
    <cellStyle name="Normal 3 4 6 11 9 2" xfId="33788" xr:uid="{00000000-0005-0000-0000-000081700000}"/>
    <cellStyle name="Normal 3 4 6 12" xfId="16315" xr:uid="{00000000-0005-0000-0000-000082700000}"/>
    <cellStyle name="Normal 3 4 6 12 10" xfId="16316" xr:uid="{00000000-0005-0000-0000-000083700000}"/>
    <cellStyle name="Normal 3 4 6 12 10 2" xfId="33790" xr:uid="{00000000-0005-0000-0000-000084700000}"/>
    <cellStyle name="Normal 3 4 6 12 11" xfId="16317" xr:uid="{00000000-0005-0000-0000-000085700000}"/>
    <cellStyle name="Normal 3 4 6 12 11 2" xfId="33791" xr:uid="{00000000-0005-0000-0000-000086700000}"/>
    <cellStyle name="Normal 3 4 6 12 12" xfId="16318" xr:uid="{00000000-0005-0000-0000-000087700000}"/>
    <cellStyle name="Normal 3 4 6 12 12 2" xfId="33792" xr:uid="{00000000-0005-0000-0000-000088700000}"/>
    <cellStyle name="Normal 3 4 6 12 13" xfId="16319" xr:uid="{00000000-0005-0000-0000-000089700000}"/>
    <cellStyle name="Normal 3 4 6 12 13 2" xfId="33793" xr:uid="{00000000-0005-0000-0000-00008A700000}"/>
    <cellStyle name="Normal 3 4 6 12 14" xfId="16320" xr:uid="{00000000-0005-0000-0000-00008B700000}"/>
    <cellStyle name="Normal 3 4 6 12 14 2" xfId="33794" xr:uid="{00000000-0005-0000-0000-00008C700000}"/>
    <cellStyle name="Normal 3 4 6 12 15" xfId="33789" xr:uid="{00000000-0005-0000-0000-00008D700000}"/>
    <cellStyle name="Normal 3 4 6 12 2" xfId="16321" xr:uid="{00000000-0005-0000-0000-00008E700000}"/>
    <cellStyle name="Normal 3 4 6 12 2 2" xfId="33795" xr:uid="{00000000-0005-0000-0000-00008F700000}"/>
    <cellStyle name="Normal 3 4 6 12 3" xfId="16322" xr:uid="{00000000-0005-0000-0000-000090700000}"/>
    <cellStyle name="Normal 3 4 6 12 3 2" xfId="33796" xr:uid="{00000000-0005-0000-0000-000091700000}"/>
    <cellStyle name="Normal 3 4 6 12 4" xfId="16323" xr:uid="{00000000-0005-0000-0000-000092700000}"/>
    <cellStyle name="Normal 3 4 6 12 4 2" xfId="33797" xr:uid="{00000000-0005-0000-0000-000093700000}"/>
    <cellStyle name="Normal 3 4 6 12 5" xfId="16324" xr:uid="{00000000-0005-0000-0000-000094700000}"/>
    <cellStyle name="Normal 3 4 6 12 5 2" xfId="33798" xr:uid="{00000000-0005-0000-0000-000095700000}"/>
    <cellStyle name="Normal 3 4 6 12 6" xfId="16325" xr:uid="{00000000-0005-0000-0000-000096700000}"/>
    <cellStyle name="Normal 3 4 6 12 6 2" xfId="33799" xr:uid="{00000000-0005-0000-0000-000097700000}"/>
    <cellStyle name="Normal 3 4 6 12 7" xfId="16326" xr:uid="{00000000-0005-0000-0000-000098700000}"/>
    <cellStyle name="Normal 3 4 6 12 7 2" xfId="33800" xr:uid="{00000000-0005-0000-0000-000099700000}"/>
    <cellStyle name="Normal 3 4 6 12 8" xfId="16327" xr:uid="{00000000-0005-0000-0000-00009A700000}"/>
    <cellStyle name="Normal 3 4 6 12 8 2" xfId="33801" xr:uid="{00000000-0005-0000-0000-00009B700000}"/>
    <cellStyle name="Normal 3 4 6 12 9" xfId="16328" xr:uid="{00000000-0005-0000-0000-00009C700000}"/>
    <cellStyle name="Normal 3 4 6 12 9 2" xfId="33802" xr:uid="{00000000-0005-0000-0000-00009D700000}"/>
    <cellStyle name="Normal 3 4 6 13" xfId="16329" xr:uid="{00000000-0005-0000-0000-00009E700000}"/>
    <cellStyle name="Normal 3 4 6 13 10" xfId="16330" xr:uid="{00000000-0005-0000-0000-00009F700000}"/>
    <cellStyle name="Normal 3 4 6 13 10 2" xfId="33804" xr:uid="{00000000-0005-0000-0000-0000A0700000}"/>
    <cellStyle name="Normal 3 4 6 13 11" xfId="16331" xr:uid="{00000000-0005-0000-0000-0000A1700000}"/>
    <cellStyle name="Normal 3 4 6 13 11 2" xfId="33805" xr:uid="{00000000-0005-0000-0000-0000A2700000}"/>
    <cellStyle name="Normal 3 4 6 13 12" xfId="16332" xr:uid="{00000000-0005-0000-0000-0000A3700000}"/>
    <cellStyle name="Normal 3 4 6 13 12 2" xfId="33806" xr:uid="{00000000-0005-0000-0000-0000A4700000}"/>
    <cellStyle name="Normal 3 4 6 13 13" xfId="16333" xr:uid="{00000000-0005-0000-0000-0000A5700000}"/>
    <cellStyle name="Normal 3 4 6 13 13 2" xfId="33807" xr:uid="{00000000-0005-0000-0000-0000A6700000}"/>
    <cellStyle name="Normal 3 4 6 13 14" xfId="16334" xr:uid="{00000000-0005-0000-0000-0000A7700000}"/>
    <cellStyle name="Normal 3 4 6 13 14 2" xfId="33808" xr:uid="{00000000-0005-0000-0000-0000A8700000}"/>
    <cellStyle name="Normal 3 4 6 13 15" xfId="33803" xr:uid="{00000000-0005-0000-0000-0000A9700000}"/>
    <cellStyle name="Normal 3 4 6 13 2" xfId="16335" xr:uid="{00000000-0005-0000-0000-0000AA700000}"/>
    <cellStyle name="Normal 3 4 6 13 2 2" xfId="33809" xr:uid="{00000000-0005-0000-0000-0000AB700000}"/>
    <cellStyle name="Normal 3 4 6 13 3" xfId="16336" xr:uid="{00000000-0005-0000-0000-0000AC700000}"/>
    <cellStyle name="Normal 3 4 6 13 3 2" xfId="33810" xr:uid="{00000000-0005-0000-0000-0000AD700000}"/>
    <cellStyle name="Normal 3 4 6 13 4" xfId="16337" xr:uid="{00000000-0005-0000-0000-0000AE700000}"/>
    <cellStyle name="Normal 3 4 6 13 4 2" xfId="33811" xr:uid="{00000000-0005-0000-0000-0000AF700000}"/>
    <cellStyle name="Normal 3 4 6 13 5" xfId="16338" xr:uid="{00000000-0005-0000-0000-0000B0700000}"/>
    <cellStyle name="Normal 3 4 6 13 5 2" xfId="33812" xr:uid="{00000000-0005-0000-0000-0000B1700000}"/>
    <cellStyle name="Normal 3 4 6 13 6" xfId="16339" xr:uid="{00000000-0005-0000-0000-0000B2700000}"/>
    <cellStyle name="Normal 3 4 6 13 6 2" xfId="33813" xr:uid="{00000000-0005-0000-0000-0000B3700000}"/>
    <cellStyle name="Normal 3 4 6 13 7" xfId="16340" xr:uid="{00000000-0005-0000-0000-0000B4700000}"/>
    <cellStyle name="Normal 3 4 6 13 7 2" xfId="33814" xr:uid="{00000000-0005-0000-0000-0000B5700000}"/>
    <cellStyle name="Normal 3 4 6 13 8" xfId="16341" xr:uid="{00000000-0005-0000-0000-0000B6700000}"/>
    <cellStyle name="Normal 3 4 6 13 8 2" xfId="33815" xr:uid="{00000000-0005-0000-0000-0000B7700000}"/>
    <cellStyle name="Normal 3 4 6 13 9" xfId="16342" xr:uid="{00000000-0005-0000-0000-0000B8700000}"/>
    <cellStyle name="Normal 3 4 6 13 9 2" xfId="33816" xr:uid="{00000000-0005-0000-0000-0000B9700000}"/>
    <cellStyle name="Normal 3 4 6 14" xfId="16343" xr:uid="{00000000-0005-0000-0000-0000BA700000}"/>
    <cellStyle name="Normal 3 4 6 14 10" xfId="16344" xr:uid="{00000000-0005-0000-0000-0000BB700000}"/>
    <cellStyle name="Normal 3 4 6 14 10 2" xfId="33818" xr:uid="{00000000-0005-0000-0000-0000BC700000}"/>
    <cellStyle name="Normal 3 4 6 14 11" xfId="16345" xr:uid="{00000000-0005-0000-0000-0000BD700000}"/>
    <cellStyle name="Normal 3 4 6 14 11 2" xfId="33819" xr:uid="{00000000-0005-0000-0000-0000BE700000}"/>
    <cellStyle name="Normal 3 4 6 14 12" xfId="16346" xr:uid="{00000000-0005-0000-0000-0000BF700000}"/>
    <cellStyle name="Normal 3 4 6 14 12 2" xfId="33820" xr:uid="{00000000-0005-0000-0000-0000C0700000}"/>
    <cellStyle name="Normal 3 4 6 14 13" xfId="16347" xr:uid="{00000000-0005-0000-0000-0000C1700000}"/>
    <cellStyle name="Normal 3 4 6 14 13 2" xfId="33821" xr:uid="{00000000-0005-0000-0000-0000C2700000}"/>
    <cellStyle name="Normal 3 4 6 14 14" xfId="16348" xr:uid="{00000000-0005-0000-0000-0000C3700000}"/>
    <cellStyle name="Normal 3 4 6 14 14 2" xfId="33822" xr:uid="{00000000-0005-0000-0000-0000C4700000}"/>
    <cellStyle name="Normal 3 4 6 14 15" xfId="33817" xr:uid="{00000000-0005-0000-0000-0000C5700000}"/>
    <cellStyle name="Normal 3 4 6 14 2" xfId="16349" xr:uid="{00000000-0005-0000-0000-0000C6700000}"/>
    <cellStyle name="Normal 3 4 6 14 2 2" xfId="33823" xr:uid="{00000000-0005-0000-0000-0000C7700000}"/>
    <cellStyle name="Normal 3 4 6 14 3" xfId="16350" xr:uid="{00000000-0005-0000-0000-0000C8700000}"/>
    <cellStyle name="Normal 3 4 6 14 3 2" xfId="33824" xr:uid="{00000000-0005-0000-0000-0000C9700000}"/>
    <cellStyle name="Normal 3 4 6 14 4" xfId="16351" xr:uid="{00000000-0005-0000-0000-0000CA700000}"/>
    <cellStyle name="Normal 3 4 6 14 4 2" xfId="33825" xr:uid="{00000000-0005-0000-0000-0000CB700000}"/>
    <cellStyle name="Normal 3 4 6 14 5" xfId="16352" xr:uid="{00000000-0005-0000-0000-0000CC700000}"/>
    <cellStyle name="Normal 3 4 6 14 5 2" xfId="33826" xr:uid="{00000000-0005-0000-0000-0000CD700000}"/>
    <cellStyle name="Normal 3 4 6 14 6" xfId="16353" xr:uid="{00000000-0005-0000-0000-0000CE700000}"/>
    <cellStyle name="Normal 3 4 6 14 6 2" xfId="33827" xr:uid="{00000000-0005-0000-0000-0000CF700000}"/>
    <cellStyle name="Normal 3 4 6 14 7" xfId="16354" xr:uid="{00000000-0005-0000-0000-0000D0700000}"/>
    <cellStyle name="Normal 3 4 6 14 7 2" xfId="33828" xr:uid="{00000000-0005-0000-0000-0000D1700000}"/>
    <cellStyle name="Normal 3 4 6 14 8" xfId="16355" xr:uid="{00000000-0005-0000-0000-0000D2700000}"/>
    <cellStyle name="Normal 3 4 6 14 8 2" xfId="33829" xr:uid="{00000000-0005-0000-0000-0000D3700000}"/>
    <cellStyle name="Normal 3 4 6 14 9" xfId="16356" xr:uid="{00000000-0005-0000-0000-0000D4700000}"/>
    <cellStyle name="Normal 3 4 6 14 9 2" xfId="33830" xr:uid="{00000000-0005-0000-0000-0000D5700000}"/>
    <cellStyle name="Normal 3 4 6 15" xfId="16357" xr:uid="{00000000-0005-0000-0000-0000D6700000}"/>
    <cellStyle name="Normal 3 4 6 15 2" xfId="33831" xr:uid="{00000000-0005-0000-0000-0000D7700000}"/>
    <cellStyle name="Normal 3 4 6 16" xfId="16358" xr:uid="{00000000-0005-0000-0000-0000D8700000}"/>
    <cellStyle name="Normal 3 4 6 16 2" xfId="33832" xr:uid="{00000000-0005-0000-0000-0000D9700000}"/>
    <cellStyle name="Normal 3 4 6 17" xfId="16359" xr:uid="{00000000-0005-0000-0000-0000DA700000}"/>
    <cellStyle name="Normal 3 4 6 17 2" xfId="33833" xr:uid="{00000000-0005-0000-0000-0000DB700000}"/>
    <cellStyle name="Normal 3 4 6 18" xfId="16360" xr:uid="{00000000-0005-0000-0000-0000DC700000}"/>
    <cellStyle name="Normal 3 4 6 18 2" xfId="33834" xr:uid="{00000000-0005-0000-0000-0000DD700000}"/>
    <cellStyle name="Normal 3 4 6 19" xfId="16361" xr:uid="{00000000-0005-0000-0000-0000DE700000}"/>
    <cellStyle name="Normal 3 4 6 19 2" xfId="33835" xr:uid="{00000000-0005-0000-0000-0000DF700000}"/>
    <cellStyle name="Normal 3 4 6 2" xfId="16362" xr:uid="{00000000-0005-0000-0000-0000E0700000}"/>
    <cellStyle name="Normal 3 4 6 20" xfId="16363" xr:uid="{00000000-0005-0000-0000-0000E1700000}"/>
    <cellStyle name="Normal 3 4 6 20 2" xfId="33836" xr:uid="{00000000-0005-0000-0000-0000E2700000}"/>
    <cellStyle name="Normal 3 4 6 21" xfId="16364" xr:uid="{00000000-0005-0000-0000-0000E3700000}"/>
    <cellStyle name="Normal 3 4 6 21 2" xfId="33837" xr:uid="{00000000-0005-0000-0000-0000E4700000}"/>
    <cellStyle name="Normal 3 4 6 22" xfId="16365" xr:uid="{00000000-0005-0000-0000-0000E5700000}"/>
    <cellStyle name="Normal 3 4 6 22 2" xfId="33838" xr:uid="{00000000-0005-0000-0000-0000E6700000}"/>
    <cellStyle name="Normal 3 4 6 23" xfId="16366" xr:uid="{00000000-0005-0000-0000-0000E7700000}"/>
    <cellStyle name="Normal 3 4 6 23 2" xfId="33839" xr:uid="{00000000-0005-0000-0000-0000E8700000}"/>
    <cellStyle name="Normal 3 4 6 24" xfId="16367" xr:uid="{00000000-0005-0000-0000-0000E9700000}"/>
    <cellStyle name="Normal 3 4 6 24 2" xfId="33840" xr:uid="{00000000-0005-0000-0000-0000EA700000}"/>
    <cellStyle name="Normal 3 4 6 25" xfId="16368" xr:uid="{00000000-0005-0000-0000-0000EB700000}"/>
    <cellStyle name="Normal 3 4 6 25 2" xfId="33841" xr:uid="{00000000-0005-0000-0000-0000EC700000}"/>
    <cellStyle name="Normal 3 4 6 26" xfId="16369" xr:uid="{00000000-0005-0000-0000-0000ED700000}"/>
    <cellStyle name="Normal 3 4 6 26 2" xfId="33842" xr:uid="{00000000-0005-0000-0000-0000EE700000}"/>
    <cellStyle name="Normal 3 4 6 27" xfId="16370" xr:uid="{00000000-0005-0000-0000-0000EF700000}"/>
    <cellStyle name="Normal 3 4 6 27 2" xfId="33843" xr:uid="{00000000-0005-0000-0000-0000F0700000}"/>
    <cellStyle name="Normal 3 4 6 28" xfId="33760" xr:uid="{00000000-0005-0000-0000-0000F1700000}"/>
    <cellStyle name="Normal 3 4 6 3" xfId="16371" xr:uid="{00000000-0005-0000-0000-0000F2700000}"/>
    <cellStyle name="Normal 3 4 6 4" xfId="16372" xr:uid="{00000000-0005-0000-0000-0000F3700000}"/>
    <cellStyle name="Normal 3 4 6 5" xfId="16373" xr:uid="{00000000-0005-0000-0000-0000F4700000}"/>
    <cellStyle name="Normal 3 4 6 6" xfId="16374" xr:uid="{00000000-0005-0000-0000-0000F5700000}"/>
    <cellStyle name="Normal 3 4 6 6 10" xfId="16375" xr:uid="{00000000-0005-0000-0000-0000F6700000}"/>
    <cellStyle name="Normal 3 4 6 6 10 2" xfId="33845" xr:uid="{00000000-0005-0000-0000-0000F7700000}"/>
    <cellStyle name="Normal 3 4 6 6 11" xfId="16376" xr:uid="{00000000-0005-0000-0000-0000F8700000}"/>
    <cellStyle name="Normal 3 4 6 6 11 2" xfId="33846" xr:uid="{00000000-0005-0000-0000-0000F9700000}"/>
    <cellStyle name="Normal 3 4 6 6 12" xfId="16377" xr:uid="{00000000-0005-0000-0000-0000FA700000}"/>
    <cellStyle name="Normal 3 4 6 6 12 2" xfId="33847" xr:uid="{00000000-0005-0000-0000-0000FB700000}"/>
    <cellStyle name="Normal 3 4 6 6 13" xfId="16378" xr:uid="{00000000-0005-0000-0000-0000FC700000}"/>
    <cellStyle name="Normal 3 4 6 6 13 2" xfId="33848" xr:uid="{00000000-0005-0000-0000-0000FD700000}"/>
    <cellStyle name="Normal 3 4 6 6 14" xfId="16379" xr:uid="{00000000-0005-0000-0000-0000FE700000}"/>
    <cellStyle name="Normal 3 4 6 6 14 2" xfId="33849" xr:uid="{00000000-0005-0000-0000-0000FF700000}"/>
    <cellStyle name="Normal 3 4 6 6 15" xfId="16380" xr:uid="{00000000-0005-0000-0000-000000710000}"/>
    <cellStyle name="Normal 3 4 6 6 15 2" xfId="33850" xr:uid="{00000000-0005-0000-0000-000001710000}"/>
    <cellStyle name="Normal 3 4 6 6 16" xfId="33844" xr:uid="{00000000-0005-0000-0000-000002710000}"/>
    <cellStyle name="Normal 3 4 6 6 2" xfId="16381" xr:uid="{00000000-0005-0000-0000-000003710000}"/>
    <cellStyle name="Normal 3 4 6 6 2 10" xfId="16382" xr:uid="{00000000-0005-0000-0000-000004710000}"/>
    <cellStyle name="Normal 3 4 6 6 2 10 2" xfId="33852" xr:uid="{00000000-0005-0000-0000-000005710000}"/>
    <cellStyle name="Normal 3 4 6 6 2 11" xfId="16383" xr:uid="{00000000-0005-0000-0000-000006710000}"/>
    <cellStyle name="Normal 3 4 6 6 2 11 2" xfId="33853" xr:uid="{00000000-0005-0000-0000-000007710000}"/>
    <cellStyle name="Normal 3 4 6 6 2 12" xfId="16384" xr:uid="{00000000-0005-0000-0000-000008710000}"/>
    <cellStyle name="Normal 3 4 6 6 2 12 2" xfId="33854" xr:uid="{00000000-0005-0000-0000-000009710000}"/>
    <cellStyle name="Normal 3 4 6 6 2 13" xfId="16385" xr:uid="{00000000-0005-0000-0000-00000A710000}"/>
    <cellStyle name="Normal 3 4 6 6 2 13 2" xfId="33855" xr:uid="{00000000-0005-0000-0000-00000B710000}"/>
    <cellStyle name="Normal 3 4 6 6 2 14" xfId="16386" xr:uid="{00000000-0005-0000-0000-00000C710000}"/>
    <cellStyle name="Normal 3 4 6 6 2 14 2" xfId="33856" xr:uid="{00000000-0005-0000-0000-00000D710000}"/>
    <cellStyle name="Normal 3 4 6 6 2 15" xfId="33851" xr:uid="{00000000-0005-0000-0000-00000E710000}"/>
    <cellStyle name="Normal 3 4 6 6 2 2" xfId="16387" xr:uid="{00000000-0005-0000-0000-00000F710000}"/>
    <cellStyle name="Normal 3 4 6 6 2 2 2" xfId="33857" xr:uid="{00000000-0005-0000-0000-000010710000}"/>
    <cellStyle name="Normal 3 4 6 6 2 3" xfId="16388" xr:uid="{00000000-0005-0000-0000-000011710000}"/>
    <cellStyle name="Normal 3 4 6 6 2 3 2" xfId="33858" xr:uid="{00000000-0005-0000-0000-000012710000}"/>
    <cellStyle name="Normal 3 4 6 6 2 4" xfId="16389" xr:uid="{00000000-0005-0000-0000-000013710000}"/>
    <cellStyle name="Normal 3 4 6 6 2 4 2" xfId="33859" xr:uid="{00000000-0005-0000-0000-000014710000}"/>
    <cellStyle name="Normal 3 4 6 6 2 5" xfId="16390" xr:uid="{00000000-0005-0000-0000-000015710000}"/>
    <cellStyle name="Normal 3 4 6 6 2 5 2" xfId="33860" xr:uid="{00000000-0005-0000-0000-000016710000}"/>
    <cellStyle name="Normal 3 4 6 6 2 6" xfId="16391" xr:uid="{00000000-0005-0000-0000-000017710000}"/>
    <cellStyle name="Normal 3 4 6 6 2 6 2" xfId="33861" xr:uid="{00000000-0005-0000-0000-000018710000}"/>
    <cellStyle name="Normal 3 4 6 6 2 7" xfId="16392" xr:uid="{00000000-0005-0000-0000-000019710000}"/>
    <cellStyle name="Normal 3 4 6 6 2 7 2" xfId="33862" xr:uid="{00000000-0005-0000-0000-00001A710000}"/>
    <cellStyle name="Normal 3 4 6 6 2 8" xfId="16393" xr:uid="{00000000-0005-0000-0000-00001B710000}"/>
    <cellStyle name="Normal 3 4 6 6 2 8 2" xfId="33863" xr:uid="{00000000-0005-0000-0000-00001C710000}"/>
    <cellStyle name="Normal 3 4 6 6 2 9" xfId="16394" xr:uid="{00000000-0005-0000-0000-00001D710000}"/>
    <cellStyle name="Normal 3 4 6 6 2 9 2" xfId="33864" xr:uid="{00000000-0005-0000-0000-00001E710000}"/>
    <cellStyle name="Normal 3 4 6 6 3" xfId="16395" xr:uid="{00000000-0005-0000-0000-00001F710000}"/>
    <cellStyle name="Normal 3 4 6 6 3 2" xfId="33865" xr:uid="{00000000-0005-0000-0000-000020710000}"/>
    <cellStyle name="Normal 3 4 6 6 4" xfId="16396" xr:uid="{00000000-0005-0000-0000-000021710000}"/>
    <cellStyle name="Normal 3 4 6 6 4 2" xfId="33866" xr:uid="{00000000-0005-0000-0000-000022710000}"/>
    <cellStyle name="Normal 3 4 6 6 5" xfId="16397" xr:uid="{00000000-0005-0000-0000-000023710000}"/>
    <cellStyle name="Normal 3 4 6 6 5 2" xfId="33867" xr:uid="{00000000-0005-0000-0000-000024710000}"/>
    <cellStyle name="Normal 3 4 6 6 6" xfId="16398" xr:uid="{00000000-0005-0000-0000-000025710000}"/>
    <cellStyle name="Normal 3 4 6 6 6 2" xfId="33868" xr:uid="{00000000-0005-0000-0000-000026710000}"/>
    <cellStyle name="Normal 3 4 6 6 7" xfId="16399" xr:uid="{00000000-0005-0000-0000-000027710000}"/>
    <cellStyle name="Normal 3 4 6 6 7 2" xfId="33869" xr:uid="{00000000-0005-0000-0000-000028710000}"/>
    <cellStyle name="Normal 3 4 6 6 8" xfId="16400" xr:uid="{00000000-0005-0000-0000-000029710000}"/>
    <cellStyle name="Normal 3 4 6 6 8 2" xfId="33870" xr:uid="{00000000-0005-0000-0000-00002A710000}"/>
    <cellStyle name="Normal 3 4 6 6 9" xfId="16401" xr:uid="{00000000-0005-0000-0000-00002B710000}"/>
    <cellStyle name="Normal 3 4 6 6 9 2" xfId="33871" xr:uid="{00000000-0005-0000-0000-00002C710000}"/>
    <cellStyle name="Normal 3 4 6 7" xfId="16402" xr:uid="{00000000-0005-0000-0000-00002D710000}"/>
    <cellStyle name="Normal 3 4 6 7 10" xfId="16403" xr:uid="{00000000-0005-0000-0000-00002E710000}"/>
    <cellStyle name="Normal 3 4 6 7 10 2" xfId="33873" xr:uid="{00000000-0005-0000-0000-00002F710000}"/>
    <cellStyle name="Normal 3 4 6 7 11" xfId="16404" xr:uid="{00000000-0005-0000-0000-000030710000}"/>
    <cellStyle name="Normal 3 4 6 7 11 2" xfId="33874" xr:uid="{00000000-0005-0000-0000-000031710000}"/>
    <cellStyle name="Normal 3 4 6 7 12" xfId="16405" xr:uid="{00000000-0005-0000-0000-000032710000}"/>
    <cellStyle name="Normal 3 4 6 7 12 2" xfId="33875" xr:uid="{00000000-0005-0000-0000-000033710000}"/>
    <cellStyle name="Normal 3 4 6 7 13" xfId="16406" xr:uid="{00000000-0005-0000-0000-000034710000}"/>
    <cellStyle name="Normal 3 4 6 7 13 2" xfId="33876" xr:uid="{00000000-0005-0000-0000-000035710000}"/>
    <cellStyle name="Normal 3 4 6 7 14" xfId="16407" xr:uid="{00000000-0005-0000-0000-000036710000}"/>
    <cellStyle name="Normal 3 4 6 7 14 2" xfId="33877" xr:uid="{00000000-0005-0000-0000-000037710000}"/>
    <cellStyle name="Normal 3 4 6 7 15" xfId="16408" xr:uid="{00000000-0005-0000-0000-000038710000}"/>
    <cellStyle name="Normal 3 4 6 7 15 2" xfId="33878" xr:uid="{00000000-0005-0000-0000-000039710000}"/>
    <cellStyle name="Normal 3 4 6 7 16" xfId="33872" xr:uid="{00000000-0005-0000-0000-00003A710000}"/>
    <cellStyle name="Normal 3 4 6 7 2" xfId="16409" xr:uid="{00000000-0005-0000-0000-00003B710000}"/>
    <cellStyle name="Normal 3 4 6 7 2 10" xfId="16410" xr:uid="{00000000-0005-0000-0000-00003C710000}"/>
    <cellStyle name="Normal 3 4 6 7 2 10 2" xfId="33880" xr:uid="{00000000-0005-0000-0000-00003D710000}"/>
    <cellStyle name="Normal 3 4 6 7 2 11" xfId="16411" xr:uid="{00000000-0005-0000-0000-00003E710000}"/>
    <cellStyle name="Normal 3 4 6 7 2 11 2" xfId="33881" xr:uid="{00000000-0005-0000-0000-00003F710000}"/>
    <cellStyle name="Normal 3 4 6 7 2 12" xfId="16412" xr:uid="{00000000-0005-0000-0000-000040710000}"/>
    <cellStyle name="Normal 3 4 6 7 2 12 2" xfId="33882" xr:uid="{00000000-0005-0000-0000-000041710000}"/>
    <cellStyle name="Normal 3 4 6 7 2 13" xfId="16413" xr:uid="{00000000-0005-0000-0000-000042710000}"/>
    <cellStyle name="Normal 3 4 6 7 2 13 2" xfId="33883" xr:uid="{00000000-0005-0000-0000-000043710000}"/>
    <cellStyle name="Normal 3 4 6 7 2 14" xfId="16414" xr:uid="{00000000-0005-0000-0000-000044710000}"/>
    <cellStyle name="Normal 3 4 6 7 2 14 2" xfId="33884" xr:uid="{00000000-0005-0000-0000-000045710000}"/>
    <cellStyle name="Normal 3 4 6 7 2 15" xfId="33879" xr:uid="{00000000-0005-0000-0000-000046710000}"/>
    <cellStyle name="Normal 3 4 6 7 2 2" xfId="16415" xr:uid="{00000000-0005-0000-0000-000047710000}"/>
    <cellStyle name="Normal 3 4 6 7 2 2 2" xfId="33885" xr:uid="{00000000-0005-0000-0000-000048710000}"/>
    <cellStyle name="Normal 3 4 6 7 2 3" xfId="16416" xr:uid="{00000000-0005-0000-0000-000049710000}"/>
    <cellStyle name="Normal 3 4 6 7 2 3 2" xfId="33886" xr:uid="{00000000-0005-0000-0000-00004A710000}"/>
    <cellStyle name="Normal 3 4 6 7 2 4" xfId="16417" xr:uid="{00000000-0005-0000-0000-00004B710000}"/>
    <cellStyle name="Normal 3 4 6 7 2 4 2" xfId="33887" xr:uid="{00000000-0005-0000-0000-00004C710000}"/>
    <cellStyle name="Normal 3 4 6 7 2 5" xfId="16418" xr:uid="{00000000-0005-0000-0000-00004D710000}"/>
    <cellStyle name="Normal 3 4 6 7 2 5 2" xfId="33888" xr:uid="{00000000-0005-0000-0000-00004E710000}"/>
    <cellStyle name="Normal 3 4 6 7 2 6" xfId="16419" xr:uid="{00000000-0005-0000-0000-00004F710000}"/>
    <cellStyle name="Normal 3 4 6 7 2 6 2" xfId="33889" xr:uid="{00000000-0005-0000-0000-000050710000}"/>
    <cellStyle name="Normal 3 4 6 7 2 7" xfId="16420" xr:uid="{00000000-0005-0000-0000-000051710000}"/>
    <cellStyle name="Normal 3 4 6 7 2 7 2" xfId="33890" xr:uid="{00000000-0005-0000-0000-000052710000}"/>
    <cellStyle name="Normal 3 4 6 7 2 8" xfId="16421" xr:uid="{00000000-0005-0000-0000-000053710000}"/>
    <cellStyle name="Normal 3 4 6 7 2 8 2" xfId="33891" xr:uid="{00000000-0005-0000-0000-000054710000}"/>
    <cellStyle name="Normal 3 4 6 7 2 9" xfId="16422" xr:uid="{00000000-0005-0000-0000-000055710000}"/>
    <cellStyle name="Normal 3 4 6 7 2 9 2" xfId="33892" xr:uid="{00000000-0005-0000-0000-000056710000}"/>
    <cellStyle name="Normal 3 4 6 7 3" xfId="16423" xr:uid="{00000000-0005-0000-0000-000057710000}"/>
    <cellStyle name="Normal 3 4 6 7 3 2" xfId="33893" xr:uid="{00000000-0005-0000-0000-000058710000}"/>
    <cellStyle name="Normal 3 4 6 7 4" xfId="16424" xr:uid="{00000000-0005-0000-0000-000059710000}"/>
    <cellStyle name="Normal 3 4 6 7 4 2" xfId="33894" xr:uid="{00000000-0005-0000-0000-00005A710000}"/>
    <cellStyle name="Normal 3 4 6 7 5" xfId="16425" xr:uid="{00000000-0005-0000-0000-00005B710000}"/>
    <cellStyle name="Normal 3 4 6 7 5 2" xfId="33895" xr:uid="{00000000-0005-0000-0000-00005C710000}"/>
    <cellStyle name="Normal 3 4 6 7 6" xfId="16426" xr:uid="{00000000-0005-0000-0000-00005D710000}"/>
    <cellStyle name="Normal 3 4 6 7 6 2" xfId="33896" xr:uid="{00000000-0005-0000-0000-00005E710000}"/>
    <cellStyle name="Normal 3 4 6 7 7" xfId="16427" xr:uid="{00000000-0005-0000-0000-00005F710000}"/>
    <cellStyle name="Normal 3 4 6 7 7 2" xfId="33897" xr:uid="{00000000-0005-0000-0000-000060710000}"/>
    <cellStyle name="Normal 3 4 6 7 8" xfId="16428" xr:uid="{00000000-0005-0000-0000-000061710000}"/>
    <cellStyle name="Normal 3 4 6 7 8 2" xfId="33898" xr:uid="{00000000-0005-0000-0000-000062710000}"/>
    <cellStyle name="Normal 3 4 6 7 9" xfId="16429" xr:uid="{00000000-0005-0000-0000-000063710000}"/>
    <cellStyle name="Normal 3 4 6 7 9 2" xfId="33899" xr:uid="{00000000-0005-0000-0000-000064710000}"/>
    <cellStyle name="Normal 3 4 6 8" xfId="16430" xr:uid="{00000000-0005-0000-0000-000065710000}"/>
    <cellStyle name="Normal 3 4 6 8 10" xfId="16431" xr:uid="{00000000-0005-0000-0000-000066710000}"/>
    <cellStyle name="Normal 3 4 6 8 10 2" xfId="33901" xr:uid="{00000000-0005-0000-0000-000067710000}"/>
    <cellStyle name="Normal 3 4 6 8 11" xfId="16432" xr:uid="{00000000-0005-0000-0000-000068710000}"/>
    <cellStyle name="Normal 3 4 6 8 11 2" xfId="33902" xr:uid="{00000000-0005-0000-0000-000069710000}"/>
    <cellStyle name="Normal 3 4 6 8 12" xfId="16433" xr:uid="{00000000-0005-0000-0000-00006A710000}"/>
    <cellStyle name="Normal 3 4 6 8 12 2" xfId="33903" xr:uid="{00000000-0005-0000-0000-00006B710000}"/>
    <cellStyle name="Normal 3 4 6 8 13" xfId="16434" xr:uid="{00000000-0005-0000-0000-00006C710000}"/>
    <cellStyle name="Normal 3 4 6 8 13 2" xfId="33904" xr:uid="{00000000-0005-0000-0000-00006D710000}"/>
    <cellStyle name="Normal 3 4 6 8 14" xfId="16435" xr:uid="{00000000-0005-0000-0000-00006E710000}"/>
    <cellStyle name="Normal 3 4 6 8 14 2" xfId="33905" xr:uid="{00000000-0005-0000-0000-00006F710000}"/>
    <cellStyle name="Normal 3 4 6 8 15" xfId="16436" xr:uid="{00000000-0005-0000-0000-000070710000}"/>
    <cellStyle name="Normal 3 4 6 8 15 2" xfId="33906" xr:uid="{00000000-0005-0000-0000-000071710000}"/>
    <cellStyle name="Normal 3 4 6 8 16" xfId="33900" xr:uid="{00000000-0005-0000-0000-000072710000}"/>
    <cellStyle name="Normal 3 4 6 8 2" xfId="16437" xr:uid="{00000000-0005-0000-0000-000073710000}"/>
    <cellStyle name="Normal 3 4 6 8 2 10" xfId="16438" xr:uid="{00000000-0005-0000-0000-000074710000}"/>
    <cellStyle name="Normal 3 4 6 8 2 10 2" xfId="33908" xr:uid="{00000000-0005-0000-0000-000075710000}"/>
    <cellStyle name="Normal 3 4 6 8 2 11" xfId="16439" xr:uid="{00000000-0005-0000-0000-000076710000}"/>
    <cellStyle name="Normal 3 4 6 8 2 11 2" xfId="33909" xr:uid="{00000000-0005-0000-0000-000077710000}"/>
    <cellStyle name="Normal 3 4 6 8 2 12" xfId="16440" xr:uid="{00000000-0005-0000-0000-000078710000}"/>
    <cellStyle name="Normal 3 4 6 8 2 12 2" xfId="33910" xr:uid="{00000000-0005-0000-0000-000079710000}"/>
    <cellStyle name="Normal 3 4 6 8 2 13" xfId="16441" xr:uid="{00000000-0005-0000-0000-00007A710000}"/>
    <cellStyle name="Normal 3 4 6 8 2 13 2" xfId="33911" xr:uid="{00000000-0005-0000-0000-00007B710000}"/>
    <cellStyle name="Normal 3 4 6 8 2 14" xfId="16442" xr:uid="{00000000-0005-0000-0000-00007C710000}"/>
    <cellStyle name="Normal 3 4 6 8 2 14 2" xfId="33912" xr:uid="{00000000-0005-0000-0000-00007D710000}"/>
    <cellStyle name="Normal 3 4 6 8 2 15" xfId="33907" xr:uid="{00000000-0005-0000-0000-00007E710000}"/>
    <cellStyle name="Normal 3 4 6 8 2 2" xfId="16443" xr:uid="{00000000-0005-0000-0000-00007F710000}"/>
    <cellStyle name="Normal 3 4 6 8 2 2 2" xfId="33913" xr:uid="{00000000-0005-0000-0000-000080710000}"/>
    <cellStyle name="Normal 3 4 6 8 2 3" xfId="16444" xr:uid="{00000000-0005-0000-0000-000081710000}"/>
    <cellStyle name="Normal 3 4 6 8 2 3 2" xfId="33914" xr:uid="{00000000-0005-0000-0000-000082710000}"/>
    <cellStyle name="Normal 3 4 6 8 2 4" xfId="16445" xr:uid="{00000000-0005-0000-0000-000083710000}"/>
    <cellStyle name="Normal 3 4 6 8 2 4 2" xfId="33915" xr:uid="{00000000-0005-0000-0000-000084710000}"/>
    <cellStyle name="Normal 3 4 6 8 2 5" xfId="16446" xr:uid="{00000000-0005-0000-0000-000085710000}"/>
    <cellStyle name="Normal 3 4 6 8 2 5 2" xfId="33916" xr:uid="{00000000-0005-0000-0000-000086710000}"/>
    <cellStyle name="Normal 3 4 6 8 2 6" xfId="16447" xr:uid="{00000000-0005-0000-0000-000087710000}"/>
    <cellStyle name="Normal 3 4 6 8 2 6 2" xfId="33917" xr:uid="{00000000-0005-0000-0000-000088710000}"/>
    <cellStyle name="Normal 3 4 6 8 2 7" xfId="16448" xr:uid="{00000000-0005-0000-0000-000089710000}"/>
    <cellStyle name="Normal 3 4 6 8 2 7 2" xfId="33918" xr:uid="{00000000-0005-0000-0000-00008A710000}"/>
    <cellStyle name="Normal 3 4 6 8 2 8" xfId="16449" xr:uid="{00000000-0005-0000-0000-00008B710000}"/>
    <cellStyle name="Normal 3 4 6 8 2 8 2" xfId="33919" xr:uid="{00000000-0005-0000-0000-00008C710000}"/>
    <cellStyle name="Normal 3 4 6 8 2 9" xfId="16450" xr:uid="{00000000-0005-0000-0000-00008D710000}"/>
    <cellStyle name="Normal 3 4 6 8 2 9 2" xfId="33920" xr:uid="{00000000-0005-0000-0000-00008E710000}"/>
    <cellStyle name="Normal 3 4 6 8 3" xfId="16451" xr:uid="{00000000-0005-0000-0000-00008F710000}"/>
    <cellStyle name="Normal 3 4 6 8 3 2" xfId="33921" xr:uid="{00000000-0005-0000-0000-000090710000}"/>
    <cellStyle name="Normal 3 4 6 8 4" xfId="16452" xr:uid="{00000000-0005-0000-0000-000091710000}"/>
    <cellStyle name="Normal 3 4 6 8 4 2" xfId="33922" xr:uid="{00000000-0005-0000-0000-000092710000}"/>
    <cellStyle name="Normal 3 4 6 8 5" xfId="16453" xr:uid="{00000000-0005-0000-0000-000093710000}"/>
    <cellStyle name="Normal 3 4 6 8 5 2" xfId="33923" xr:uid="{00000000-0005-0000-0000-000094710000}"/>
    <cellStyle name="Normal 3 4 6 8 6" xfId="16454" xr:uid="{00000000-0005-0000-0000-000095710000}"/>
    <cellStyle name="Normal 3 4 6 8 6 2" xfId="33924" xr:uid="{00000000-0005-0000-0000-000096710000}"/>
    <cellStyle name="Normal 3 4 6 8 7" xfId="16455" xr:uid="{00000000-0005-0000-0000-000097710000}"/>
    <cellStyle name="Normal 3 4 6 8 7 2" xfId="33925" xr:uid="{00000000-0005-0000-0000-000098710000}"/>
    <cellStyle name="Normal 3 4 6 8 8" xfId="16456" xr:uid="{00000000-0005-0000-0000-000099710000}"/>
    <cellStyle name="Normal 3 4 6 8 8 2" xfId="33926" xr:uid="{00000000-0005-0000-0000-00009A710000}"/>
    <cellStyle name="Normal 3 4 6 8 9" xfId="16457" xr:uid="{00000000-0005-0000-0000-00009B710000}"/>
    <cellStyle name="Normal 3 4 6 8 9 2" xfId="33927" xr:uid="{00000000-0005-0000-0000-00009C710000}"/>
    <cellStyle name="Normal 3 4 6 9" xfId="16458" xr:uid="{00000000-0005-0000-0000-00009D710000}"/>
    <cellStyle name="Normal 3 4 6 9 10" xfId="16459" xr:uid="{00000000-0005-0000-0000-00009E710000}"/>
    <cellStyle name="Normal 3 4 6 9 10 2" xfId="33929" xr:uid="{00000000-0005-0000-0000-00009F710000}"/>
    <cellStyle name="Normal 3 4 6 9 11" xfId="16460" xr:uid="{00000000-0005-0000-0000-0000A0710000}"/>
    <cellStyle name="Normal 3 4 6 9 11 2" xfId="33930" xr:uid="{00000000-0005-0000-0000-0000A1710000}"/>
    <cellStyle name="Normal 3 4 6 9 12" xfId="16461" xr:uid="{00000000-0005-0000-0000-0000A2710000}"/>
    <cellStyle name="Normal 3 4 6 9 12 2" xfId="33931" xr:uid="{00000000-0005-0000-0000-0000A3710000}"/>
    <cellStyle name="Normal 3 4 6 9 13" xfId="16462" xr:uid="{00000000-0005-0000-0000-0000A4710000}"/>
    <cellStyle name="Normal 3 4 6 9 13 2" xfId="33932" xr:uid="{00000000-0005-0000-0000-0000A5710000}"/>
    <cellStyle name="Normal 3 4 6 9 14" xfId="16463" xr:uid="{00000000-0005-0000-0000-0000A6710000}"/>
    <cellStyle name="Normal 3 4 6 9 14 2" xfId="33933" xr:uid="{00000000-0005-0000-0000-0000A7710000}"/>
    <cellStyle name="Normal 3 4 6 9 15" xfId="33928" xr:uid="{00000000-0005-0000-0000-0000A8710000}"/>
    <cellStyle name="Normal 3 4 6 9 2" xfId="16464" xr:uid="{00000000-0005-0000-0000-0000A9710000}"/>
    <cellStyle name="Normal 3 4 6 9 2 2" xfId="33934" xr:uid="{00000000-0005-0000-0000-0000AA710000}"/>
    <cellStyle name="Normal 3 4 6 9 3" xfId="16465" xr:uid="{00000000-0005-0000-0000-0000AB710000}"/>
    <cellStyle name="Normal 3 4 6 9 3 2" xfId="33935" xr:uid="{00000000-0005-0000-0000-0000AC710000}"/>
    <cellStyle name="Normal 3 4 6 9 4" xfId="16466" xr:uid="{00000000-0005-0000-0000-0000AD710000}"/>
    <cellStyle name="Normal 3 4 6 9 4 2" xfId="33936" xr:uid="{00000000-0005-0000-0000-0000AE710000}"/>
    <cellStyle name="Normal 3 4 6 9 5" xfId="16467" xr:uid="{00000000-0005-0000-0000-0000AF710000}"/>
    <cellStyle name="Normal 3 4 6 9 5 2" xfId="33937" xr:uid="{00000000-0005-0000-0000-0000B0710000}"/>
    <cellStyle name="Normal 3 4 6 9 6" xfId="16468" xr:uid="{00000000-0005-0000-0000-0000B1710000}"/>
    <cellStyle name="Normal 3 4 6 9 6 2" xfId="33938" xr:uid="{00000000-0005-0000-0000-0000B2710000}"/>
    <cellStyle name="Normal 3 4 6 9 7" xfId="16469" xr:uid="{00000000-0005-0000-0000-0000B3710000}"/>
    <cellStyle name="Normal 3 4 6 9 7 2" xfId="33939" xr:uid="{00000000-0005-0000-0000-0000B4710000}"/>
    <cellStyle name="Normal 3 4 6 9 8" xfId="16470" xr:uid="{00000000-0005-0000-0000-0000B5710000}"/>
    <cellStyle name="Normal 3 4 6 9 8 2" xfId="33940" xr:uid="{00000000-0005-0000-0000-0000B6710000}"/>
    <cellStyle name="Normal 3 4 6 9 9" xfId="16471" xr:uid="{00000000-0005-0000-0000-0000B7710000}"/>
    <cellStyle name="Normal 3 4 6 9 9 2" xfId="33941" xr:uid="{00000000-0005-0000-0000-0000B8710000}"/>
    <cellStyle name="Normal 3 4 7" xfId="16472" xr:uid="{00000000-0005-0000-0000-0000B9710000}"/>
    <cellStyle name="Normal 3 4 7 10" xfId="16473" xr:uid="{00000000-0005-0000-0000-0000BA710000}"/>
    <cellStyle name="Normal 3 4 7 10 10" xfId="16474" xr:uid="{00000000-0005-0000-0000-0000BB710000}"/>
    <cellStyle name="Normal 3 4 7 10 10 2" xfId="33944" xr:uid="{00000000-0005-0000-0000-0000BC710000}"/>
    <cellStyle name="Normal 3 4 7 10 11" xfId="16475" xr:uid="{00000000-0005-0000-0000-0000BD710000}"/>
    <cellStyle name="Normal 3 4 7 10 11 2" xfId="33945" xr:uid="{00000000-0005-0000-0000-0000BE710000}"/>
    <cellStyle name="Normal 3 4 7 10 12" xfId="16476" xr:uid="{00000000-0005-0000-0000-0000BF710000}"/>
    <cellStyle name="Normal 3 4 7 10 12 2" xfId="33946" xr:uid="{00000000-0005-0000-0000-0000C0710000}"/>
    <cellStyle name="Normal 3 4 7 10 13" xfId="16477" xr:uid="{00000000-0005-0000-0000-0000C1710000}"/>
    <cellStyle name="Normal 3 4 7 10 13 2" xfId="33947" xr:uid="{00000000-0005-0000-0000-0000C2710000}"/>
    <cellStyle name="Normal 3 4 7 10 14" xfId="16478" xr:uid="{00000000-0005-0000-0000-0000C3710000}"/>
    <cellStyle name="Normal 3 4 7 10 14 2" xfId="33948" xr:uid="{00000000-0005-0000-0000-0000C4710000}"/>
    <cellStyle name="Normal 3 4 7 10 15" xfId="33943" xr:uid="{00000000-0005-0000-0000-0000C5710000}"/>
    <cellStyle name="Normal 3 4 7 10 2" xfId="16479" xr:uid="{00000000-0005-0000-0000-0000C6710000}"/>
    <cellStyle name="Normal 3 4 7 10 2 2" xfId="33949" xr:uid="{00000000-0005-0000-0000-0000C7710000}"/>
    <cellStyle name="Normal 3 4 7 10 3" xfId="16480" xr:uid="{00000000-0005-0000-0000-0000C8710000}"/>
    <cellStyle name="Normal 3 4 7 10 3 2" xfId="33950" xr:uid="{00000000-0005-0000-0000-0000C9710000}"/>
    <cellStyle name="Normal 3 4 7 10 4" xfId="16481" xr:uid="{00000000-0005-0000-0000-0000CA710000}"/>
    <cellStyle name="Normal 3 4 7 10 4 2" xfId="33951" xr:uid="{00000000-0005-0000-0000-0000CB710000}"/>
    <cellStyle name="Normal 3 4 7 10 5" xfId="16482" xr:uid="{00000000-0005-0000-0000-0000CC710000}"/>
    <cellStyle name="Normal 3 4 7 10 5 2" xfId="33952" xr:uid="{00000000-0005-0000-0000-0000CD710000}"/>
    <cellStyle name="Normal 3 4 7 10 6" xfId="16483" xr:uid="{00000000-0005-0000-0000-0000CE710000}"/>
    <cellStyle name="Normal 3 4 7 10 6 2" xfId="33953" xr:uid="{00000000-0005-0000-0000-0000CF710000}"/>
    <cellStyle name="Normal 3 4 7 10 7" xfId="16484" xr:uid="{00000000-0005-0000-0000-0000D0710000}"/>
    <cellStyle name="Normal 3 4 7 10 7 2" xfId="33954" xr:uid="{00000000-0005-0000-0000-0000D1710000}"/>
    <cellStyle name="Normal 3 4 7 10 8" xfId="16485" xr:uid="{00000000-0005-0000-0000-0000D2710000}"/>
    <cellStyle name="Normal 3 4 7 10 8 2" xfId="33955" xr:uid="{00000000-0005-0000-0000-0000D3710000}"/>
    <cellStyle name="Normal 3 4 7 10 9" xfId="16486" xr:uid="{00000000-0005-0000-0000-0000D4710000}"/>
    <cellStyle name="Normal 3 4 7 10 9 2" xfId="33956" xr:uid="{00000000-0005-0000-0000-0000D5710000}"/>
    <cellStyle name="Normal 3 4 7 11" xfId="16487" xr:uid="{00000000-0005-0000-0000-0000D6710000}"/>
    <cellStyle name="Normal 3 4 7 11 2" xfId="33957" xr:uid="{00000000-0005-0000-0000-0000D7710000}"/>
    <cellStyle name="Normal 3 4 7 12" xfId="16488" xr:uid="{00000000-0005-0000-0000-0000D8710000}"/>
    <cellStyle name="Normal 3 4 7 12 2" xfId="33958" xr:uid="{00000000-0005-0000-0000-0000D9710000}"/>
    <cellStyle name="Normal 3 4 7 13" xfId="16489" xr:uid="{00000000-0005-0000-0000-0000DA710000}"/>
    <cellStyle name="Normal 3 4 7 13 2" xfId="33959" xr:uid="{00000000-0005-0000-0000-0000DB710000}"/>
    <cellStyle name="Normal 3 4 7 14" xfId="16490" xr:uid="{00000000-0005-0000-0000-0000DC710000}"/>
    <cellStyle name="Normal 3 4 7 14 2" xfId="33960" xr:uid="{00000000-0005-0000-0000-0000DD710000}"/>
    <cellStyle name="Normal 3 4 7 15" xfId="16491" xr:uid="{00000000-0005-0000-0000-0000DE710000}"/>
    <cellStyle name="Normal 3 4 7 15 2" xfId="33961" xr:uid="{00000000-0005-0000-0000-0000DF710000}"/>
    <cellStyle name="Normal 3 4 7 16" xfId="16492" xr:uid="{00000000-0005-0000-0000-0000E0710000}"/>
    <cellStyle name="Normal 3 4 7 16 2" xfId="33962" xr:uid="{00000000-0005-0000-0000-0000E1710000}"/>
    <cellStyle name="Normal 3 4 7 17" xfId="16493" xr:uid="{00000000-0005-0000-0000-0000E2710000}"/>
    <cellStyle name="Normal 3 4 7 17 2" xfId="33963" xr:uid="{00000000-0005-0000-0000-0000E3710000}"/>
    <cellStyle name="Normal 3 4 7 18" xfId="16494" xr:uid="{00000000-0005-0000-0000-0000E4710000}"/>
    <cellStyle name="Normal 3 4 7 18 2" xfId="33964" xr:uid="{00000000-0005-0000-0000-0000E5710000}"/>
    <cellStyle name="Normal 3 4 7 19" xfId="16495" xr:uid="{00000000-0005-0000-0000-0000E6710000}"/>
    <cellStyle name="Normal 3 4 7 19 2" xfId="33965" xr:uid="{00000000-0005-0000-0000-0000E7710000}"/>
    <cellStyle name="Normal 3 4 7 2" xfId="16496" xr:uid="{00000000-0005-0000-0000-0000E8710000}"/>
    <cellStyle name="Normal 3 4 7 2 10" xfId="16497" xr:uid="{00000000-0005-0000-0000-0000E9710000}"/>
    <cellStyle name="Normal 3 4 7 2 10 2" xfId="33967" xr:uid="{00000000-0005-0000-0000-0000EA710000}"/>
    <cellStyle name="Normal 3 4 7 2 11" xfId="16498" xr:uid="{00000000-0005-0000-0000-0000EB710000}"/>
    <cellStyle name="Normal 3 4 7 2 11 2" xfId="33968" xr:uid="{00000000-0005-0000-0000-0000EC710000}"/>
    <cellStyle name="Normal 3 4 7 2 12" xfId="16499" xr:uid="{00000000-0005-0000-0000-0000ED710000}"/>
    <cellStyle name="Normal 3 4 7 2 12 2" xfId="33969" xr:uid="{00000000-0005-0000-0000-0000EE710000}"/>
    <cellStyle name="Normal 3 4 7 2 13" xfId="16500" xr:uid="{00000000-0005-0000-0000-0000EF710000}"/>
    <cellStyle name="Normal 3 4 7 2 13 2" xfId="33970" xr:uid="{00000000-0005-0000-0000-0000F0710000}"/>
    <cellStyle name="Normal 3 4 7 2 14" xfId="16501" xr:uid="{00000000-0005-0000-0000-0000F1710000}"/>
    <cellStyle name="Normal 3 4 7 2 14 2" xfId="33971" xr:uid="{00000000-0005-0000-0000-0000F2710000}"/>
    <cellStyle name="Normal 3 4 7 2 15" xfId="16502" xr:uid="{00000000-0005-0000-0000-0000F3710000}"/>
    <cellStyle name="Normal 3 4 7 2 15 2" xfId="33972" xr:uid="{00000000-0005-0000-0000-0000F4710000}"/>
    <cellStyle name="Normal 3 4 7 2 16" xfId="33966" xr:uid="{00000000-0005-0000-0000-0000F5710000}"/>
    <cellStyle name="Normal 3 4 7 2 2" xfId="16503" xr:uid="{00000000-0005-0000-0000-0000F6710000}"/>
    <cellStyle name="Normal 3 4 7 2 2 10" xfId="16504" xr:uid="{00000000-0005-0000-0000-0000F7710000}"/>
    <cellStyle name="Normal 3 4 7 2 2 10 2" xfId="33974" xr:uid="{00000000-0005-0000-0000-0000F8710000}"/>
    <cellStyle name="Normal 3 4 7 2 2 11" xfId="16505" xr:uid="{00000000-0005-0000-0000-0000F9710000}"/>
    <cellStyle name="Normal 3 4 7 2 2 11 2" xfId="33975" xr:uid="{00000000-0005-0000-0000-0000FA710000}"/>
    <cellStyle name="Normal 3 4 7 2 2 12" xfId="16506" xr:uid="{00000000-0005-0000-0000-0000FB710000}"/>
    <cellStyle name="Normal 3 4 7 2 2 12 2" xfId="33976" xr:uid="{00000000-0005-0000-0000-0000FC710000}"/>
    <cellStyle name="Normal 3 4 7 2 2 13" xfId="16507" xr:uid="{00000000-0005-0000-0000-0000FD710000}"/>
    <cellStyle name="Normal 3 4 7 2 2 13 2" xfId="33977" xr:uid="{00000000-0005-0000-0000-0000FE710000}"/>
    <cellStyle name="Normal 3 4 7 2 2 14" xfId="16508" xr:uid="{00000000-0005-0000-0000-0000FF710000}"/>
    <cellStyle name="Normal 3 4 7 2 2 14 2" xfId="33978" xr:uid="{00000000-0005-0000-0000-000000720000}"/>
    <cellStyle name="Normal 3 4 7 2 2 15" xfId="33973" xr:uid="{00000000-0005-0000-0000-000001720000}"/>
    <cellStyle name="Normal 3 4 7 2 2 2" xfId="16509" xr:uid="{00000000-0005-0000-0000-000002720000}"/>
    <cellStyle name="Normal 3 4 7 2 2 2 2" xfId="33979" xr:uid="{00000000-0005-0000-0000-000003720000}"/>
    <cellStyle name="Normal 3 4 7 2 2 3" xfId="16510" xr:uid="{00000000-0005-0000-0000-000004720000}"/>
    <cellStyle name="Normal 3 4 7 2 2 3 2" xfId="33980" xr:uid="{00000000-0005-0000-0000-000005720000}"/>
    <cellStyle name="Normal 3 4 7 2 2 4" xfId="16511" xr:uid="{00000000-0005-0000-0000-000006720000}"/>
    <cellStyle name="Normal 3 4 7 2 2 4 2" xfId="33981" xr:uid="{00000000-0005-0000-0000-000007720000}"/>
    <cellStyle name="Normal 3 4 7 2 2 5" xfId="16512" xr:uid="{00000000-0005-0000-0000-000008720000}"/>
    <cellStyle name="Normal 3 4 7 2 2 5 2" xfId="33982" xr:uid="{00000000-0005-0000-0000-000009720000}"/>
    <cellStyle name="Normal 3 4 7 2 2 6" xfId="16513" xr:uid="{00000000-0005-0000-0000-00000A720000}"/>
    <cellStyle name="Normal 3 4 7 2 2 6 2" xfId="33983" xr:uid="{00000000-0005-0000-0000-00000B720000}"/>
    <cellStyle name="Normal 3 4 7 2 2 7" xfId="16514" xr:uid="{00000000-0005-0000-0000-00000C720000}"/>
    <cellStyle name="Normal 3 4 7 2 2 7 2" xfId="33984" xr:uid="{00000000-0005-0000-0000-00000D720000}"/>
    <cellStyle name="Normal 3 4 7 2 2 8" xfId="16515" xr:uid="{00000000-0005-0000-0000-00000E720000}"/>
    <cellStyle name="Normal 3 4 7 2 2 8 2" xfId="33985" xr:uid="{00000000-0005-0000-0000-00000F720000}"/>
    <cellStyle name="Normal 3 4 7 2 2 9" xfId="16516" xr:uid="{00000000-0005-0000-0000-000010720000}"/>
    <cellStyle name="Normal 3 4 7 2 2 9 2" xfId="33986" xr:uid="{00000000-0005-0000-0000-000011720000}"/>
    <cellStyle name="Normal 3 4 7 2 3" xfId="16517" xr:uid="{00000000-0005-0000-0000-000012720000}"/>
    <cellStyle name="Normal 3 4 7 2 3 2" xfId="33987" xr:uid="{00000000-0005-0000-0000-000013720000}"/>
    <cellStyle name="Normal 3 4 7 2 4" xfId="16518" xr:uid="{00000000-0005-0000-0000-000014720000}"/>
    <cellStyle name="Normal 3 4 7 2 4 2" xfId="33988" xr:uid="{00000000-0005-0000-0000-000015720000}"/>
    <cellStyle name="Normal 3 4 7 2 5" xfId="16519" xr:uid="{00000000-0005-0000-0000-000016720000}"/>
    <cellStyle name="Normal 3 4 7 2 5 2" xfId="33989" xr:uid="{00000000-0005-0000-0000-000017720000}"/>
    <cellStyle name="Normal 3 4 7 2 6" xfId="16520" xr:uid="{00000000-0005-0000-0000-000018720000}"/>
    <cellStyle name="Normal 3 4 7 2 6 2" xfId="33990" xr:uid="{00000000-0005-0000-0000-000019720000}"/>
    <cellStyle name="Normal 3 4 7 2 7" xfId="16521" xr:uid="{00000000-0005-0000-0000-00001A720000}"/>
    <cellStyle name="Normal 3 4 7 2 7 2" xfId="33991" xr:uid="{00000000-0005-0000-0000-00001B720000}"/>
    <cellStyle name="Normal 3 4 7 2 8" xfId="16522" xr:uid="{00000000-0005-0000-0000-00001C720000}"/>
    <cellStyle name="Normal 3 4 7 2 8 2" xfId="33992" xr:uid="{00000000-0005-0000-0000-00001D720000}"/>
    <cellStyle name="Normal 3 4 7 2 9" xfId="16523" xr:uid="{00000000-0005-0000-0000-00001E720000}"/>
    <cellStyle name="Normal 3 4 7 2 9 2" xfId="33993" xr:uid="{00000000-0005-0000-0000-00001F720000}"/>
    <cellStyle name="Normal 3 4 7 20" xfId="16524" xr:uid="{00000000-0005-0000-0000-000020720000}"/>
    <cellStyle name="Normal 3 4 7 20 2" xfId="33994" xr:uid="{00000000-0005-0000-0000-000021720000}"/>
    <cellStyle name="Normal 3 4 7 21" xfId="16525" xr:uid="{00000000-0005-0000-0000-000022720000}"/>
    <cellStyle name="Normal 3 4 7 21 2" xfId="33995" xr:uid="{00000000-0005-0000-0000-000023720000}"/>
    <cellStyle name="Normal 3 4 7 22" xfId="16526" xr:uid="{00000000-0005-0000-0000-000024720000}"/>
    <cellStyle name="Normal 3 4 7 22 2" xfId="33996" xr:uid="{00000000-0005-0000-0000-000025720000}"/>
    <cellStyle name="Normal 3 4 7 23" xfId="16527" xr:uid="{00000000-0005-0000-0000-000026720000}"/>
    <cellStyle name="Normal 3 4 7 23 2" xfId="33997" xr:uid="{00000000-0005-0000-0000-000027720000}"/>
    <cellStyle name="Normal 3 4 7 24" xfId="33942" xr:uid="{00000000-0005-0000-0000-000028720000}"/>
    <cellStyle name="Normal 3 4 7 3" xfId="16528" xr:uid="{00000000-0005-0000-0000-000029720000}"/>
    <cellStyle name="Normal 3 4 7 3 10" xfId="16529" xr:uid="{00000000-0005-0000-0000-00002A720000}"/>
    <cellStyle name="Normal 3 4 7 3 10 2" xfId="33999" xr:uid="{00000000-0005-0000-0000-00002B720000}"/>
    <cellStyle name="Normal 3 4 7 3 11" xfId="16530" xr:uid="{00000000-0005-0000-0000-00002C720000}"/>
    <cellStyle name="Normal 3 4 7 3 11 2" xfId="34000" xr:uid="{00000000-0005-0000-0000-00002D720000}"/>
    <cellStyle name="Normal 3 4 7 3 12" xfId="16531" xr:uid="{00000000-0005-0000-0000-00002E720000}"/>
    <cellStyle name="Normal 3 4 7 3 12 2" xfId="34001" xr:uid="{00000000-0005-0000-0000-00002F720000}"/>
    <cellStyle name="Normal 3 4 7 3 13" xfId="16532" xr:uid="{00000000-0005-0000-0000-000030720000}"/>
    <cellStyle name="Normal 3 4 7 3 13 2" xfId="34002" xr:uid="{00000000-0005-0000-0000-000031720000}"/>
    <cellStyle name="Normal 3 4 7 3 14" xfId="16533" xr:uid="{00000000-0005-0000-0000-000032720000}"/>
    <cellStyle name="Normal 3 4 7 3 14 2" xfId="34003" xr:uid="{00000000-0005-0000-0000-000033720000}"/>
    <cellStyle name="Normal 3 4 7 3 15" xfId="16534" xr:uid="{00000000-0005-0000-0000-000034720000}"/>
    <cellStyle name="Normal 3 4 7 3 15 2" xfId="34004" xr:uid="{00000000-0005-0000-0000-000035720000}"/>
    <cellStyle name="Normal 3 4 7 3 16" xfId="33998" xr:uid="{00000000-0005-0000-0000-000036720000}"/>
    <cellStyle name="Normal 3 4 7 3 2" xfId="16535" xr:uid="{00000000-0005-0000-0000-000037720000}"/>
    <cellStyle name="Normal 3 4 7 3 2 10" xfId="16536" xr:uid="{00000000-0005-0000-0000-000038720000}"/>
    <cellStyle name="Normal 3 4 7 3 2 10 2" xfId="34006" xr:uid="{00000000-0005-0000-0000-000039720000}"/>
    <cellStyle name="Normal 3 4 7 3 2 11" xfId="16537" xr:uid="{00000000-0005-0000-0000-00003A720000}"/>
    <cellStyle name="Normal 3 4 7 3 2 11 2" xfId="34007" xr:uid="{00000000-0005-0000-0000-00003B720000}"/>
    <cellStyle name="Normal 3 4 7 3 2 12" xfId="16538" xr:uid="{00000000-0005-0000-0000-00003C720000}"/>
    <cellStyle name="Normal 3 4 7 3 2 12 2" xfId="34008" xr:uid="{00000000-0005-0000-0000-00003D720000}"/>
    <cellStyle name="Normal 3 4 7 3 2 13" xfId="16539" xr:uid="{00000000-0005-0000-0000-00003E720000}"/>
    <cellStyle name="Normal 3 4 7 3 2 13 2" xfId="34009" xr:uid="{00000000-0005-0000-0000-00003F720000}"/>
    <cellStyle name="Normal 3 4 7 3 2 14" xfId="16540" xr:uid="{00000000-0005-0000-0000-000040720000}"/>
    <cellStyle name="Normal 3 4 7 3 2 14 2" xfId="34010" xr:uid="{00000000-0005-0000-0000-000041720000}"/>
    <cellStyle name="Normal 3 4 7 3 2 15" xfId="34005" xr:uid="{00000000-0005-0000-0000-000042720000}"/>
    <cellStyle name="Normal 3 4 7 3 2 2" xfId="16541" xr:uid="{00000000-0005-0000-0000-000043720000}"/>
    <cellStyle name="Normal 3 4 7 3 2 2 2" xfId="34011" xr:uid="{00000000-0005-0000-0000-000044720000}"/>
    <cellStyle name="Normal 3 4 7 3 2 3" xfId="16542" xr:uid="{00000000-0005-0000-0000-000045720000}"/>
    <cellStyle name="Normal 3 4 7 3 2 3 2" xfId="34012" xr:uid="{00000000-0005-0000-0000-000046720000}"/>
    <cellStyle name="Normal 3 4 7 3 2 4" xfId="16543" xr:uid="{00000000-0005-0000-0000-000047720000}"/>
    <cellStyle name="Normal 3 4 7 3 2 4 2" xfId="34013" xr:uid="{00000000-0005-0000-0000-000048720000}"/>
    <cellStyle name="Normal 3 4 7 3 2 5" xfId="16544" xr:uid="{00000000-0005-0000-0000-000049720000}"/>
    <cellStyle name="Normal 3 4 7 3 2 5 2" xfId="34014" xr:uid="{00000000-0005-0000-0000-00004A720000}"/>
    <cellStyle name="Normal 3 4 7 3 2 6" xfId="16545" xr:uid="{00000000-0005-0000-0000-00004B720000}"/>
    <cellStyle name="Normal 3 4 7 3 2 6 2" xfId="34015" xr:uid="{00000000-0005-0000-0000-00004C720000}"/>
    <cellStyle name="Normal 3 4 7 3 2 7" xfId="16546" xr:uid="{00000000-0005-0000-0000-00004D720000}"/>
    <cellStyle name="Normal 3 4 7 3 2 7 2" xfId="34016" xr:uid="{00000000-0005-0000-0000-00004E720000}"/>
    <cellStyle name="Normal 3 4 7 3 2 8" xfId="16547" xr:uid="{00000000-0005-0000-0000-00004F720000}"/>
    <cellStyle name="Normal 3 4 7 3 2 8 2" xfId="34017" xr:uid="{00000000-0005-0000-0000-000050720000}"/>
    <cellStyle name="Normal 3 4 7 3 2 9" xfId="16548" xr:uid="{00000000-0005-0000-0000-000051720000}"/>
    <cellStyle name="Normal 3 4 7 3 2 9 2" xfId="34018" xr:uid="{00000000-0005-0000-0000-000052720000}"/>
    <cellStyle name="Normal 3 4 7 3 3" xfId="16549" xr:uid="{00000000-0005-0000-0000-000053720000}"/>
    <cellStyle name="Normal 3 4 7 3 3 2" xfId="34019" xr:uid="{00000000-0005-0000-0000-000054720000}"/>
    <cellStyle name="Normal 3 4 7 3 4" xfId="16550" xr:uid="{00000000-0005-0000-0000-000055720000}"/>
    <cellStyle name="Normal 3 4 7 3 4 2" xfId="34020" xr:uid="{00000000-0005-0000-0000-000056720000}"/>
    <cellStyle name="Normal 3 4 7 3 5" xfId="16551" xr:uid="{00000000-0005-0000-0000-000057720000}"/>
    <cellStyle name="Normal 3 4 7 3 5 2" xfId="34021" xr:uid="{00000000-0005-0000-0000-000058720000}"/>
    <cellStyle name="Normal 3 4 7 3 6" xfId="16552" xr:uid="{00000000-0005-0000-0000-000059720000}"/>
    <cellStyle name="Normal 3 4 7 3 6 2" xfId="34022" xr:uid="{00000000-0005-0000-0000-00005A720000}"/>
    <cellStyle name="Normal 3 4 7 3 7" xfId="16553" xr:uid="{00000000-0005-0000-0000-00005B720000}"/>
    <cellStyle name="Normal 3 4 7 3 7 2" xfId="34023" xr:uid="{00000000-0005-0000-0000-00005C720000}"/>
    <cellStyle name="Normal 3 4 7 3 8" xfId="16554" xr:uid="{00000000-0005-0000-0000-00005D720000}"/>
    <cellStyle name="Normal 3 4 7 3 8 2" xfId="34024" xr:uid="{00000000-0005-0000-0000-00005E720000}"/>
    <cellStyle name="Normal 3 4 7 3 9" xfId="16555" xr:uid="{00000000-0005-0000-0000-00005F720000}"/>
    <cellStyle name="Normal 3 4 7 3 9 2" xfId="34025" xr:uid="{00000000-0005-0000-0000-000060720000}"/>
    <cellStyle name="Normal 3 4 7 4" xfId="16556" xr:uid="{00000000-0005-0000-0000-000061720000}"/>
    <cellStyle name="Normal 3 4 7 4 10" xfId="16557" xr:uid="{00000000-0005-0000-0000-000062720000}"/>
    <cellStyle name="Normal 3 4 7 4 10 2" xfId="34027" xr:uid="{00000000-0005-0000-0000-000063720000}"/>
    <cellStyle name="Normal 3 4 7 4 11" xfId="16558" xr:uid="{00000000-0005-0000-0000-000064720000}"/>
    <cellStyle name="Normal 3 4 7 4 11 2" xfId="34028" xr:uid="{00000000-0005-0000-0000-000065720000}"/>
    <cellStyle name="Normal 3 4 7 4 12" xfId="16559" xr:uid="{00000000-0005-0000-0000-000066720000}"/>
    <cellStyle name="Normal 3 4 7 4 12 2" xfId="34029" xr:uid="{00000000-0005-0000-0000-000067720000}"/>
    <cellStyle name="Normal 3 4 7 4 13" xfId="16560" xr:uid="{00000000-0005-0000-0000-000068720000}"/>
    <cellStyle name="Normal 3 4 7 4 13 2" xfId="34030" xr:uid="{00000000-0005-0000-0000-000069720000}"/>
    <cellStyle name="Normal 3 4 7 4 14" xfId="16561" xr:uid="{00000000-0005-0000-0000-00006A720000}"/>
    <cellStyle name="Normal 3 4 7 4 14 2" xfId="34031" xr:uid="{00000000-0005-0000-0000-00006B720000}"/>
    <cellStyle name="Normal 3 4 7 4 15" xfId="16562" xr:uid="{00000000-0005-0000-0000-00006C720000}"/>
    <cellStyle name="Normal 3 4 7 4 15 2" xfId="34032" xr:uid="{00000000-0005-0000-0000-00006D720000}"/>
    <cellStyle name="Normal 3 4 7 4 16" xfId="34026" xr:uid="{00000000-0005-0000-0000-00006E720000}"/>
    <cellStyle name="Normal 3 4 7 4 2" xfId="16563" xr:uid="{00000000-0005-0000-0000-00006F720000}"/>
    <cellStyle name="Normal 3 4 7 4 2 10" xfId="16564" xr:uid="{00000000-0005-0000-0000-000070720000}"/>
    <cellStyle name="Normal 3 4 7 4 2 10 2" xfId="34034" xr:uid="{00000000-0005-0000-0000-000071720000}"/>
    <cellStyle name="Normal 3 4 7 4 2 11" xfId="16565" xr:uid="{00000000-0005-0000-0000-000072720000}"/>
    <cellStyle name="Normal 3 4 7 4 2 11 2" xfId="34035" xr:uid="{00000000-0005-0000-0000-000073720000}"/>
    <cellStyle name="Normal 3 4 7 4 2 12" xfId="16566" xr:uid="{00000000-0005-0000-0000-000074720000}"/>
    <cellStyle name="Normal 3 4 7 4 2 12 2" xfId="34036" xr:uid="{00000000-0005-0000-0000-000075720000}"/>
    <cellStyle name="Normal 3 4 7 4 2 13" xfId="16567" xr:uid="{00000000-0005-0000-0000-000076720000}"/>
    <cellStyle name="Normal 3 4 7 4 2 13 2" xfId="34037" xr:uid="{00000000-0005-0000-0000-000077720000}"/>
    <cellStyle name="Normal 3 4 7 4 2 14" xfId="16568" xr:uid="{00000000-0005-0000-0000-000078720000}"/>
    <cellStyle name="Normal 3 4 7 4 2 14 2" xfId="34038" xr:uid="{00000000-0005-0000-0000-000079720000}"/>
    <cellStyle name="Normal 3 4 7 4 2 15" xfId="34033" xr:uid="{00000000-0005-0000-0000-00007A720000}"/>
    <cellStyle name="Normal 3 4 7 4 2 2" xfId="16569" xr:uid="{00000000-0005-0000-0000-00007B720000}"/>
    <cellStyle name="Normal 3 4 7 4 2 2 2" xfId="34039" xr:uid="{00000000-0005-0000-0000-00007C720000}"/>
    <cellStyle name="Normal 3 4 7 4 2 3" xfId="16570" xr:uid="{00000000-0005-0000-0000-00007D720000}"/>
    <cellStyle name="Normal 3 4 7 4 2 3 2" xfId="34040" xr:uid="{00000000-0005-0000-0000-00007E720000}"/>
    <cellStyle name="Normal 3 4 7 4 2 4" xfId="16571" xr:uid="{00000000-0005-0000-0000-00007F720000}"/>
    <cellStyle name="Normal 3 4 7 4 2 4 2" xfId="34041" xr:uid="{00000000-0005-0000-0000-000080720000}"/>
    <cellStyle name="Normal 3 4 7 4 2 5" xfId="16572" xr:uid="{00000000-0005-0000-0000-000081720000}"/>
    <cellStyle name="Normal 3 4 7 4 2 5 2" xfId="34042" xr:uid="{00000000-0005-0000-0000-000082720000}"/>
    <cellStyle name="Normal 3 4 7 4 2 6" xfId="16573" xr:uid="{00000000-0005-0000-0000-000083720000}"/>
    <cellStyle name="Normal 3 4 7 4 2 6 2" xfId="34043" xr:uid="{00000000-0005-0000-0000-000084720000}"/>
    <cellStyle name="Normal 3 4 7 4 2 7" xfId="16574" xr:uid="{00000000-0005-0000-0000-000085720000}"/>
    <cellStyle name="Normal 3 4 7 4 2 7 2" xfId="34044" xr:uid="{00000000-0005-0000-0000-000086720000}"/>
    <cellStyle name="Normal 3 4 7 4 2 8" xfId="16575" xr:uid="{00000000-0005-0000-0000-000087720000}"/>
    <cellStyle name="Normal 3 4 7 4 2 8 2" xfId="34045" xr:uid="{00000000-0005-0000-0000-000088720000}"/>
    <cellStyle name="Normal 3 4 7 4 2 9" xfId="16576" xr:uid="{00000000-0005-0000-0000-000089720000}"/>
    <cellStyle name="Normal 3 4 7 4 2 9 2" xfId="34046" xr:uid="{00000000-0005-0000-0000-00008A720000}"/>
    <cellStyle name="Normal 3 4 7 4 3" xfId="16577" xr:uid="{00000000-0005-0000-0000-00008B720000}"/>
    <cellStyle name="Normal 3 4 7 4 3 2" xfId="34047" xr:uid="{00000000-0005-0000-0000-00008C720000}"/>
    <cellStyle name="Normal 3 4 7 4 4" xfId="16578" xr:uid="{00000000-0005-0000-0000-00008D720000}"/>
    <cellStyle name="Normal 3 4 7 4 4 2" xfId="34048" xr:uid="{00000000-0005-0000-0000-00008E720000}"/>
    <cellStyle name="Normal 3 4 7 4 5" xfId="16579" xr:uid="{00000000-0005-0000-0000-00008F720000}"/>
    <cellStyle name="Normal 3 4 7 4 5 2" xfId="34049" xr:uid="{00000000-0005-0000-0000-000090720000}"/>
    <cellStyle name="Normal 3 4 7 4 6" xfId="16580" xr:uid="{00000000-0005-0000-0000-000091720000}"/>
    <cellStyle name="Normal 3 4 7 4 6 2" xfId="34050" xr:uid="{00000000-0005-0000-0000-000092720000}"/>
    <cellStyle name="Normal 3 4 7 4 7" xfId="16581" xr:uid="{00000000-0005-0000-0000-000093720000}"/>
    <cellStyle name="Normal 3 4 7 4 7 2" xfId="34051" xr:uid="{00000000-0005-0000-0000-000094720000}"/>
    <cellStyle name="Normal 3 4 7 4 8" xfId="16582" xr:uid="{00000000-0005-0000-0000-000095720000}"/>
    <cellStyle name="Normal 3 4 7 4 8 2" xfId="34052" xr:uid="{00000000-0005-0000-0000-000096720000}"/>
    <cellStyle name="Normal 3 4 7 4 9" xfId="16583" xr:uid="{00000000-0005-0000-0000-000097720000}"/>
    <cellStyle name="Normal 3 4 7 4 9 2" xfId="34053" xr:uid="{00000000-0005-0000-0000-000098720000}"/>
    <cellStyle name="Normal 3 4 7 5" xfId="16584" xr:uid="{00000000-0005-0000-0000-000099720000}"/>
    <cellStyle name="Normal 3 4 7 5 10" xfId="16585" xr:uid="{00000000-0005-0000-0000-00009A720000}"/>
    <cellStyle name="Normal 3 4 7 5 10 2" xfId="34055" xr:uid="{00000000-0005-0000-0000-00009B720000}"/>
    <cellStyle name="Normal 3 4 7 5 11" xfId="16586" xr:uid="{00000000-0005-0000-0000-00009C720000}"/>
    <cellStyle name="Normal 3 4 7 5 11 2" xfId="34056" xr:uid="{00000000-0005-0000-0000-00009D720000}"/>
    <cellStyle name="Normal 3 4 7 5 12" xfId="16587" xr:uid="{00000000-0005-0000-0000-00009E720000}"/>
    <cellStyle name="Normal 3 4 7 5 12 2" xfId="34057" xr:uid="{00000000-0005-0000-0000-00009F720000}"/>
    <cellStyle name="Normal 3 4 7 5 13" xfId="16588" xr:uid="{00000000-0005-0000-0000-0000A0720000}"/>
    <cellStyle name="Normal 3 4 7 5 13 2" xfId="34058" xr:uid="{00000000-0005-0000-0000-0000A1720000}"/>
    <cellStyle name="Normal 3 4 7 5 14" xfId="16589" xr:uid="{00000000-0005-0000-0000-0000A2720000}"/>
    <cellStyle name="Normal 3 4 7 5 14 2" xfId="34059" xr:uid="{00000000-0005-0000-0000-0000A3720000}"/>
    <cellStyle name="Normal 3 4 7 5 15" xfId="34054" xr:uid="{00000000-0005-0000-0000-0000A4720000}"/>
    <cellStyle name="Normal 3 4 7 5 2" xfId="16590" xr:uid="{00000000-0005-0000-0000-0000A5720000}"/>
    <cellStyle name="Normal 3 4 7 5 2 2" xfId="34060" xr:uid="{00000000-0005-0000-0000-0000A6720000}"/>
    <cellStyle name="Normal 3 4 7 5 3" xfId="16591" xr:uid="{00000000-0005-0000-0000-0000A7720000}"/>
    <cellStyle name="Normal 3 4 7 5 3 2" xfId="34061" xr:uid="{00000000-0005-0000-0000-0000A8720000}"/>
    <cellStyle name="Normal 3 4 7 5 4" xfId="16592" xr:uid="{00000000-0005-0000-0000-0000A9720000}"/>
    <cellStyle name="Normal 3 4 7 5 4 2" xfId="34062" xr:uid="{00000000-0005-0000-0000-0000AA720000}"/>
    <cellStyle name="Normal 3 4 7 5 5" xfId="16593" xr:uid="{00000000-0005-0000-0000-0000AB720000}"/>
    <cellStyle name="Normal 3 4 7 5 5 2" xfId="34063" xr:uid="{00000000-0005-0000-0000-0000AC720000}"/>
    <cellStyle name="Normal 3 4 7 5 6" xfId="16594" xr:uid="{00000000-0005-0000-0000-0000AD720000}"/>
    <cellStyle name="Normal 3 4 7 5 6 2" xfId="34064" xr:uid="{00000000-0005-0000-0000-0000AE720000}"/>
    <cellStyle name="Normal 3 4 7 5 7" xfId="16595" xr:uid="{00000000-0005-0000-0000-0000AF720000}"/>
    <cellStyle name="Normal 3 4 7 5 7 2" xfId="34065" xr:uid="{00000000-0005-0000-0000-0000B0720000}"/>
    <cellStyle name="Normal 3 4 7 5 8" xfId="16596" xr:uid="{00000000-0005-0000-0000-0000B1720000}"/>
    <cellStyle name="Normal 3 4 7 5 8 2" xfId="34066" xr:uid="{00000000-0005-0000-0000-0000B2720000}"/>
    <cellStyle name="Normal 3 4 7 5 9" xfId="16597" xr:uid="{00000000-0005-0000-0000-0000B3720000}"/>
    <cellStyle name="Normal 3 4 7 5 9 2" xfId="34067" xr:uid="{00000000-0005-0000-0000-0000B4720000}"/>
    <cellStyle name="Normal 3 4 7 6" xfId="16598" xr:uid="{00000000-0005-0000-0000-0000B5720000}"/>
    <cellStyle name="Normal 3 4 7 6 10" xfId="16599" xr:uid="{00000000-0005-0000-0000-0000B6720000}"/>
    <cellStyle name="Normal 3 4 7 6 10 2" xfId="34069" xr:uid="{00000000-0005-0000-0000-0000B7720000}"/>
    <cellStyle name="Normal 3 4 7 6 11" xfId="16600" xr:uid="{00000000-0005-0000-0000-0000B8720000}"/>
    <cellStyle name="Normal 3 4 7 6 11 2" xfId="34070" xr:uid="{00000000-0005-0000-0000-0000B9720000}"/>
    <cellStyle name="Normal 3 4 7 6 12" xfId="16601" xr:uid="{00000000-0005-0000-0000-0000BA720000}"/>
    <cellStyle name="Normal 3 4 7 6 12 2" xfId="34071" xr:uid="{00000000-0005-0000-0000-0000BB720000}"/>
    <cellStyle name="Normal 3 4 7 6 13" xfId="16602" xr:uid="{00000000-0005-0000-0000-0000BC720000}"/>
    <cellStyle name="Normal 3 4 7 6 13 2" xfId="34072" xr:uid="{00000000-0005-0000-0000-0000BD720000}"/>
    <cellStyle name="Normal 3 4 7 6 14" xfId="16603" xr:uid="{00000000-0005-0000-0000-0000BE720000}"/>
    <cellStyle name="Normal 3 4 7 6 14 2" xfId="34073" xr:uid="{00000000-0005-0000-0000-0000BF720000}"/>
    <cellStyle name="Normal 3 4 7 6 15" xfId="34068" xr:uid="{00000000-0005-0000-0000-0000C0720000}"/>
    <cellStyle name="Normal 3 4 7 6 2" xfId="16604" xr:uid="{00000000-0005-0000-0000-0000C1720000}"/>
    <cellStyle name="Normal 3 4 7 6 2 2" xfId="34074" xr:uid="{00000000-0005-0000-0000-0000C2720000}"/>
    <cellStyle name="Normal 3 4 7 6 3" xfId="16605" xr:uid="{00000000-0005-0000-0000-0000C3720000}"/>
    <cellStyle name="Normal 3 4 7 6 3 2" xfId="34075" xr:uid="{00000000-0005-0000-0000-0000C4720000}"/>
    <cellStyle name="Normal 3 4 7 6 4" xfId="16606" xr:uid="{00000000-0005-0000-0000-0000C5720000}"/>
    <cellStyle name="Normal 3 4 7 6 4 2" xfId="34076" xr:uid="{00000000-0005-0000-0000-0000C6720000}"/>
    <cellStyle name="Normal 3 4 7 6 5" xfId="16607" xr:uid="{00000000-0005-0000-0000-0000C7720000}"/>
    <cellStyle name="Normal 3 4 7 6 5 2" xfId="34077" xr:uid="{00000000-0005-0000-0000-0000C8720000}"/>
    <cellStyle name="Normal 3 4 7 6 6" xfId="16608" xr:uid="{00000000-0005-0000-0000-0000C9720000}"/>
    <cellStyle name="Normal 3 4 7 6 6 2" xfId="34078" xr:uid="{00000000-0005-0000-0000-0000CA720000}"/>
    <cellStyle name="Normal 3 4 7 6 7" xfId="16609" xr:uid="{00000000-0005-0000-0000-0000CB720000}"/>
    <cellStyle name="Normal 3 4 7 6 7 2" xfId="34079" xr:uid="{00000000-0005-0000-0000-0000CC720000}"/>
    <cellStyle name="Normal 3 4 7 6 8" xfId="16610" xr:uid="{00000000-0005-0000-0000-0000CD720000}"/>
    <cellStyle name="Normal 3 4 7 6 8 2" xfId="34080" xr:uid="{00000000-0005-0000-0000-0000CE720000}"/>
    <cellStyle name="Normal 3 4 7 6 9" xfId="16611" xr:uid="{00000000-0005-0000-0000-0000CF720000}"/>
    <cellStyle name="Normal 3 4 7 6 9 2" xfId="34081" xr:uid="{00000000-0005-0000-0000-0000D0720000}"/>
    <cellStyle name="Normal 3 4 7 7" xfId="16612" xr:uid="{00000000-0005-0000-0000-0000D1720000}"/>
    <cellStyle name="Normal 3 4 7 7 10" xfId="16613" xr:uid="{00000000-0005-0000-0000-0000D2720000}"/>
    <cellStyle name="Normal 3 4 7 7 10 2" xfId="34083" xr:uid="{00000000-0005-0000-0000-0000D3720000}"/>
    <cellStyle name="Normal 3 4 7 7 11" xfId="16614" xr:uid="{00000000-0005-0000-0000-0000D4720000}"/>
    <cellStyle name="Normal 3 4 7 7 11 2" xfId="34084" xr:uid="{00000000-0005-0000-0000-0000D5720000}"/>
    <cellStyle name="Normal 3 4 7 7 12" xfId="16615" xr:uid="{00000000-0005-0000-0000-0000D6720000}"/>
    <cellStyle name="Normal 3 4 7 7 12 2" xfId="34085" xr:uid="{00000000-0005-0000-0000-0000D7720000}"/>
    <cellStyle name="Normal 3 4 7 7 13" xfId="16616" xr:uid="{00000000-0005-0000-0000-0000D8720000}"/>
    <cellStyle name="Normal 3 4 7 7 13 2" xfId="34086" xr:uid="{00000000-0005-0000-0000-0000D9720000}"/>
    <cellStyle name="Normal 3 4 7 7 14" xfId="16617" xr:uid="{00000000-0005-0000-0000-0000DA720000}"/>
    <cellStyle name="Normal 3 4 7 7 14 2" xfId="34087" xr:uid="{00000000-0005-0000-0000-0000DB720000}"/>
    <cellStyle name="Normal 3 4 7 7 15" xfId="34082" xr:uid="{00000000-0005-0000-0000-0000DC720000}"/>
    <cellStyle name="Normal 3 4 7 7 2" xfId="16618" xr:uid="{00000000-0005-0000-0000-0000DD720000}"/>
    <cellStyle name="Normal 3 4 7 7 2 2" xfId="34088" xr:uid="{00000000-0005-0000-0000-0000DE720000}"/>
    <cellStyle name="Normal 3 4 7 7 3" xfId="16619" xr:uid="{00000000-0005-0000-0000-0000DF720000}"/>
    <cellStyle name="Normal 3 4 7 7 3 2" xfId="34089" xr:uid="{00000000-0005-0000-0000-0000E0720000}"/>
    <cellStyle name="Normal 3 4 7 7 4" xfId="16620" xr:uid="{00000000-0005-0000-0000-0000E1720000}"/>
    <cellStyle name="Normal 3 4 7 7 4 2" xfId="34090" xr:uid="{00000000-0005-0000-0000-0000E2720000}"/>
    <cellStyle name="Normal 3 4 7 7 5" xfId="16621" xr:uid="{00000000-0005-0000-0000-0000E3720000}"/>
    <cellStyle name="Normal 3 4 7 7 5 2" xfId="34091" xr:uid="{00000000-0005-0000-0000-0000E4720000}"/>
    <cellStyle name="Normal 3 4 7 7 6" xfId="16622" xr:uid="{00000000-0005-0000-0000-0000E5720000}"/>
    <cellStyle name="Normal 3 4 7 7 6 2" xfId="34092" xr:uid="{00000000-0005-0000-0000-0000E6720000}"/>
    <cellStyle name="Normal 3 4 7 7 7" xfId="16623" xr:uid="{00000000-0005-0000-0000-0000E7720000}"/>
    <cellStyle name="Normal 3 4 7 7 7 2" xfId="34093" xr:uid="{00000000-0005-0000-0000-0000E8720000}"/>
    <cellStyle name="Normal 3 4 7 7 8" xfId="16624" xr:uid="{00000000-0005-0000-0000-0000E9720000}"/>
    <cellStyle name="Normal 3 4 7 7 8 2" xfId="34094" xr:uid="{00000000-0005-0000-0000-0000EA720000}"/>
    <cellStyle name="Normal 3 4 7 7 9" xfId="16625" xr:uid="{00000000-0005-0000-0000-0000EB720000}"/>
    <cellStyle name="Normal 3 4 7 7 9 2" xfId="34095" xr:uid="{00000000-0005-0000-0000-0000EC720000}"/>
    <cellStyle name="Normal 3 4 7 8" xfId="16626" xr:uid="{00000000-0005-0000-0000-0000ED720000}"/>
    <cellStyle name="Normal 3 4 7 8 10" xfId="16627" xr:uid="{00000000-0005-0000-0000-0000EE720000}"/>
    <cellStyle name="Normal 3 4 7 8 10 2" xfId="34097" xr:uid="{00000000-0005-0000-0000-0000EF720000}"/>
    <cellStyle name="Normal 3 4 7 8 11" xfId="16628" xr:uid="{00000000-0005-0000-0000-0000F0720000}"/>
    <cellStyle name="Normal 3 4 7 8 11 2" xfId="34098" xr:uid="{00000000-0005-0000-0000-0000F1720000}"/>
    <cellStyle name="Normal 3 4 7 8 12" xfId="16629" xr:uid="{00000000-0005-0000-0000-0000F2720000}"/>
    <cellStyle name="Normal 3 4 7 8 12 2" xfId="34099" xr:uid="{00000000-0005-0000-0000-0000F3720000}"/>
    <cellStyle name="Normal 3 4 7 8 13" xfId="16630" xr:uid="{00000000-0005-0000-0000-0000F4720000}"/>
    <cellStyle name="Normal 3 4 7 8 13 2" xfId="34100" xr:uid="{00000000-0005-0000-0000-0000F5720000}"/>
    <cellStyle name="Normal 3 4 7 8 14" xfId="16631" xr:uid="{00000000-0005-0000-0000-0000F6720000}"/>
    <cellStyle name="Normal 3 4 7 8 14 2" xfId="34101" xr:uid="{00000000-0005-0000-0000-0000F7720000}"/>
    <cellStyle name="Normal 3 4 7 8 15" xfId="34096" xr:uid="{00000000-0005-0000-0000-0000F8720000}"/>
    <cellStyle name="Normal 3 4 7 8 2" xfId="16632" xr:uid="{00000000-0005-0000-0000-0000F9720000}"/>
    <cellStyle name="Normal 3 4 7 8 2 2" xfId="34102" xr:uid="{00000000-0005-0000-0000-0000FA720000}"/>
    <cellStyle name="Normal 3 4 7 8 3" xfId="16633" xr:uid="{00000000-0005-0000-0000-0000FB720000}"/>
    <cellStyle name="Normal 3 4 7 8 3 2" xfId="34103" xr:uid="{00000000-0005-0000-0000-0000FC720000}"/>
    <cellStyle name="Normal 3 4 7 8 4" xfId="16634" xr:uid="{00000000-0005-0000-0000-0000FD720000}"/>
    <cellStyle name="Normal 3 4 7 8 4 2" xfId="34104" xr:uid="{00000000-0005-0000-0000-0000FE720000}"/>
    <cellStyle name="Normal 3 4 7 8 5" xfId="16635" xr:uid="{00000000-0005-0000-0000-0000FF720000}"/>
    <cellStyle name="Normal 3 4 7 8 5 2" xfId="34105" xr:uid="{00000000-0005-0000-0000-000000730000}"/>
    <cellStyle name="Normal 3 4 7 8 6" xfId="16636" xr:uid="{00000000-0005-0000-0000-000001730000}"/>
    <cellStyle name="Normal 3 4 7 8 6 2" xfId="34106" xr:uid="{00000000-0005-0000-0000-000002730000}"/>
    <cellStyle name="Normal 3 4 7 8 7" xfId="16637" xr:uid="{00000000-0005-0000-0000-000003730000}"/>
    <cellStyle name="Normal 3 4 7 8 7 2" xfId="34107" xr:uid="{00000000-0005-0000-0000-000004730000}"/>
    <cellStyle name="Normal 3 4 7 8 8" xfId="16638" xr:uid="{00000000-0005-0000-0000-000005730000}"/>
    <cellStyle name="Normal 3 4 7 8 8 2" xfId="34108" xr:uid="{00000000-0005-0000-0000-000006730000}"/>
    <cellStyle name="Normal 3 4 7 8 9" xfId="16639" xr:uid="{00000000-0005-0000-0000-000007730000}"/>
    <cellStyle name="Normal 3 4 7 8 9 2" xfId="34109" xr:uid="{00000000-0005-0000-0000-000008730000}"/>
    <cellStyle name="Normal 3 4 7 9" xfId="16640" xr:uid="{00000000-0005-0000-0000-000009730000}"/>
    <cellStyle name="Normal 3 4 7 9 10" xfId="16641" xr:uid="{00000000-0005-0000-0000-00000A730000}"/>
    <cellStyle name="Normal 3 4 7 9 10 2" xfId="34111" xr:uid="{00000000-0005-0000-0000-00000B730000}"/>
    <cellStyle name="Normal 3 4 7 9 11" xfId="16642" xr:uid="{00000000-0005-0000-0000-00000C730000}"/>
    <cellStyle name="Normal 3 4 7 9 11 2" xfId="34112" xr:uid="{00000000-0005-0000-0000-00000D730000}"/>
    <cellStyle name="Normal 3 4 7 9 12" xfId="16643" xr:uid="{00000000-0005-0000-0000-00000E730000}"/>
    <cellStyle name="Normal 3 4 7 9 12 2" xfId="34113" xr:uid="{00000000-0005-0000-0000-00000F730000}"/>
    <cellStyle name="Normal 3 4 7 9 13" xfId="16644" xr:uid="{00000000-0005-0000-0000-000010730000}"/>
    <cellStyle name="Normal 3 4 7 9 13 2" xfId="34114" xr:uid="{00000000-0005-0000-0000-000011730000}"/>
    <cellStyle name="Normal 3 4 7 9 14" xfId="16645" xr:uid="{00000000-0005-0000-0000-000012730000}"/>
    <cellStyle name="Normal 3 4 7 9 14 2" xfId="34115" xr:uid="{00000000-0005-0000-0000-000013730000}"/>
    <cellStyle name="Normal 3 4 7 9 15" xfId="34110" xr:uid="{00000000-0005-0000-0000-000014730000}"/>
    <cellStyle name="Normal 3 4 7 9 2" xfId="16646" xr:uid="{00000000-0005-0000-0000-000015730000}"/>
    <cellStyle name="Normal 3 4 7 9 2 2" xfId="34116" xr:uid="{00000000-0005-0000-0000-000016730000}"/>
    <cellStyle name="Normal 3 4 7 9 3" xfId="16647" xr:uid="{00000000-0005-0000-0000-000017730000}"/>
    <cellStyle name="Normal 3 4 7 9 3 2" xfId="34117" xr:uid="{00000000-0005-0000-0000-000018730000}"/>
    <cellStyle name="Normal 3 4 7 9 4" xfId="16648" xr:uid="{00000000-0005-0000-0000-000019730000}"/>
    <cellStyle name="Normal 3 4 7 9 4 2" xfId="34118" xr:uid="{00000000-0005-0000-0000-00001A730000}"/>
    <cellStyle name="Normal 3 4 7 9 5" xfId="16649" xr:uid="{00000000-0005-0000-0000-00001B730000}"/>
    <cellStyle name="Normal 3 4 7 9 5 2" xfId="34119" xr:uid="{00000000-0005-0000-0000-00001C730000}"/>
    <cellStyle name="Normal 3 4 7 9 6" xfId="16650" xr:uid="{00000000-0005-0000-0000-00001D730000}"/>
    <cellStyle name="Normal 3 4 7 9 6 2" xfId="34120" xr:uid="{00000000-0005-0000-0000-00001E730000}"/>
    <cellStyle name="Normal 3 4 7 9 7" xfId="16651" xr:uid="{00000000-0005-0000-0000-00001F730000}"/>
    <cellStyle name="Normal 3 4 7 9 7 2" xfId="34121" xr:uid="{00000000-0005-0000-0000-000020730000}"/>
    <cellStyle name="Normal 3 4 7 9 8" xfId="16652" xr:uid="{00000000-0005-0000-0000-000021730000}"/>
    <cellStyle name="Normal 3 4 7 9 8 2" xfId="34122" xr:uid="{00000000-0005-0000-0000-000022730000}"/>
    <cellStyle name="Normal 3 4 7 9 9" xfId="16653" xr:uid="{00000000-0005-0000-0000-000023730000}"/>
    <cellStyle name="Normal 3 4 7 9 9 2" xfId="34123" xr:uid="{00000000-0005-0000-0000-000024730000}"/>
    <cellStyle name="Normal 3 4 8" xfId="16654" xr:uid="{00000000-0005-0000-0000-000025730000}"/>
    <cellStyle name="Normal 3 4 8 10" xfId="16655" xr:uid="{00000000-0005-0000-0000-000026730000}"/>
    <cellStyle name="Normal 3 4 8 10 10" xfId="16656" xr:uid="{00000000-0005-0000-0000-000027730000}"/>
    <cellStyle name="Normal 3 4 8 10 10 2" xfId="34126" xr:uid="{00000000-0005-0000-0000-000028730000}"/>
    <cellStyle name="Normal 3 4 8 10 11" xfId="16657" xr:uid="{00000000-0005-0000-0000-000029730000}"/>
    <cellStyle name="Normal 3 4 8 10 11 2" xfId="34127" xr:uid="{00000000-0005-0000-0000-00002A730000}"/>
    <cellStyle name="Normal 3 4 8 10 12" xfId="16658" xr:uid="{00000000-0005-0000-0000-00002B730000}"/>
    <cellStyle name="Normal 3 4 8 10 12 2" xfId="34128" xr:uid="{00000000-0005-0000-0000-00002C730000}"/>
    <cellStyle name="Normal 3 4 8 10 13" xfId="16659" xr:uid="{00000000-0005-0000-0000-00002D730000}"/>
    <cellStyle name="Normal 3 4 8 10 13 2" xfId="34129" xr:uid="{00000000-0005-0000-0000-00002E730000}"/>
    <cellStyle name="Normal 3 4 8 10 14" xfId="16660" xr:uid="{00000000-0005-0000-0000-00002F730000}"/>
    <cellStyle name="Normal 3 4 8 10 14 2" xfId="34130" xr:uid="{00000000-0005-0000-0000-000030730000}"/>
    <cellStyle name="Normal 3 4 8 10 15" xfId="34125" xr:uid="{00000000-0005-0000-0000-000031730000}"/>
    <cellStyle name="Normal 3 4 8 10 2" xfId="16661" xr:uid="{00000000-0005-0000-0000-000032730000}"/>
    <cellStyle name="Normal 3 4 8 10 2 2" xfId="34131" xr:uid="{00000000-0005-0000-0000-000033730000}"/>
    <cellStyle name="Normal 3 4 8 10 3" xfId="16662" xr:uid="{00000000-0005-0000-0000-000034730000}"/>
    <cellStyle name="Normal 3 4 8 10 3 2" xfId="34132" xr:uid="{00000000-0005-0000-0000-000035730000}"/>
    <cellStyle name="Normal 3 4 8 10 4" xfId="16663" xr:uid="{00000000-0005-0000-0000-000036730000}"/>
    <cellStyle name="Normal 3 4 8 10 4 2" xfId="34133" xr:uid="{00000000-0005-0000-0000-000037730000}"/>
    <cellStyle name="Normal 3 4 8 10 5" xfId="16664" xr:uid="{00000000-0005-0000-0000-000038730000}"/>
    <cellStyle name="Normal 3 4 8 10 5 2" xfId="34134" xr:uid="{00000000-0005-0000-0000-000039730000}"/>
    <cellStyle name="Normal 3 4 8 10 6" xfId="16665" xr:uid="{00000000-0005-0000-0000-00003A730000}"/>
    <cellStyle name="Normal 3 4 8 10 6 2" xfId="34135" xr:uid="{00000000-0005-0000-0000-00003B730000}"/>
    <cellStyle name="Normal 3 4 8 10 7" xfId="16666" xr:uid="{00000000-0005-0000-0000-00003C730000}"/>
    <cellStyle name="Normal 3 4 8 10 7 2" xfId="34136" xr:uid="{00000000-0005-0000-0000-00003D730000}"/>
    <cellStyle name="Normal 3 4 8 10 8" xfId="16667" xr:uid="{00000000-0005-0000-0000-00003E730000}"/>
    <cellStyle name="Normal 3 4 8 10 8 2" xfId="34137" xr:uid="{00000000-0005-0000-0000-00003F730000}"/>
    <cellStyle name="Normal 3 4 8 10 9" xfId="16668" xr:uid="{00000000-0005-0000-0000-000040730000}"/>
    <cellStyle name="Normal 3 4 8 10 9 2" xfId="34138" xr:uid="{00000000-0005-0000-0000-000041730000}"/>
    <cellStyle name="Normal 3 4 8 11" xfId="16669" xr:uid="{00000000-0005-0000-0000-000042730000}"/>
    <cellStyle name="Normal 3 4 8 11 2" xfId="34139" xr:uid="{00000000-0005-0000-0000-000043730000}"/>
    <cellStyle name="Normal 3 4 8 12" xfId="16670" xr:uid="{00000000-0005-0000-0000-000044730000}"/>
    <cellStyle name="Normal 3 4 8 12 2" xfId="34140" xr:uid="{00000000-0005-0000-0000-000045730000}"/>
    <cellStyle name="Normal 3 4 8 13" xfId="16671" xr:uid="{00000000-0005-0000-0000-000046730000}"/>
    <cellStyle name="Normal 3 4 8 13 2" xfId="34141" xr:uid="{00000000-0005-0000-0000-000047730000}"/>
    <cellStyle name="Normal 3 4 8 14" xfId="16672" xr:uid="{00000000-0005-0000-0000-000048730000}"/>
    <cellStyle name="Normal 3 4 8 14 2" xfId="34142" xr:uid="{00000000-0005-0000-0000-000049730000}"/>
    <cellStyle name="Normal 3 4 8 15" xfId="16673" xr:uid="{00000000-0005-0000-0000-00004A730000}"/>
    <cellStyle name="Normal 3 4 8 15 2" xfId="34143" xr:uid="{00000000-0005-0000-0000-00004B730000}"/>
    <cellStyle name="Normal 3 4 8 16" xfId="16674" xr:uid="{00000000-0005-0000-0000-00004C730000}"/>
    <cellStyle name="Normal 3 4 8 16 2" xfId="34144" xr:uid="{00000000-0005-0000-0000-00004D730000}"/>
    <cellStyle name="Normal 3 4 8 17" xfId="16675" xr:uid="{00000000-0005-0000-0000-00004E730000}"/>
    <cellStyle name="Normal 3 4 8 17 2" xfId="34145" xr:uid="{00000000-0005-0000-0000-00004F730000}"/>
    <cellStyle name="Normal 3 4 8 18" xfId="16676" xr:uid="{00000000-0005-0000-0000-000050730000}"/>
    <cellStyle name="Normal 3 4 8 18 2" xfId="34146" xr:uid="{00000000-0005-0000-0000-000051730000}"/>
    <cellStyle name="Normal 3 4 8 19" xfId="16677" xr:uid="{00000000-0005-0000-0000-000052730000}"/>
    <cellStyle name="Normal 3 4 8 19 2" xfId="34147" xr:uid="{00000000-0005-0000-0000-000053730000}"/>
    <cellStyle name="Normal 3 4 8 2" xfId="16678" xr:uid="{00000000-0005-0000-0000-000054730000}"/>
    <cellStyle name="Normal 3 4 8 2 10" xfId="16679" xr:uid="{00000000-0005-0000-0000-000055730000}"/>
    <cellStyle name="Normal 3 4 8 2 10 2" xfId="34149" xr:uid="{00000000-0005-0000-0000-000056730000}"/>
    <cellStyle name="Normal 3 4 8 2 11" xfId="16680" xr:uid="{00000000-0005-0000-0000-000057730000}"/>
    <cellStyle name="Normal 3 4 8 2 11 2" xfId="34150" xr:uid="{00000000-0005-0000-0000-000058730000}"/>
    <cellStyle name="Normal 3 4 8 2 12" xfId="16681" xr:uid="{00000000-0005-0000-0000-000059730000}"/>
    <cellStyle name="Normal 3 4 8 2 12 2" xfId="34151" xr:uid="{00000000-0005-0000-0000-00005A730000}"/>
    <cellStyle name="Normal 3 4 8 2 13" xfId="16682" xr:uid="{00000000-0005-0000-0000-00005B730000}"/>
    <cellStyle name="Normal 3 4 8 2 13 2" xfId="34152" xr:uid="{00000000-0005-0000-0000-00005C730000}"/>
    <cellStyle name="Normal 3 4 8 2 14" xfId="16683" xr:uid="{00000000-0005-0000-0000-00005D730000}"/>
    <cellStyle name="Normal 3 4 8 2 14 2" xfId="34153" xr:uid="{00000000-0005-0000-0000-00005E730000}"/>
    <cellStyle name="Normal 3 4 8 2 15" xfId="16684" xr:uid="{00000000-0005-0000-0000-00005F730000}"/>
    <cellStyle name="Normal 3 4 8 2 15 2" xfId="34154" xr:uid="{00000000-0005-0000-0000-000060730000}"/>
    <cellStyle name="Normal 3 4 8 2 16" xfId="34148" xr:uid="{00000000-0005-0000-0000-000061730000}"/>
    <cellStyle name="Normal 3 4 8 2 2" xfId="16685" xr:uid="{00000000-0005-0000-0000-000062730000}"/>
    <cellStyle name="Normal 3 4 8 2 2 10" xfId="16686" xr:uid="{00000000-0005-0000-0000-000063730000}"/>
    <cellStyle name="Normal 3 4 8 2 2 10 2" xfId="34156" xr:uid="{00000000-0005-0000-0000-000064730000}"/>
    <cellStyle name="Normal 3 4 8 2 2 11" xfId="16687" xr:uid="{00000000-0005-0000-0000-000065730000}"/>
    <cellStyle name="Normal 3 4 8 2 2 11 2" xfId="34157" xr:uid="{00000000-0005-0000-0000-000066730000}"/>
    <cellStyle name="Normal 3 4 8 2 2 12" xfId="16688" xr:uid="{00000000-0005-0000-0000-000067730000}"/>
    <cellStyle name="Normal 3 4 8 2 2 12 2" xfId="34158" xr:uid="{00000000-0005-0000-0000-000068730000}"/>
    <cellStyle name="Normal 3 4 8 2 2 13" xfId="16689" xr:uid="{00000000-0005-0000-0000-000069730000}"/>
    <cellStyle name="Normal 3 4 8 2 2 13 2" xfId="34159" xr:uid="{00000000-0005-0000-0000-00006A730000}"/>
    <cellStyle name="Normal 3 4 8 2 2 14" xfId="16690" xr:uid="{00000000-0005-0000-0000-00006B730000}"/>
    <cellStyle name="Normal 3 4 8 2 2 14 2" xfId="34160" xr:uid="{00000000-0005-0000-0000-00006C730000}"/>
    <cellStyle name="Normal 3 4 8 2 2 15" xfId="34155" xr:uid="{00000000-0005-0000-0000-00006D730000}"/>
    <cellStyle name="Normal 3 4 8 2 2 2" xfId="16691" xr:uid="{00000000-0005-0000-0000-00006E730000}"/>
    <cellStyle name="Normal 3 4 8 2 2 2 2" xfId="34161" xr:uid="{00000000-0005-0000-0000-00006F730000}"/>
    <cellStyle name="Normal 3 4 8 2 2 3" xfId="16692" xr:uid="{00000000-0005-0000-0000-000070730000}"/>
    <cellStyle name="Normal 3 4 8 2 2 3 2" xfId="34162" xr:uid="{00000000-0005-0000-0000-000071730000}"/>
    <cellStyle name="Normal 3 4 8 2 2 4" xfId="16693" xr:uid="{00000000-0005-0000-0000-000072730000}"/>
    <cellStyle name="Normal 3 4 8 2 2 4 2" xfId="34163" xr:uid="{00000000-0005-0000-0000-000073730000}"/>
    <cellStyle name="Normal 3 4 8 2 2 5" xfId="16694" xr:uid="{00000000-0005-0000-0000-000074730000}"/>
    <cellStyle name="Normal 3 4 8 2 2 5 2" xfId="34164" xr:uid="{00000000-0005-0000-0000-000075730000}"/>
    <cellStyle name="Normal 3 4 8 2 2 6" xfId="16695" xr:uid="{00000000-0005-0000-0000-000076730000}"/>
    <cellStyle name="Normal 3 4 8 2 2 6 2" xfId="34165" xr:uid="{00000000-0005-0000-0000-000077730000}"/>
    <cellStyle name="Normal 3 4 8 2 2 7" xfId="16696" xr:uid="{00000000-0005-0000-0000-000078730000}"/>
    <cellStyle name="Normal 3 4 8 2 2 7 2" xfId="34166" xr:uid="{00000000-0005-0000-0000-000079730000}"/>
    <cellStyle name="Normal 3 4 8 2 2 8" xfId="16697" xr:uid="{00000000-0005-0000-0000-00007A730000}"/>
    <cellStyle name="Normal 3 4 8 2 2 8 2" xfId="34167" xr:uid="{00000000-0005-0000-0000-00007B730000}"/>
    <cellStyle name="Normal 3 4 8 2 2 9" xfId="16698" xr:uid="{00000000-0005-0000-0000-00007C730000}"/>
    <cellStyle name="Normal 3 4 8 2 2 9 2" xfId="34168" xr:uid="{00000000-0005-0000-0000-00007D730000}"/>
    <cellStyle name="Normal 3 4 8 2 3" xfId="16699" xr:uid="{00000000-0005-0000-0000-00007E730000}"/>
    <cellStyle name="Normal 3 4 8 2 3 2" xfId="34169" xr:uid="{00000000-0005-0000-0000-00007F730000}"/>
    <cellStyle name="Normal 3 4 8 2 4" xfId="16700" xr:uid="{00000000-0005-0000-0000-000080730000}"/>
    <cellStyle name="Normal 3 4 8 2 4 2" xfId="34170" xr:uid="{00000000-0005-0000-0000-000081730000}"/>
    <cellStyle name="Normal 3 4 8 2 5" xfId="16701" xr:uid="{00000000-0005-0000-0000-000082730000}"/>
    <cellStyle name="Normal 3 4 8 2 5 2" xfId="34171" xr:uid="{00000000-0005-0000-0000-000083730000}"/>
    <cellStyle name="Normal 3 4 8 2 6" xfId="16702" xr:uid="{00000000-0005-0000-0000-000084730000}"/>
    <cellStyle name="Normal 3 4 8 2 6 2" xfId="34172" xr:uid="{00000000-0005-0000-0000-000085730000}"/>
    <cellStyle name="Normal 3 4 8 2 7" xfId="16703" xr:uid="{00000000-0005-0000-0000-000086730000}"/>
    <cellStyle name="Normal 3 4 8 2 7 2" xfId="34173" xr:uid="{00000000-0005-0000-0000-000087730000}"/>
    <cellStyle name="Normal 3 4 8 2 8" xfId="16704" xr:uid="{00000000-0005-0000-0000-000088730000}"/>
    <cellStyle name="Normal 3 4 8 2 8 2" xfId="34174" xr:uid="{00000000-0005-0000-0000-000089730000}"/>
    <cellStyle name="Normal 3 4 8 2 9" xfId="16705" xr:uid="{00000000-0005-0000-0000-00008A730000}"/>
    <cellStyle name="Normal 3 4 8 2 9 2" xfId="34175" xr:uid="{00000000-0005-0000-0000-00008B730000}"/>
    <cellStyle name="Normal 3 4 8 20" xfId="16706" xr:uid="{00000000-0005-0000-0000-00008C730000}"/>
    <cellStyle name="Normal 3 4 8 20 2" xfId="34176" xr:uid="{00000000-0005-0000-0000-00008D730000}"/>
    <cellStyle name="Normal 3 4 8 21" xfId="16707" xr:uid="{00000000-0005-0000-0000-00008E730000}"/>
    <cellStyle name="Normal 3 4 8 21 2" xfId="34177" xr:uid="{00000000-0005-0000-0000-00008F730000}"/>
    <cellStyle name="Normal 3 4 8 22" xfId="16708" xr:uid="{00000000-0005-0000-0000-000090730000}"/>
    <cellStyle name="Normal 3 4 8 22 2" xfId="34178" xr:uid="{00000000-0005-0000-0000-000091730000}"/>
    <cellStyle name="Normal 3 4 8 23" xfId="16709" xr:uid="{00000000-0005-0000-0000-000092730000}"/>
    <cellStyle name="Normal 3 4 8 23 2" xfId="34179" xr:uid="{00000000-0005-0000-0000-000093730000}"/>
    <cellStyle name="Normal 3 4 8 24" xfId="34124" xr:uid="{00000000-0005-0000-0000-000094730000}"/>
    <cellStyle name="Normal 3 4 8 3" xfId="16710" xr:uid="{00000000-0005-0000-0000-000095730000}"/>
    <cellStyle name="Normal 3 4 8 3 10" xfId="16711" xr:uid="{00000000-0005-0000-0000-000096730000}"/>
    <cellStyle name="Normal 3 4 8 3 10 2" xfId="34181" xr:uid="{00000000-0005-0000-0000-000097730000}"/>
    <cellStyle name="Normal 3 4 8 3 11" xfId="16712" xr:uid="{00000000-0005-0000-0000-000098730000}"/>
    <cellStyle name="Normal 3 4 8 3 11 2" xfId="34182" xr:uid="{00000000-0005-0000-0000-000099730000}"/>
    <cellStyle name="Normal 3 4 8 3 12" xfId="16713" xr:uid="{00000000-0005-0000-0000-00009A730000}"/>
    <cellStyle name="Normal 3 4 8 3 12 2" xfId="34183" xr:uid="{00000000-0005-0000-0000-00009B730000}"/>
    <cellStyle name="Normal 3 4 8 3 13" xfId="16714" xr:uid="{00000000-0005-0000-0000-00009C730000}"/>
    <cellStyle name="Normal 3 4 8 3 13 2" xfId="34184" xr:uid="{00000000-0005-0000-0000-00009D730000}"/>
    <cellStyle name="Normal 3 4 8 3 14" xfId="16715" xr:uid="{00000000-0005-0000-0000-00009E730000}"/>
    <cellStyle name="Normal 3 4 8 3 14 2" xfId="34185" xr:uid="{00000000-0005-0000-0000-00009F730000}"/>
    <cellStyle name="Normal 3 4 8 3 15" xfId="16716" xr:uid="{00000000-0005-0000-0000-0000A0730000}"/>
    <cellStyle name="Normal 3 4 8 3 15 2" xfId="34186" xr:uid="{00000000-0005-0000-0000-0000A1730000}"/>
    <cellStyle name="Normal 3 4 8 3 16" xfId="34180" xr:uid="{00000000-0005-0000-0000-0000A2730000}"/>
    <cellStyle name="Normal 3 4 8 3 2" xfId="16717" xr:uid="{00000000-0005-0000-0000-0000A3730000}"/>
    <cellStyle name="Normal 3 4 8 3 2 10" xfId="16718" xr:uid="{00000000-0005-0000-0000-0000A4730000}"/>
    <cellStyle name="Normal 3 4 8 3 2 10 2" xfId="34188" xr:uid="{00000000-0005-0000-0000-0000A5730000}"/>
    <cellStyle name="Normal 3 4 8 3 2 11" xfId="16719" xr:uid="{00000000-0005-0000-0000-0000A6730000}"/>
    <cellStyle name="Normal 3 4 8 3 2 11 2" xfId="34189" xr:uid="{00000000-0005-0000-0000-0000A7730000}"/>
    <cellStyle name="Normal 3 4 8 3 2 12" xfId="16720" xr:uid="{00000000-0005-0000-0000-0000A8730000}"/>
    <cellStyle name="Normal 3 4 8 3 2 12 2" xfId="34190" xr:uid="{00000000-0005-0000-0000-0000A9730000}"/>
    <cellStyle name="Normal 3 4 8 3 2 13" xfId="16721" xr:uid="{00000000-0005-0000-0000-0000AA730000}"/>
    <cellStyle name="Normal 3 4 8 3 2 13 2" xfId="34191" xr:uid="{00000000-0005-0000-0000-0000AB730000}"/>
    <cellStyle name="Normal 3 4 8 3 2 14" xfId="16722" xr:uid="{00000000-0005-0000-0000-0000AC730000}"/>
    <cellStyle name="Normal 3 4 8 3 2 14 2" xfId="34192" xr:uid="{00000000-0005-0000-0000-0000AD730000}"/>
    <cellStyle name="Normal 3 4 8 3 2 15" xfId="34187" xr:uid="{00000000-0005-0000-0000-0000AE730000}"/>
    <cellStyle name="Normal 3 4 8 3 2 2" xfId="16723" xr:uid="{00000000-0005-0000-0000-0000AF730000}"/>
    <cellStyle name="Normal 3 4 8 3 2 2 2" xfId="34193" xr:uid="{00000000-0005-0000-0000-0000B0730000}"/>
    <cellStyle name="Normal 3 4 8 3 2 3" xfId="16724" xr:uid="{00000000-0005-0000-0000-0000B1730000}"/>
    <cellStyle name="Normal 3 4 8 3 2 3 2" xfId="34194" xr:uid="{00000000-0005-0000-0000-0000B2730000}"/>
    <cellStyle name="Normal 3 4 8 3 2 4" xfId="16725" xr:uid="{00000000-0005-0000-0000-0000B3730000}"/>
    <cellStyle name="Normal 3 4 8 3 2 4 2" xfId="34195" xr:uid="{00000000-0005-0000-0000-0000B4730000}"/>
    <cellStyle name="Normal 3 4 8 3 2 5" xfId="16726" xr:uid="{00000000-0005-0000-0000-0000B5730000}"/>
    <cellStyle name="Normal 3 4 8 3 2 5 2" xfId="34196" xr:uid="{00000000-0005-0000-0000-0000B6730000}"/>
    <cellStyle name="Normal 3 4 8 3 2 6" xfId="16727" xr:uid="{00000000-0005-0000-0000-0000B7730000}"/>
    <cellStyle name="Normal 3 4 8 3 2 6 2" xfId="34197" xr:uid="{00000000-0005-0000-0000-0000B8730000}"/>
    <cellStyle name="Normal 3 4 8 3 2 7" xfId="16728" xr:uid="{00000000-0005-0000-0000-0000B9730000}"/>
    <cellStyle name="Normal 3 4 8 3 2 7 2" xfId="34198" xr:uid="{00000000-0005-0000-0000-0000BA730000}"/>
    <cellStyle name="Normal 3 4 8 3 2 8" xfId="16729" xr:uid="{00000000-0005-0000-0000-0000BB730000}"/>
    <cellStyle name="Normal 3 4 8 3 2 8 2" xfId="34199" xr:uid="{00000000-0005-0000-0000-0000BC730000}"/>
    <cellStyle name="Normal 3 4 8 3 2 9" xfId="16730" xr:uid="{00000000-0005-0000-0000-0000BD730000}"/>
    <cellStyle name="Normal 3 4 8 3 2 9 2" xfId="34200" xr:uid="{00000000-0005-0000-0000-0000BE730000}"/>
    <cellStyle name="Normal 3 4 8 3 3" xfId="16731" xr:uid="{00000000-0005-0000-0000-0000BF730000}"/>
    <cellStyle name="Normal 3 4 8 3 3 2" xfId="34201" xr:uid="{00000000-0005-0000-0000-0000C0730000}"/>
    <cellStyle name="Normal 3 4 8 3 4" xfId="16732" xr:uid="{00000000-0005-0000-0000-0000C1730000}"/>
    <cellStyle name="Normal 3 4 8 3 4 2" xfId="34202" xr:uid="{00000000-0005-0000-0000-0000C2730000}"/>
    <cellStyle name="Normal 3 4 8 3 5" xfId="16733" xr:uid="{00000000-0005-0000-0000-0000C3730000}"/>
    <cellStyle name="Normal 3 4 8 3 5 2" xfId="34203" xr:uid="{00000000-0005-0000-0000-0000C4730000}"/>
    <cellStyle name="Normal 3 4 8 3 6" xfId="16734" xr:uid="{00000000-0005-0000-0000-0000C5730000}"/>
    <cellStyle name="Normal 3 4 8 3 6 2" xfId="34204" xr:uid="{00000000-0005-0000-0000-0000C6730000}"/>
    <cellStyle name="Normal 3 4 8 3 7" xfId="16735" xr:uid="{00000000-0005-0000-0000-0000C7730000}"/>
    <cellStyle name="Normal 3 4 8 3 7 2" xfId="34205" xr:uid="{00000000-0005-0000-0000-0000C8730000}"/>
    <cellStyle name="Normal 3 4 8 3 8" xfId="16736" xr:uid="{00000000-0005-0000-0000-0000C9730000}"/>
    <cellStyle name="Normal 3 4 8 3 8 2" xfId="34206" xr:uid="{00000000-0005-0000-0000-0000CA730000}"/>
    <cellStyle name="Normal 3 4 8 3 9" xfId="16737" xr:uid="{00000000-0005-0000-0000-0000CB730000}"/>
    <cellStyle name="Normal 3 4 8 3 9 2" xfId="34207" xr:uid="{00000000-0005-0000-0000-0000CC730000}"/>
    <cellStyle name="Normal 3 4 8 4" xfId="16738" xr:uid="{00000000-0005-0000-0000-0000CD730000}"/>
    <cellStyle name="Normal 3 4 8 4 10" xfId="16739" xr:uid="{00000000-0005-0000-0000-0000CE730000}"/>
    <cellStyle name="Normal 3 4 8 4 10 2" xfId="34209" xr:uid="{00000000-0005-0000-0000-0000CF730000}"/>
    <cellStyle name="Normal 3 4 8 4 11" xfId="16740" xr:uid="{00000000-0005-0000-0000-0000D0730000}"/>
    <cellStyle name="Normal 3 4 8 4 11 2" xfId="34210" xr:uid="{00000000-0005-0000-0000-0000D1730000}"/>
    <cellStyle name="Normal 3 4 8 4 12" xfId="16741" xr:uid="{00000000-0005-0000-0000-0000D2730000}"/>
    <cellStyle name="Normal 3 4 8 4 12 2" xfId="34211" xr:uid="{00000000-0005-0000-0000-0000D3730000}"/>
    <cellStyle name="Normal 3 4 8 4 13" xfId="16742" xr:uid="{00000000-0005-0000-0000-0000D4730000}"/>
    <cellStyle name="Normal 3 4 8 4 13 2" xfId="34212" xr:uid="{00000000-0005-0000-0000-0000D5730000}"/>
    <cellStyle name="Normal 3 4 8 4 14" xfId="16743" xr:uid="{00000000-0005-0000-0000-0000D6730000}"/>
    <cellStyle name="Normal 3 4 8 4 14 2" xfId="34213" xr:uid="{00000000-0005-0000-0000-0000D7730000}"/>
    <cellStyle name="Normal 3 4 8 4 15" xfId="16744" xr:uid="{00000000-0005-0000-0000-0000D8730000}"/>
    <cellStyle name="Normal 3 4 8 4 15 2" xfId="34214" xr:uid="{00000000-0005-0000-0000-0000D9730000}"/>
    <cellStyle name="Normal 3 4 8 4 16" xfId="34208" xr:uid="{00000000-0005-0000-0000-0000DA730000}"/>
    <cellStyle name="Normal 3 4 8 4 2" xfId="16745" xr:uid="{00000000-0005-0000-0000-0000DB730000}"/>
    <cellStyle name="Normal 3 4 8 4 2 10" xfId="16746" xr:uid="{00000000-0005-0000-0000-0000DC730000}"/>
    <cellStyle name="Normal 3 4 8 4 2 10 2" xfId="34216" xr:uid="{00000000-0005-0000-0000-0000DD730000}"/>
    <cellStyle name="Normal 3 4 8 4 2 11" xfId="16747" xr:uid="{00000000-0005-0000-0000-0000DE730000}"/>
    <cellStyle name="Normal 3 4 8 4 2 11 2" xfId="34217" xr:uid="{00000000-0005-0000-0000-0000DF730000}"/>
    <cellStyle name="Normal 3 4 8 4 2 12" xfId="16748" xr:uid="{00000000-0005-0000-0000-0000E0730000}"/>
    <cellStyle name="Normal 3 4 8 4 2 12 2" xfId="34218" xr:uid="{00000000-0005-0000-0000-0000E1730000}"/>
    <cellStyle name="Normal 3 4 8 4 2 13" xfId="16749" xr:uid="{00000000-0005-0000-0000-0000E2730000}"/>
    <cellStyle name="Normal 3 4 8 4 2 13 2" xfId="34219" xr:uid="{00000000-0005-0000-0000-0000E3730000}"/>
    <cellStyle name="Normal 3 4 8 4 2 14" xfId="16750" xr:uid="{00000000-0005-0000-0000-0000E4730000}"/>
    <cellStyle name="Normal 3 4 8 4 2 14 2" xfId="34220" xr:uid="{00000000-0005-0000-0000-0000E5730000}"/>
    <cellStyle name="Normal 3 4 8 4 2 15" xfId="34215" xr:uid="{00000000-0005-0000-0000-0000E6730000}"/>
    <cellStyle name="Normal 3 4 8 4 2 2" xfId="16751" xr:uid="{00000000-0005-0000-0000-0000E7730000}"/>
    <cellStyle name="Normal 3 4 8 4 2 2 2" xfId="34221" xr:uid="{00000000-0005-0000-0000-0000E8730000}"/>
    <cellStyle name="Normal 3 4 8 4 2 3" xfId="16752" xr:uid="{00000000-0005-0000-0000-0000E9730000}"/>
    <cellStyle name="Normal 3 4 8 4 2 3 2" xfId="34222" xr:uid="{00000000-0005-0000-0000-0000EA730000}"/>
    <cellStyle name="Normal 3 4 8 4 2 4" xfId="16753" xr:uid="{00000000-0005-0000-0000-0000EB730000}"/>
    <cellStyle name="Normal 3 4 8 4 2 4 2" xfId="34223" xr:uid="{00000000-0005-0000-0000-0000EC730000}"/>
    <cellStyle name="Normal 3 4 8 4 2 5" xfId="16754" xr:uid="{00000000-0005-0000-0000-0000ED730000}"/>
    <cellStyle name="Normal 3 4 8 4 2 5 2" xfId="34224" xr:uid="{00000000-0005-0000-0000-0000EE730000}"/>
    <cellStyle name="Normal 3 4 8 4 2 6" xfId="16755" xr:uid="{00000000-0005-0000-0000-0000EF730000}"/>
    <cellStyle name="Normal 3 4 8 4 2 6 2" xfId="34225" xr:uid="{00000000-0005-0000-0000-0000F0730000}"/>
    <cellStyle name="Normal 3 4 8 4 2 7" xfId="16756" xr:uid="{00000000-0005-0000-0000-0000F1730000}"/>
    <cellStyle name="Normal 3 4 8 4 2 7 2" xfId="34226" xr:uid="{00000000-0005-0000-0000-0000F2730000}"/>
    <cellStyle name="Normal 3 4 8 4 2 8" xfId="16757" xr:uid="{00000000-0005-0000-0000-0000F3730000}"/>
    <cellStyle name="Normal 3 4 8 4 2 8 2" xfId="34227" xr:uid="{00000000-0005-0000-0000-0000F4730000}"/>
    <cellStyle name="Normal 3 4 8 4 2 9" xfId="16758" xr:uid="{00000000-0005-0000-0000-0000F5730000}"/>
    <cellStyle name="Normal 3 4 8 4 2 9 2" xfId="34228" xr:uid="{00000000-0005-0000-0000-0000F6730000}"/>
    <cellStyle name="Normal 3 4 8 4 3" xfId="16759" xr:uid="{00000000-0005-0000-0000-0000F7730000}"/>
    <cellStyle name="Normal 3 4 8 4 3 2" xfId="34229" xr:uid="{00000000-0005-0000-0000-0000F8730000}"/>
    <cellStyle name="Normal 3 4 8 4 4" xfId="16760" xr:uid="{00000000-0005-0000-0000-0000F9730000}"/>
    <cellStyle name="Normal 3 4 8 4 4 2" xfId="34230" xr:uid="{00000000-0005-0000-0000-0000FA730000}"/>
    <cellStyle name="Normal 3 4 8 4 5" xfId="16761" xr:uid="{00000000-0005-0000-0000-0000FB730000}"/>
    <cellStyle name="Normal 3 4 8 4 5 2" xfId="34231" xr:uid="{00000000-0005-0000-0000-0000FC730000}"/>
    <cellStyle name="Normal 3 4 8 4 6" xfId="16762" xr:uid="{00000000-0005-0000-0000-0000FD730000}"/>
    <cellStyle name="Normal 3 4 8 4 6 2" xfId="34232" xr:uid="{00000000-0005-0000-0000-0000FE730000}"/>
    <cellStyle name="Normal 3 4 8 4 7" xfId="16763" xr:uid="{00000000-0005-0000-0000-0000FF730000}"/>
    <cellStyle name="Normal 3 4 8 4 7 2" xfId="34233" xr:uid="{00000000-0005-0000-0000-000000740000}"/>
    <cellStyle name="Normal 3 4 8 4 8" xfId="16764" xr:uid="{00000000-0005-0000-0000-000001740000}"/>
    <cellStyle name="Normal 3 4 8 4 8 2" xfId="34234" xr:uid="{00000000-0005-0000-0000-000002740000}"/>
    <cellStyle name="Normal 3 4 8 4 9" xfId="16765" xr:uid="{00000000-0005-0000-0000-000003740000}"/>
    <cellStyle name="Normal 3 4 8 4 9 2" xfId="34235" xr:uid="{00000000-0005-0000-0000-000004740000}"/>
    <cellStyle name="Normal 3 4 8 5" xfId="16766" xr:uid="{00000000-0005-0000-0000-000005740000}"/>
    <cellStyle name="Normal 3 4 8 5 10" xfId="16767" xr:uid="{00000000-0005-0000-0000-000006740000}"/>
    <cellStyle name="Normal 3 4 8 5 10 2" xfId="34237" xr:uid="{00000000-0005-0000-0000-000007740000}"/>
    <cellStyle name="Normal 3 4 8 5 11" xfId="16768" xr:uid="{00000000-0005-0000-0000-000008740000}"/>
    <cellStyle name="Normal 3 4 8 5 11 2" xfId="34238" xr:uid="{00000000-0005-0000-0000-000009740000}"/>
    <cellStyle name="Normal 3 4 8 5 12" xfId="16769" xr:uid="{00000000-0005-0000-0000-00000A740000}"/>
    <cellStyle name="Normal 3 4 8 5 12 2" xfId="34239" xr:uid="{00000000-0005-0000-0000-00000B740000}"/>
    <cellStyle name="Normal 3 4 8 5 13" xfId="16770" xr:uid="{00000000-0005-0000-0000-00000C740000}"/>
    <cellStyle name="Normal 3 4 8 5 13 2" xfId="34240" xr:uid="{00000000-0005-0000-0000-00000D740000}"/>
    <cellStyle name="Normal 3 4 8 5 14" xfId="16771" xr:uid="{00000000-0005-0000-0000-00000E740000}"/>
    <cellStyle name="Normal 3 4 8 5 14 2" xfId="34241" xr:uid="{00000000-0005-0000-0000-00000F740000}"/>
    <cellStyle name="Normal 3 4 8 5 15" xfId="34236" xr:uid="{00000000-0005-0000-0000-000010740000}"/>
    <cellStyle name="Normal 3 4 8 5 2" xfId="16772" xr:uid="{00000000-0005-0000-0000-000011740000}"/>
    <cellStyle name="Normal 3 4 8 5 2 2" xfId="34242" xr:uid="{00000000-0005-0000-0000-000012740000}"/>
    <cellStyle name="Normal 3 4 8 5 3" xfId="16773" xr:uid="{00000000-0005-0000-0000-000013740000}"/>
    <cellStyle name="Normal 3 4 8 5 3 2" xfId="34243" xr:uid="{00000000-0005-0000-0000-000014740000}"/>
    <cellStyle name="Normal 3 4 8 5 4" xfId="16774" xr:uid="{00000000-0005-0000-0000-000015740000}"/>
    <cellStyle name="Normal 3 4 8 5 4 2" xfId="34244" xr:uid="{00000000-0005-0000-0000-000016740000}"/>
    <cellStyle name="Normal 3 4 8 5 5" xfId="16775" xr:uid="{00000000-0005-0000-0000-000017740000}"/>
    <cellStyle name="Normal 3 4 8 5 5 2" xfId="34245" xr:uid="{00000000-0005-0000-0000-000018740000}"/>
    <cellStyle name="Normal 3 4 8 5 6" xfId="16776" xr:uid="{00000000-0005-0000-0000-000019740000}"/>
    <cellStyle name="Normal 3 4 8 5 6 2" xfId="34246" xr:uid="{00000000-0005-0000-0000-00001A740000}"/>
    <cellStyle name="Normal 3 4 8 5 7" xfId="16777" xr:uid="{00000000-0005-0000-0000-00001B740000}"/>
    <cellStyle name="Normal 3 4 8 5 7 2" xfId="34247" xr:uid="{00000000-0005-0000-0000-00001C740000}"/>
    <cellStyle name="Normal 3 4 8 5 8" xfId="16778" xr:uid="{00000000-0005-0000-0000-00001D740000}"/>
    <cellStyle name="Normal 3 4 8 5 8 2" xfId="34248" xr:uid="{00000000-0005-0000-0000-00001E740000}"/>
    <cellStyle name="Normal 3 4 8 5 9" xfId="16779" xr:uid="{00000000-0005-0000-0000-00001F740000}"/>
    <cellStyle name="Normal 3 4 8 5 9 2" xfId="34249" xr:uid="{00000000-0005-0000-0000-000020740000}"/>
    <cellStyle name="Normal 3 4 8 6" xfId="16780" xr:uid="{00000000-0005-0000-0000-000021740000}"/>
    <cellStyle name="Normal 3 4 8 6 10" xfId="16781" xr:uid="{00000000-0005-0000-0000-000022740000}"/>
    <cellStyle name="Normal 3 4 8 6 10 2" xfId="34251" xr:uid="{00000000-0005-0000-0000-000023740000}"/>
    <cellStyle name="Normal 3 4 8 6 11" xfId="16782" xr:uid="{00000000-0005-0000-0000-000024740000}"/>
    <cellStyle name="Normal 3 4 8 6 11 2" xfId="34252" xr:uid="{00000000-0005-0000-0000-000025740000}"/>
    <cellStyle name="Normal 3 4 8 6 12" xfId="16783" xr:uid="{00000000-0005-0000-0000-000026740000}"/>
    <cellStyle name="Normal 3 4 8 6 12 2" xfId="34253" xr:uid="{00000000-0005-0000-0000-000027740000}"/>
    <cellStyle name="Normal 3 4 8 6 13" xfId="16784" xr:uid="{00000000-0005-0000-0000-000028740000}"/>
    <cellStyle name="Normal 3 4 8 6 13 2" xfId="34254" xr:uid="{00000000-0005-0000-0000-000029740000}"/>
    <cellStyle name="Normal 3 4 8 6 14" xfId="16785" xr:uid="{00000000-0005-0000-0000-00002A740000}"/>
    <cellStyle name="Normal 3 4 8 6 14 2" xfId="34255" xr:uid="{00000000-0005-0000-0000-00002B740000}"/>
    <cellStyle name="Normal 3 4 8 6 15" xfId="34250" xr:uid="{00000000-0005-0000-0000-00002C740000}"/>
    <cellStyle name="Normal 3 4 8 6 2" xfId="16786" xr:uid="{00000000-0005-0000-0000-00002D740000}"/>
    <cellStyle name="Normal 3 4 8 6 2 2" xfId="34256" xr:uid="{00000000-0005-0000-0000-00002E740000}"/>
    <cellStyle name="Normal 3 4 8 6 3" xfId="16787" xr:uid="{00000000-0005-0000-0000-00002F740000}"/>
    <cellStyle name="Normal 3 4 8 6 3 2" xfId="34257" xr:uid="{00000000-0005-0000-0000-000030740000}"/>
    <cellStyle name="Normal 3 4 8 6 4" xfId="16788" xr:uid="{00000000-0005-0000-0000-000031740000}"/>
    <cellStyle name="Normal 3 4 8 6 4 2" xfId="34258" xr:uid="{00000000-0005-0000-0000-000032740000}"/>
    <cellStyle name="Normal 3 4 8 6 5" xfId="16789" xr:uid="{00000000-0005-0000-0000-000033740000}"/>
    <cellStyle name="Normal 3 4 8 6 5 2" xfId="34259" xr:uid="{00000000-0005-0000-0000-000034740000}"/>
    <cellStyle name="Normal 3 4 8 6 6" xfId="16790" xr:uid="{00000000-0005-0000-0000-000035740000}"/>
    <cellStyle name="Normal 3 4 8 6 6 2" xfId="34260" xr:uid="{00000000-0005-0000-0000-000036740000}"/>
    <cellStyle name="Normal 3 4 8 6 7" xfId="16791" xr:uid="{00000000-0005-0000-0000-000037740000}"/>
    <cellStyle name="Normal 3 4 8 6 7 2" xfId="34261" xr:uid="{00000000-0005-0000-0000-000038740000}"/>
    <cellStyle name="Normal 3 4 8 6 8" xfId="16792" xr:uid="{00000000-0005-0000-0000-000039740000}"/>
    <cellStyle name="Normal 3 4 8 6 8 2" xfId="34262" xr:uid="{00000000-0005-0000-0000-00003A740000}"/>
    <cellStyle name="Normal 3 4 8 6 9" xfId="16793" xr:uid="{00000000-0005-0000-0000-00003B740000}"/>
    <cellStyle name="Normal 3 4 8 6 9 2" xfId="34263" xr:uid="{00000000-0005-0000-0000-00003C740000}"/>
    <cellStyle name="Normal 3 4 8 7" xfId="16794" xr:uid="{00000000-0005-0000-0000-00003D740000}"/>
    <cellStyle name="Normal 3 4 8 7 10" xfId="16795" xr:uid="{00000000-0005-0000-0000-00003E740000}"/>
    <cellStyle name="Normal 3 4 8 7 10 2" xfId="34265" xr:uid="{00000000-0005-0000-0000-00003F740000}"/>
    <cellStyle name="Normal 3 4 8 7 11" xfId="16796" xr:uid="{00000000-0005-0000-0000-000040740000}"/>
    <cellStyle name="Normal 3 4 8 7 11 2" xfId="34266" xr:uid="{00000000-0005-0000-0000-000041740000}"/>
    <cellStyle name="Normal 3 4 8 7 12" xfId="16797" xr:uid="{00000000-0005-0000-0000-000042740000}"/>
    <cellStyle name="Normal 3 4 8 7 12 2" xfId="34267" xr:uid="{00000000-0005-0000-0000-000043740000}"/>
    <cellStyle name="Normal 3 4 8 7 13" xfId="16798" xr:uid="{00000000-0005-0000-0000-000044740000}"/>
    <cellStyle name="Normal 3 4 8 7 13 2" xfId="34268" xr:uid="{00000000-0005-0000-0000-000045740000}"/>
    <cellStyle name="Normal 3 4 8 7 14" xfId="16799" xr:uid="{00000000-0005-0000-0000-000046740000}"/>
    <cellStyle name="Normal 3 4 8 7 14 2" xfId="34269" xr:uid="{00000000-0005-0000-0000-000047740000}"/>
    <cellStyle name="Normal 3 4 8 7 15" xfId="34264" xr:uid="{00000000-0005-0000-0000-000048740000}"/>
    <cellStyle name="Normal 3 4 8 7 2" xfId="16800" xr:uid="{00000000-0005-0000-0000-000049740000}"/>
    <cellStyle name="Normal 3 4 8 7 2 2" xfId="34270" xr:uid="{00000000-0005-0000-0000-00004A740000}"/>
    <cellStyle name="Normal 3 4 8 7 3" xfId="16801" xr:uid="{00000000-0005-0000-0000-00004B740000}"/>
    <cellStyle name="Normal 3 4 8 7 3 2" xfId="34271" xr:uid="{00000000-0005-0000-0000-00004C740000}"/>
    <cellStyle name="Normal 3 4 8 7 4" xfId="16802" xr:uid="{00000000-0005-0000-0000-00004D740000}"/>
    <cellStyle name="Normal 3 4 8 7 4 2" xfId="34272" xr:uid="{00000000-0005-0000-0000-00004E740000}"/>
    <cellStyle name="Normal 3 4 8 7 5" xfId="16803" xr:uid="{00000000-0005-0000-0000-00004F740000}"/>
    <cellStyle name="Normal 3 4 8 7 5 2" xfId="34273" xr:uid="{00000000-0005-0000-0000-000050740000}"/>
    <cellStyle name="Normal 3 4 8 7 6" xfId="16804" xr:uid="{00000000-0005-0000-0000-000051740000}"/>
    <cellStyle name="Normal 3 4 8 7 6 2" xfId="34274" xr:uid="{00000000-0005-0000-0000-000052740000}"/>
    <cellStyle name="Normal 3 4 8 7 7" xfId="16805" xr:uid="{00000000-0005-0000-0000-000053740000}"/>
    <cellStyle name="Normal 3 4 8 7 7 2" xfId="34275" xr:uid="{00000000-0005-0000-0000-000054740000}"/>
    <cellStyle name="Normal 3 4 8 7 8" xfId="16806" xr:uid="{00000000-0005-0000-0000-000055740000}"/>
    <cellStyle name="Normal 3 4 8 7 8 2" xfId="34276" xr:uid="{00000000-0005-0000-0000-000056740000}"/>
    <cellStyle name="Normal 3 4 8 7 9" xfId="16807" xr:uid="{00000000-0005-0000-0000-000057740000}"/>
    <cellStyle name="Normal 3 4 8 7 9 2" xfId="34277" xr:uid="{00000000-0005-0000-0000-000058740000}"/>
    <cellStyle name="Normal 3 4 8 8" xfId="16808" xr:uid="{00000000-0005-0000-0000-000059740000}"/>
    <cellStyle name="Normal 3 4 8 8 10" xfId="16809" xr:uid="{00000000-0005-0000-0000-00005A740000}"/>
    <cellStyle name="Normal 3 4 8 8 10 2" xfId="34279" xr:uid="{00000000-0005-0000-0000-00005B740000}"/>
    <cellStyle name="Normal 3 4 8 8 11" xfId="16810" xr:uid="{00000000-0005-0000-0000-00005C740000}"/>
    <cellStyle name="Normal 3 4 8 8 11 2" xfId="34280" xr:uid="{00000000-0005-0000-0000-00005D740000}"/>
    <cellStyle name="Normal 3 4 8 8 12" xfId="16811" xr:uid="{00000000-0005-0000-0000-00005E740000}"/>
    <cellStyle name="Normal 3 4 8 8 12 2" xfId="34281" xr:uid="{00000000-0005-0000-0000-00005F740000}"/>
    <cellStyle name="Normal 3 4 8 8 13" xfId="16812" xr:uid="{00000000-0005-0000-0000-000060740000}"/>
    <cellStyle name="Normal 3 4 8 8 13 2" xfId="34282" xr:uid="{00000000-0005-0000-0000-000061740000}"/>
    <cellStyle name="Normal 3 4 8 8 14" xfId="16813" xr:uid="{00000000-0005-0000-0000-000062740000}"/>
    <cellStyle name="Normal 3 4 8 8 14 2" xfId="34283" xr:uid="{00000000-0005-0000-0000-000063740000}"/>
    <cellStyle name="Normal 3 4 8 8 15" xfId="34278" xr:uid="{00000000-0005-0000-0000-000064740000}"/>
    <cellStyle name="Normal 3 4 8 8 2" xfId="16814" xr:uid="{00000000-0005-0000-0000-000065740000}"/>
    <cellStyle name="Normal 3 4 8 8 2 2" xfId="34284" xr:uid="{00000000-0005-0000-0000-000066740000}"/>
    <cellStyle name="Normal 3 4 8 8 3" xfId="16815" xr:uid="{00000000-0005-0000-0000-000067740000}"/>
    <cellStyle name="Normal 3 4 8 8 3 2" xfId="34285" xr:uid="{00000000-0005-0000-0000-000068740000}"/>
    <cellStyle name="Normal 3 4 8 8 4" xfId="16816" xr:uid="{00000000-0005-0000-0000-000069740000}"/>
    <cellStyle name="Normal 3 4 8 8 4 2" xfId="34286" xr:uid="{00000000-0005-0000-0000-00006A740000}"/>
    <cellStyle name="Normal 3 4 8 8 5" xfId="16817" xr:uid="{00000000-0005-0000-0000-00006B740000}"/>
    <cellStyle name="Normal 3 4 8 8 5 2" xfId="34287" xr:uid="{00000000-0005-0000-0000-00006C740000}"/>
    <cellStyle name="Normal 3 4 8 8 6" xfId="16818" xr:uid="{00000000-0005-0000-0000-00006D740000}"/>
    <cellStyle name="Normal 3 4 8 8 6 2" xfId="34288" xr:uid="{00000000-0005-0000-0000-00006E740000}"/>
    <cellStyle name="Normal 3 4 8 8 7" xfId="16819" xr:uid="{00000000-0005-0000-0000-00006F740000}"/>
    <cellStyle name="Normal 3 4 8 8 7 2" xfId="34289" xr:uid="{00000000-0005-0000-0000-000070740000}"/>
    <cellStyle name="Normal 3 4 8 8 8" xfId="16820" xr:uid="{00000000-0005-0000-0000-000071740000}"/>
    <cellStyle name="Normal 3 4 8 8 8 2" xfId="34290" xr:uid="{00000000-0005-0000-0000-000072740000}"/>
    <cellStyle name="Normal 3 4 8 8 9" xfId="16821" xr:uid="{00000000-0005-0000-0000-000073740000}"/>
    <cellStyle name="Normal 3 4 8 8 9 2" xfId="34291" xr:uid="{00000000-0005-0000-0000-000074740000}"/>
    <cellStyle name="Normal 3 4 8 9" xfId="16822" xr:uid="{00000000-0005-0000-0000-000075740000}"/>
    <cellStyle name="Normal 3 4 8 9 10" xfId="16823" xr:uid="{00000000-0005-0000-0000-000076740000}"/>
    <cellStyle name="Normal 3 4 8 9 10 2" xfId="34293" xr:uid="{00000000-0005-0000-0000-000077740000}"/>
    <cellStyle name="Normal 3 4 8 9 11" xfId="16824" xr:uid="{00000000-0005-0000-0000-000078740000}"/>
    <cellStyle name="Normal 3 4 8 9 11 2" xfId="34294" xr:uid="{00000000-0005-0000-0000-000079740000}"/>
    <cellStyle name="Normal 3 4 8 9 12" xfId="16825" xr:uid="{00000000-0005-0000-0000-00007A740000}"/>
    <cellStyle name="Normal 3 4 8 9 12 2" xfId="34295" xr:uid="{00000000-0005-0000-0000-00007B740000}"/>
    <cellStyle name="Normal 3 4 8 9 13" xfId="16826" xr:uid="{00000000-0005-0000-0000-00007C740000}"/>
    <cellStyle name="Normal 3 4 8 9 13 2" xfId="34296" xr:uid="{00000000-0005-0000-0000-00007D740000}"/>
    <cellStyle name="Normal 3 4 8 9 14" xfId="16827" xr:uid="{00000000-0005-0000-0000-00007E740000}"/>
    <cellStyle name="Normal 3 4 8 9 14 2" xfId="34297" xr:uid="{00000000-0005-0000-0000-00007F740000}"/>
    <cellStyle name="Normal 3 4 8 9 15" xfId="34292" xr:uid="{00000000-0005-0000-0000-000080740000}"/>
    <cellStyle name="Normal 3 4 8 9 2" xfId="16828" xr:uid="{00000000-0005-0000-0000-000081740000}"/>
    <cellStyle name="Normal 3 4 8 9 2 2" xfId="34298" xr:uid="{00000000-0005-0000-0000-000082740000}"/>
    <cellStyle name="Normal 3 4 8 9 3" xfId="16829" xr:uid="{00000000-0005-0000-0000-000083740000}"/>
    <cellStyle name="Normal 3 4 8 9 3 2" xfId="34299" xr:uid="{00000000-0005-0000-0000-000084740000}"/>
    <cellStyle name="Normal 3 4 8 9 4" xfId="16830" xr:uid="{00000000-0005-0000-0000-000085740000}"/>
    <cellStyle name="Normal 3 4 8 9 4 2" xfId="34300" xr:uid="{00000000-0005-0000-0000-000086740000}"/>
    <cellStyle name="Normal 3 4 8 9 5" xfId="16831" xr:uid="{00000000-0005-0000-0000-000087740000}"/>
    <cellStyle name="Normal 3 4 8 9 5 2" xfId="34301" xr:uid="{00000000-0005-0000-0000-000088740000}"/>
    <cellStyle name="Normal 3 4 8 9 6" xfId="16832" xr:uid="{00000000-0005-0000-0000-000089740000}"/>
    <cellStyle name="Normal 3 4 8 9 6 2" xfId="34302" xr:uid="{00000000-0005-0000-0000-00008A740000}"/>
    <cellStyle name="Normal 3 4 8 9 7" xfId="16833" xr:uid="{00000000-0005-0000-0000-00008B740000}"/>
    <cellStyle name="Normal 3 4 8 9 7 2" xfId="34303" xr:uid="{00000000-0005-0000-0000-00008C740000}"/>
    <cellStyle name="Normal 3 4 8 9 8" xfId="16834" xr:uid="{00000000-0005-0000-0000-00008D740000}"/>
    <cellStyle name="Normal 3 4 8 9 8 2" xfId="34304" xr:uid="{00000000-0005-0000-0000-00008E740000}"/>
    <cellStyle name="Normal 3 4 8 9 9" xfId="16835" xr:uid="{00000000-0005-0000-0000-00008F740000}"/>
    <cellStyle name="Normal 3 4 8 9 9 2" xfId="34305" xr:uid="{00000000-0005-0000-0000-000090740000}"/>
    <cellStyle name="Normal 3 4 9" xfId="16836" xr:uid="{00000000-0005-0000-0000-000091740000}"/>
    <cellStyle name="Normal 3 4 9 10" xfId="16837" xr:uid="{00000000-0005-0000-0000-000092740000}"/>
    <cellStyle name="Normal 3 4 9 10 10" xfId="16838" xr:uid="{00000000-0005-0000-0000-000093740000}"/>
    <cellStyle name="Normal 3 4 9 10 10 2" xfId="34308" xr:uid="{00000000-0005-0000-0000-000094740000}"/>
    <cellStyle name="Normal 3 4 9 10 11" xfId="16839" xr:uid="{00000000-0005-0000-0000-000095740000}"/>
    <cellStyle name="Normal 3 4 9 10 11 2" xfId="34309" xr:uid="{00000000-0005-0000-0000-000096740000}"/>
    <cellStyle name="Normal 3 4 9 10 12" xfId="16840" xr:uid="{00000000-0005-0000-0000-000097740000}"/>
    <cellStyle name="Normal 3 4 9 10 12 2" xfId="34310" xr:uid="{00000000-0005-0000-0000-000098740000}"/>
    <cellStyle name="Normal 3 4 9 10 13" xfId="16841" xr:uid="{00000000-0005-0000-0000-000099740000}"/>
    <cellStyle name="Normal 3 4 9 10 13 2" xfId="34311" xr:uid="{00000000-0005-0000-0000-00009A740000}"/>
    <cellStyle name="Normal 3 4 9 10 14" xfId="16842" xr:uid="{00000000-0005-0000-0000-00009B740000}"/>
    <cellStyle name="Normal 3 4 9 10 14 2" xfId="34312" xr:uid="{00000000-0005-0000-0000-00009C740000}"/>
    <cellStyle name="Normal 3 4 9 10 15" xfId="34307" xr:uid="{00000000-0005-0000-0000-00009D740000}"/>
    <cellStyle name="Normal 3 4 9 10 2" xfId="16843" xr:uid="{00000000-0005-0000-0000-00009E740000}"/>
    <cellStyle name="Normal 3 4 9 10 2 2" xfId="34313" xr:uid="{00000000-0005-0000-0000-00009F740000}"/>
    <cellStyle name="Normal 3 4 9 10 3" xfId="16844" xr:uid="{00000000-0005-0000-0000-0000A0740000}"/>
    <cellStyle name="Normal 3 4 9 10 3 2" xfId="34314" xr:uid="{00000000-0005-0000-0000-0000A1740000}"/>
    <cellStyle name="Normal 3 4 9 10 4" xfId="16845" xr:uid="{00000000-0005-0000-0000-0000A2740000}"/>
    <cellStyle name="Normal 3 4 9 10 4 2" xfId="34315" xr:uid="{00000000-0005-0000-0000-0000A3740000}"/>
    <cellStyle name="Normal 3 4 9 10 5" xfId="16846" xr:uid="{00000000-0005-0000-0000-0000A4740000}"/>
    <cellStyle name="Normal 3 4 9 10 5 2" xfId="34316" xr:uid="{00000000-0005-0000-0000-0000A5740000}"/>
    <cellStyle name="Normal 3 4 9 10 6" xfId="16847" xr:uid="{00000000-0005-0000-0000-0000A6740000}"/>
    <cellStyle name="Normal 3 4 9 10 6 2" xfId="34317" xr:uid="{00000000-0005-0000-0000-0000A7740000}"/>
    <cellStyle name="Normal 3 4 9 10 7" xfId="16848" xr:uid="{00000000-0005-0000-0000-0000A8740000}"/>
    <cellStyle name="Normal 3 4 9 10 7 2" xfId="34318" xr:uid="{00000000-0005-0000-0000-0000A9740000}"/>
    <cellStyle name="Normal 3 4 9 10 8" xfId="16849" xr:uid="{00000000-0005-0000-0000-0000AA740000}"/>
    <cellStyle name="Normal 3 4 9 10 8 2" xfId="34319" xr:uid="{00000000-0005-0000-0000-0000AB740000}"/>
    <cellStyle name="Normal 3 4 9 10 9" xfId="16850" xr:uid="{00000000-0005-0000-0000-0000AC740000}"/>
    <cellStyle name="Normal 3 4 9 10 9 2" xfId="34320" xr:uid="{00000000-0005-0000-0000-0000AD740000}"/>
    <cellStyle name="Normal 3 4 9 11" xfId="16851" xr:uid="{00000000-0005-0000-0000-0000AE740000}"/>
    <cellStyle name="Normal 3 4 9 11 2" xfId="34321" xr:uid="{00000000-0005-0000-0000-0000AF740000}"/>
    <cellStyle name="Normal 3 4 9 12" xfId="16852" xr:uid="{00000000-0005-0000-0000-0000B0740000}"/>
    <cellStyle name="Normal 3 4 9 12 2" xfId="34322" xr:uid="{00000000-0005-0000-0000-0000B1740000}"/>
    <cellStyle name="Normal 3 4 9 13" xfId="16853" xr:uid="{00000000-0005-0000-0000-0000B2740000}"/>
    <cellStyle name="Normal 3 4 9 13 2" xfId="34323" xr:uid="{00000000-0005-0000-0000-0000B3740000}"/>
    <cellStyle name="Normal 3 4 9 14" xfId="16854" xr:uid="{00000000-0005-0000-0000-0000B4740000}"/>
    <cellStyle name="Normal 3 4 9 14 2" xfId="34324" xr:uid="{00000000-0005-0000-0000-0000B5740000}"/>
    <cellStyle name="Normal 3 4 9 15" xfId="16855" xr:uid="{00000000-0005-0000-0000-0000B6740000}"/>
    <cellStyle name="Normal 3 4 9 15 2" xfId="34325" xr:uid="{00000000-0005-0000-0000-0000B7740000}"/>
    <cellStyle name="Normal 3 4 9 16" xfId="16856" xr:uid="{00000000-0005-0000-0000-0000B8740000}"/>
    <cellStyle name="Normal 3 4 9 16 2" xfId="34326" xr:uid="{00000000-0005-0000-0000-0000B9740000}"/>
    <cellStyle name="Normal 3 4 9 17" xfId="16857" xr:uid="{00000000-0005-0000-0000-0000BA740000}"/>
    <cellStyle name="Normal 3 4 9 17 2" xfId="34327" xr:uid="{00000000-0005-0000-0000-0000BB740000}"/>
    <cellStyle name="Normal 3 4 9 18" xfId="16858" xr:uid="{00000000-0005-0000-0000-0000BC740000}"/>
    <cellStyle name="Normal 3 4 9 18 2" xfId="34328" xr:uid="{00000000-0005-0000-0000-0000BD740000}"/>
    <cellStyle name="Normal 3 4 9 19" xfId="16859" xr:uid="{00000000-0005-0000-0000-0000BE740000}"/>
    <cellStyle name="Normal 3 4 9 19 2" xfId="34329" xr:uid="{00000000-0005-0000-0000-0000BF740000}"/>
    <cellStyle name="Normal 3 4 9 2" xfId="16860" xr:uid="{00000000-0005-0000-0000-0000C0740000}"/>
    <cellStyle name="Normal 3 4 9 2 10" xfId="16861" xr:uid="{00000000-0005-0000-0000-0000C1740000}"/>
    <cellStyle name="Normal 3 4 9 2 10 2" xfId="34331" xr:uid="{00000000-0005-0000-0000-0000C2740000}"/>
    <cellStyle name="Normal 3 4 9 2 11" xfId="16862" xr:uid="{00000000-0005-0000-0000-0000C3740000}"/>
    <cellStyle name="Normal 3 4 9 2 11 2" xfId="34332" xr:uid="{00000000-0005-0000-0000-0000C4740000}"/>
    <cellStyle name="Normal 3 4 9 2 12" xfId="16863" xr:uid="{00000000-0005-0000-0000-0000C5740000}"/>
    <cellStyle name="Normal 3 4 9 2 12 2" xfId="34333" xr:uid="{00000000-0005-0000-0000-0000C6740000}"/>
    <cellStyle name="Normal 3 4 9 2 13" xfId="16864" xr:uid="{00000000-0005-0000-0000-0000C7740000}"/>
    <cellStyle name="Normal 3 4 9 2 13 2" xfId="34334" xr:uid="{00000000-0005-0000-0000-0000C8740000}"/>
    <cellStyle name="Normal 3 4 9 2 14" xfId="16865" xr:uid="{00000000-0005-0000-0000-0000C9740000}"/>
    <cellStyle name="Normal 3 4 9 2 14 2" xfId="34335" xr:uid="{00000000-0005-0000-0000-0000CA740000}"/>
    <cellStyle name="Normal 3 4 9 2 15" xfId="16866" xr:uid="{00000000-0005-0000-0000-0000CB740000}"/>
    <cellStyle name="Normal 3 4 9 2 15 2" xfId="34336" xr:uid="{00000000-0005-0000-0000-0000CC740000}"/>
    <cellStyle name="Normal 3 4 9 2 16" xfId="34330" xr:uid="{00000000-0005-0000-0000-0000CD740000}"/>
    <cellStyle name="Normal 3 4 9 2 2" xfId="16867" xr:uid="{00000000-0005-0000-0000-0000CE740000}"/>
    <cellStyle name="Normal 3 4 9 2 2 10" xfId="16868" xr:uid="{00000000-0005-0000-0000-0000CF740000}"/>
    <cellStyle name="Normal 3 4 9 2 2 10 2" xfId="34338" xr:uid="{00000000-0005-0000-0000-0000D0740000}"/>
    <cellStyle name="Normal 3 4 9 2 2 11" xfId="16869" xr:uid="{00000000-0005-0000-0000-0000D1740000}"/>
    <cellStyle name="Normal 3 4 9 2 2 11 2" xfId="34339" xr:uid="{00000000-0005-0000-0000-0000D2740000}"/>
    <cellStyle name="Normal 3 4 9 2 2 12" xfId="16870" xr:uid="{00000000-0005-0000-0000-0000D3740000}"/>
    <cellStyle name="Normal 3 4 9 2 2 12 2" xfId="34340" xr:uid="{00000000-0005-0000-0000-0000D4740000}"/>
    <cellStyle name="Normal 3 4 9 2 2 13" xfId="16871" xr:uid="{00000000-0005-0000-0000-0000D5740000}"/>
    <cellStyle name="Normal 3 4 9 2 2 13 2" xfId="34341" xr:uid="{00000000-0005-0000-0000-0000D6740000}"/>
    <cellStyle name="Normal 3 4 9 2 2 14" xfId="16872" xr:uid="{00000000-0005-0000-0000-0000D7740000}"/>
    <cellStyle name="Normal 3 4 9 2 2 14 2" xfId="34342" xr:uid="{00000000-0005-0000-0000-0000D8740000}"/>
    <cellStyle name="Normal 3 4 9 2 2 15" xfId="34337" xr:uid="{00000000-0005-0000-0000-0000D9740000}"/>
    <cellStyle name="Normal 3 4 9 2 2 2" xfId="16873" xr:uid="{00000000-0005-0000-0000-0000DA740000}"/>
    <cellStyle name="Normal 3 4 9 2 2 2 2" xfId="34343" xr:uid="{00000000-0005-0000-0000-0000DB740000}"/>
    <cellStyle name="Normal 3 4 9 2 2 3" xfId="16874" xr:uid="{00000000-0005-0000-0000-0000DC740000}"/>
    <cellStyle name="Normal 3 4 9 2 2 3 2" xfId="34344" xr:uid="{00000000-0005-0000-0000-0000DD740000}"/>
    <cellStyle name="Normal 3 4 9 2 2 4" xfId="16875" xr:uid="{00000000-0005-0000-0000-0000DE740000}"/>
    <cellStyle name="Normal 3 4 9 2 2 4 2" xfId="34345" xr:uid="{00000000-0005-0000-0000-0000DF740000}"/>
    <cellStyle name="Normal 3 4 9 2 2 5" xfId="16876" xr:uid="{00000000-0005-0000-0000-0000E0740000}"/>
    <cellStyle name="Normal 3 4 9 2 2 5 2" xfId="34346" xr:uid="{00000000-0005-0000-0000-0000E1740000}"/>
    <cellStyle name="Normal 3 4 9 2 2 6" xfId="16877" xr:uid="{00000000-0005-0000-0000-0000E2740000}"/>
    <cellStyle name="Normal 3 4 9 2 2 6 2" xfId="34347" xr:uid="{00000000-0005-0000-0000-0000E3740000}"/>
    <cellStyle name="Normal 3 4 9 2 2 7" xfId="16878" xr:uid="{00000000-0005-0000-0000-0000E4740000}"/>
    <cellStyle name="Normal 3 4 9 2 2 7 2" xfId="34348" xr:uid="{00000000-0005-0000-0000-0000E5740000}"/>
    <cellStyle name="Normal 3 4 9 2 2 8" xfId="16879" xr:uid="{00000000-0005-0000-0000-0000E6740000}"/>
    <cellStyle name="Normal 3 4 9 2 2 8 2" xfId="34349" xr:uid="{00000000-0005-0000-0000-0000E7740000}"/>
    <cellStyle name="Normal 3 4 9 2 2 9" xfId="16880" xr:uid="{00000000-0005-0000-0000-0000E8740000}"/>
    <cellStyle name="Normal 3 4 9 2 2 9 2" xfId="34350" xr:uid="{00000000-0005-0000-0000-0000E9740000}"/>
    <cellStyle name="Normal 3 4 9 2 3" xfId="16881" xr:uid="{00000000-0005-0000-0000-0000EA740000}"/>
    <cellStyle name="Normal 3 4 9 2 3 2" xfId="34351" xr:uid="{00000000-0005-0000-0000-0000EB740000}"/>
    <cellStyle name="Normal 3 4 9 2 4" xfId="16882" xr:uid="{00000000-0005-0000-0000-0000EC740000}"/>
    <cellStyle name="Normal 3 4 9 2 4 2" xfId="34352" xr:uid="{00000000-0005-0000-0000-0000ED740000}"/>
    <cellStyle name="Normal 3 4 9 2 5" xfId="16883" xr:uid="{00000000-0005-0000-0000-0000EE740000}"/>
    <cellStyle name="Normal 3 4 9 2 5 2" xfId="34353" xr:uid="{00000000-0005-0000-0000-0000EF740000}"/>
    <cellStyle name="Normal 3 4 9 2 6" xfId="16884" xr:uid="{00000000-0005-0000-0000-0000F0740000}"/>
    <cellStyle name="Normal 3 4 9 2 6 2" xfId="34354" xr:uid="{00000000-0005-0000-0000-0000F1740000}"/>
    <cellStyle name="Normal 3 4 9 2 7" xfId="16885" xr:uid="{00000000-0005-0000-0000-0000F2740000}"/>
    <cellStyle name="Normal 3 4 9 2 7 2" xfId="34355" xr:uid="{00000000-0005-0000-0000-0000F3740000}"/>
    <cellStyle name="Normal 3 4 9 2 8" xfId="16886" xr:uid="{00000000-0005-0000-0000-0000F4740000}"/>
    <cellStyle name="Normal 3 4 9 2 8 2" xfId="34356" xr:uid="{00000000-0005-0000-0000-0000F5740000}"/>
    <cellStyle name="Normal 3 4 9 2 9" xfId="16887" xr:uid="{00000000-0005-0000-0000-0000F6740000}"/>
    <cellStyle name="Normal 3 4 9 2 9 2" xfId="34357" xr:uid="{00000000-0005-0000-0000-0000F7740000}"/>
    <cellStyle name="Normal 3 4 9 20" xfId="16888" xr:uid="{00000000-0005-0000-0000-0000F8740000}"/>
    <cellStyle name="Normal 3 4 9 20 2" xfId="34358" xr:uid="{00000000-0005-0000-0000-0000F9740000}"/>
    <cellStyle name="Normal 3 4 9 21" xfId="16889" xr:uid="{00000000-0005-0000-0000-0000FA740000}"/>
    <cellStyle name="Normal 3 4 9 21 2" xfId="34359" xr:uid="{00000000-0005-0000-0000-0000FB740000}"/>
    <cellStyle name="Normal 3 4 9 22" xfId="16890" xr:uid="{00000000-0005-0000-0000-0000FC740000}"/>
    <cellStyle name="Normal 3 4 9 22 2" xfId="34360" xr:uid="{00000000-0005-0000-0000-0000FD740000}"/>
    <cellStyle name="Normal 3 4 9 23" xfId="16891" xr:uid="{00000000-0005-0000-0000-0000FE740000}"/>
    <cellStyle name="Normal 3 4 9 23 2" xfId="34361" xr:uid="{00000000-0005-0000-0000-0000FF740000}"/>
    <cellStyle name="Normal 3 4 9 24" xfId="34306" xr:uid="{00000000-0005-0000-0000-000000750000}"/>
    <cellStyle name="Normal 3 4 9 3" xfId="16892" xr:uid="{00000000-0005-0000-0000-000001750000}"/>
    <cellStyle name="Normal 3 4 9 3 10" xfId="16893" xr:uid="{00000000-0005-0000-0000-000002750000}"/>
    <cellStyle name="Normal 3 4 9 3 10 2" xfId="34363" xr:uid="{00000000-0005-0000-0000-000003750000}"/>
    <cellStyle name="Normal 3 4 9 3 11" xfId="16894" xr:uid="{00000000-0005-0000-0000-000004750000}"/>
    <cellStyle name="Normal 3 4 9 3 11 2" xfId="34364" xr:uid="{00000000-0005-0000-0000-000005750000}"/>
    <cellStyle name="Normal 3 4 9 3 12" xfId="16895" xr:uid="{00000000-0005-0000-0000-000006750000}"/>
    <cellStyle name="Normal 3 4 9 3 12 2" xfId="34365" xr:uid="{00000000-0005-0000-0000-000007750000}"/>
    <cellStyle name="Normal 3 4 9 3 13" xfId="16896" xr:uid="{00000000-0005-0000-0000-000008750000}"/>
    <cellStyle name="Normal 3 4 9 3 13 2" xfId="34366" xr:uid="{00000000-0005-0000-0000-000009750000}"/>
    <cellStyle name="Normal 3 4 9 3 14" xfId="16897" xr:uid="{00000000-0005-0000-0000-00000A750000}"/>
    <cellStyle name="Normal 3 4 9 3 14 2" xfId="34367" xr:uid="{00000000-0005-0000-0000-00000B750000}"/>
    <cellStyle name="Normal 3 4 9 3 15" xfId="16898" xr:uid="{00000000-0005-0000-0000-00000C750000}"/>
    <cellStyle name="Normal 3 4 9 3 15 2" xfId="34368" xr:uid="{00000000-0005-0000-0000-00000D750000}"/>
    <cellStyle name="Normal 3 4 9 3 16" xfId="34362" xr:uid="{00000000-0005-0000-0000-00000E750000}"/>
    <cellStyle name="Normal 3 4 9 3 2" xfId="16899" xr:uid="{00000000-0005-0000-0000-00000F750000}"/>
    <cellStyle name="Normal 3 4 9 3 2 10" xfId="16900" xr:uid="{00000000-0005-0000-0000-000010750000}"/>
    <cellStyle name="Normal 3 4 9 3 2 10 2" xfId="34370" xr:uid="{00000000-0005-0000-0000-000011750000}"/>
    <cellStyle name="Normal 3 4 9 3 2 11" xfId="16901" xr:uid="{00000000-0005-0000-0000-000012750000}"/>
    <cellStyle name="Normal 3 4 9 3 2 11 2" xfId="34371" xr:uid="{00000000-0005-0000-0000-000013750000}"/>
    <cellStyle name="Normal 3 4 9 3 2 12" xfId="16902" xr:uid="{00000000-0005-0000-0000-000014750000}"/>
    <cellStyle name="Normal 3 4 9 3 2 12 2" xfId="34372" xr:uid="{00000000-0005-0000-0000-000015750000}"/>
    <cellStyle name="Normal 3 4 9 3 2 13" xfId="16903" xr:uid="{00000000-0005-0000-0000-000016750000}"/>
    <cellStyle name="Normal 3 4 9 3 2 13 2" xfId="34373" xr:uid="{00000000-0005-0000-0000-000017750000}"/>
    <cellStyle name="Normal 3 4 9 3 2 14" xfId="16904" xr:uid="{00000000-0005-0000-0000-000018750000}"/>
    <cellStyle name="Normal 3 4 9 3 2 14 2" xfId="34374" xr:uid="{00000000-0005-0000-0000-000019750000}"/>
    <cellStyle name="Normal 3 4 9 3 2 15" xfId="34369" xr:uid="{00000000-0005-0000-0000-00001A750000}"/>
    <cellStyle name="Normal 3 4 9 3 2 2" xfId="16905" xr:uid="{00000000-0005-0000-0000-00001B750000}"/>
    <cellStyle name="Normal 3 4 9 3 2 2 2" xfId="34375" xr:uid="{00000000-0005-0000-0000-00001C750000}"/>
    <cellStyle name="Normal 3 4 9 3 2 3" xfId="16906" xr:uid="{00000000-0005-0000-0000-00001D750000}"/>
    <cellStyle name="Normal 3 4 9 3 2 3 2" xfId="34376" xr:uid="{00000000-0005-0000-0000-00001E750000}"/>
    <cellStyle name="Normal 3 4 9 3 2 4" xfId="16907" xr:uid="{00000000-0005-0000-0000-00001F750000}"/>
    <cellStyle name="Normal 3 4 9 3 2 4 2" xfId="34377" xr:uid="{00000000-0005-0000-0000-000020750000}"/>
    <cellStyle name="Normal 3 4 9 3 2 5" xfId="16908" xr:uid="{00000000-0005-0000-0000-000021750000}"/>
    <cellStyle name="Normal 3 4 9 3 2 5 2" xfId="34378" xr:uid="{00000000-0005-0000-0000-000022750000}"/>
    <cellStyle name="Normal 3 4 9 3 2 6" xfId="16909" xr:uid="{00000000-0005-0000-0000-000023750000}"/>
    <cellStyle name="Normal 3 4 9 3 2 6 2" xfId="34379" xr:uid="{00000000-0005-0000-0000-000024750000}"/>
    <cellStyle name="Normal 3 4 9 3 2 7" xfId="16910" xr:uid="{00000000-0005-0000-0000-000025750000}"/>
    <cellStyle name="Normal 3 4 9 3 2 7 2" xfId="34380" xr:uid="{00000000-0005-0000-0000-000026750000}"/>
    <cellStyle name="Normal 3 4 9 3 2 8" xfId="16911" xr:uid="{00000000-0005-0000-0000-000027750000}"/>
    <cellStyle name="Normal 3 4 9 3 2 8 2" xfId="34381" xr:uid="{00000000-0005-0000-0000-000028750000}"/>
    <cellStyle name="Normal 3 4 9 3 2 9" xfId="16912" xr:uid="{00000000-0005-0000-0000-000029750000}"/>
    <cellStyle name="Normal 3 4 9 3 2 9 2" xfId="34382" xr:uid="{00000000-0005-0000-0000-00002A750000}"/>
    <cellStyle name="Normal 3 4 9 3 3" xfId="16913" xr:uid="{00000000-0005-0000-0000-00002B750000}"/>
    <cellStyle name="Normal 3 4 9 3 3 2" xfId="34383" xr:uid="{00000000-0005-0000-0000-00002C750000}"/>
    <cellStyle name="Normal 3 4 9 3 4" xfId="16914" xr:uid="{00000000-0005-0000-0000-00002D750000}"/>
    <cellStyle name="Normal 3 4 9 3 4 2" xfId="34384" xr:uid="{00000000-0005-0000-0000-00002E750000}"/>
    <cellStyle name="Normal 3 4 9 3 5" xfId="16915" xr:uid="{00000000-0005-0000-0000-00002F750000}"/>
    <cellStyle name="Normal 3 4 9 3 5 2" xfId="34385" xr:uid="{00000000-0005-0000-0000-000030750000}"/>
    <cellStyle name="Normal 3 4 9 3 6" xfId="16916" xr:uid="{00000000-0005-0000-0000-000031750000}"/>
    <cellStyle name="Normal 3 4 9 3 6 2" xfId="34386" xr:uid="{00000000-0005-0000-0000-000032750000}"/>
    <cellStyle name="Normal 3 4 9 3 7" xfId="16917" xr:uid="{00000000-0005-0000-0000-000033750000}"/>
    <cellStyle name="Normal 3 4 9 3 7 2" xfId="34387" xr:uid="{00000000-0005-0000-0000-000034750000}"/>
    <cellStyle name="Normal 3 4 9 3 8" xfId="16918" xr:uid="{00000000-0005-0000-0000-000035750000}"/>
    <cellStyle name="Normal 3 4 9 3 8 2" xfId="34388" xr:uid="{00000000-0005-0000-0000-000036750000}"/>
    <cellStyle name="Normal 3 4 9 3 9" xfId="16919" xr:uid="{00000000-0005-0000-0000-000037750000}"/>
    <cellStyle name="Normal 3 4 9 3 9 2" xfId="34389" xr:uid="{00000000-0005-0000-0000-000038750000}"/>
    <cellStyle name="Normal 3 4 9 4" xfId="16920" xr:uid="{00000000-0005-0000-0000-000039750000}"/>
    <cellStyle name="Normal 3 4 9 4 10" xfId="16921" xr:uid="{00000000-0005-0000-0000-00003A750000}"/>
    <cellStyle name="Normal 3 4 9 4 10 2" xfId="34391" xr:uid="{00000000-0005-0000-0000-00003B750000}"/>
    <cellStyle name="Normal 3 4 9 4 11" xfId="16922" xr:uid="{00000000-0005-0000-0000-00003C750000}"/>
    <cellStyle name="Normal 3 4 9 4 11 2" xfId="34392" xr:uid="{00000000-0005-0000-0000-00003D750000}"/>
    <cellStyle name="Normal 3 4 9 4 12" xfId="16923" xr:uid="{00000000-0005-0000-0000-00003E750000}"/>
    <cellStyle name="Normal 3 4 9 4 12 2" xfId="34393" xr:uid="{00000000-0005-0000-0000-00003F750000}"/>
    <cellStyle name="Normal 3 4 9 4 13" xfId="16924" xr:uid="{00000000-0005-0000-0000-000040750000}"/>
    <cellStyle name="Normal 3 4 9 4 13 2" xfId="34394" xr:uid="{00000000-0005-0000-0000-000041750000}"/>
    <cellStyle name="Normal 3 4 9 4 14" xfId="16925" xr:uid="{00000000-0005-0000-0000-000042750000}"/>
    <cellStyle name="Normal 3 4 9 4 14 2" xfId="34395" xr:uid="{00000000-0005-0000-0000-000043750000}"/>
    <cellStyle name="Normal 3 4 9 4 15" xfId="16926" xr:uid="{00000000-0005-0000-0000-000044750000}"/>
    <cellStyle name="Normal 3 4 9 4 15 2" xfId="34396" xr:uid="{00000000-0005-0000-0000-000045750000}"/>
    <cellStyle name="Normal 3 4 9 4 16" xfId="34390" xr:uid="{00000000-0005-0000-0000-000046750000}"/>
    <cellStyle name="Normal 3 4 9 4 2" xfId="16927" xr:uid="{00000000-0005-0000-0000-000047750000}"/>
    <cellStyle name="Normal 3 4 9 4 2 10" xfId="16928" xr:uid="{00000000-0005-0000-0000-000048750000}"/>
    <cellStyle name="Normal 3 4 9 4 2 10 2" xfId="34398" xr:uid="{00000000-0005-0000-0000-000049750000}"/>
    <cellStyle name="Normal 3 4 9 4 2 11" xfId="16929" xr:uid="{00000000-0005-0000-0000-00004A750000}"/>
    <cellStyle name="Normal 3 4 9 4 2 11 2" xfId="34399" xr:uid="{00000000-0005-0000-0000-00004B750000}"/>
    <cellStyle name="Normal 3 4 9 4 2 12" xfId="16930" xr:uid="{00000000-0005-0000-0000-00004C750000}"/>
    <cellStyle name="Normal 3 4 9 4 2 12 2" xfId="34400" xr:uid="{00000000-0005-0000-0000-00004D750000}"/>
    <cellStyle name="Normal 3 4 9 4 2 13" xfId="16931" xr:uid="{00000000-0005-0000-0000-00004E750000}"/>
    <cellStyle name="Normal 3 4 9 4 2 13 2" xfId="34401" xr:uid="{00000000-0005-0000-0000-00004F750000}"/>
    <cellStyle name="Normal 3 4 9 4 2 14" xfId="16932" xr:uid="{00000000-0005-0000-0000-000050750000}"/>
    <cellStyle name="Normal 3 4 9 4 2 14 2" xfId="34402" xr:uid="{00000000-0005-0000-0000-000051750000}"/>
    <cellStyle name="Normal 3 4 9 4 2 15" xfId="34397" xr:uid="{00000000-0005-0000-0000-000052750000}"/>
    <cellStyle name="Normal 3 4 9 4 2 2" xfId="16933" xr:uid="{00000000-0005-0000-0000-000053750000}"/>
    <cellStyle name="Normal 3 4 9 4 2 2 2" xfId="34403" xr:uid="{00000000-0005-0000-0000-000054750000}"/>
    <cellStyle name="Normal 3 4 9 4 2 3" xfId="16934" xr:uid="{00000000-0005-0000-0000-000055750000}"/>
    <cellStyle name="Normal 3 4 9 4 2 3 2" xfId="34404" xr:uid="{00000000-0005-0000-0000-000056750000}"/>
    <cellStyle name="Normal 3 4 9 4 2 4" xfId="16935" xr:uid="{00000000-0005-0000-0000-000057750000}"/>
    <cellStyle name="Normal 3 4 9 4 2 4 2" xfId="34405" xr:uid="{00000000-0005-0000-0000-000058750000}"/>
    <cellStyle name="Normal 3 4 9 4 2 5" xfId="16936" xr:uid="{00000000-0005-0000-0000-000059750000}"/>
    <cellStyle name="Normal 3 4 9 4 2 5 2" xfId="34406" xr:uid="{00000000-0005-0000-0000-00005A750000}"/>
    <cellStyle name="Normal 3 4 9 4 2 6" xfId="16937" xr:uid="{00000000-0005-0000-0000-00005B750000}"/>
    <cellStyle name="Normal 3 4 9 4 2 6 2" xfId="34407" xr:uid="{00000000-0005-0000-0000-00005C750000}"/>
    <cellStyle name="Normal 3 4 9 4 2 7" xfId="16938" xr:uid="{00000000-0005-0000-0000-00005D750000}"/>
    <cellStyle name="Normal 3 4 9 4 2 7 2" xfId="34408" xr:uid="{00000000-0005-0000-0000-00005E750000}"/>
    <cellStyle name="Normal 3 4 9 4 2 8" xfId="16939" xr:uid="{00000000-0005-0000-0000-00005F750000}"/>
    <cellStyle name="Normal 3 4 9 4 2 8 2" xfId="34409" xr:uid="{00000000-0005-0000-0000-000060750000}"/>
    <cellStyle name="Normal 3 4 9 4 2 9" xfId="16940" xr:uid="{00000000-0005-0000-0000-000061750000}"/>
    <cellStyle name="Normal 3 4 9 4 2 9 2" xfId="34410" xr:uid="{00000000-0005-0000-0000-000062750000}"/>
    <cellStyle name="Normal 3 4 9 4 3" xfId="16941" xr:uid="{00000000-0005-0000-0000-000063750000}"/>
    <cellStyle name="Normal 3 4 9 4 3 2" xfId="34411" xr:uid="{00000000-0005-0000-0000-000064750000}"/>
    <cellStyle name="Normal 3 4 9 4 4" xfId="16942" xr:uid="{00000000-0005-0000-0000-000065750000}"/>
    <cellStyle name="Normal 3 4 9 4 4 2" xfId="34412" xr:uid="{00000000-0005-0000-0000-000066750000}"/>
    <cellStyle name="Normal 3 4 9 4 5" xfId="16943" xr:uid="{00000000-0005-0000-0000-000067750000}"/>
    <cellStyle name="Normal 3 4 9 4 5 2" xfId="34413" xr:uid="{00000000-0005-0000-0000-000068750000}"/>
    <cellStyle name="Normal 3 4 9 4 6" xfId="16944" xr:uid="{00000000-0005-0000-0000-000069750000}"/>
    <cellStyle name="Normal 3 4 9 4 6 2" xfId="34414" xr:uid="{00000000-0005-0000-0000-00006A750000}"/>
    <cellStyle name="Normal 3 4 9 4 7" xfId="16945" xr:uid="{00000000-0005-0000-0000-00006B750000}"/>
    <cellStyle name="Normal 3 4 9 4 7 2" xfId="34415" xr:uid="{00000000-0005-0000-0000-00006C750000}"/>
    <cellStyle name="Normal 3 4 9 4 8" xfId="16946" xr:uid="{00000000-0005-0000-0000-00006D750000}"/>
    <cellStyle name="Normal 3 4 9 4 8 2" xfId="34416" xr:uid="{00000000-0005-0000-0000-00006E750000}"/>
    <cellStyle name="Normal 3 4 9 4 9" xfId="16947" xr:uid="{00000000-0005-0000-0000-00006F750000}"/>
    <cellStyle name="Normal 3 4 9 4 9 2" xfId="34417" xr:uid="{00000000-0005-0000-0000-000070750000}"/>
    <cellStyle name="Normal 3 4 9 5" xfId="16948" xr:uid="{00000000-0005-0000-0000-000071750000}"/>
    <cellStyle name="Normal 3 4 9 5 10" xfId="16949" xr:uid="{00000000-0005-0000-0000-000072750000}"/>
    <cellStyle name="Normal 3 4 9 5 10 2" xfId="34419" xr:uid="{00000000-0005-0000-0000-000073750000}"/>
    <cellStyle name="Normal 3 4 9 5 11" xfId="16950" xr:uid="{00000000-0005-0000-0000-000074750000}"/>
    <cellStyle name="Normal 3 4 9 5 11 2" xfId="34420" xr:uid="{00000000-0005-0000-0000-000075750000}"/>
    <cellStyle name="Normal 3 4 9 5 12" xfId="16951" xr:uid="{00000000-0005-0000-0000-000076750000}"/>
    <cellStyle name="Normal 3 4 9 5 12 2" xfId="34421" xr:uid="{00000000-0005-0000-0000-000077750000}"/>
    <cellStyle name="Normal 3 4 9 5 13" xfId="16952" xr:uid="{00000000-0005-0000-0000-000078750000}"/>
    <cellStyle name="Normal 3 4 9 5 13 2" xfId="34422" xr:uid="{00000000-0005-0000-0000-000079750000}"/>
    <cellStyle name="Normal 3 4 9 5 14" xfId="16953" xr:uid="{00000000-0005-0000-0000-00007A750000}"/>
    <cellStyle name="Normal 3 4 9 5 14 2" xfId="34423" xr:uid="{00000000-0005-0000-0000-00007B750000}"/>
    <cellStyle name="Normal 3 4 9 5 15" xfId="34418" xr:uid="{00000000-0005-0000-0000-00007C750000}"/>
    <cellStyle name="Normal 3 4 9 5 2" xfId="16954" xr:uid="{00000000-0005-0000-0000-00007D750000}"/>
    <cellStyle name="Normal 3 4 9 5 2 2" xfId="34424" xr:uid="{00000000-0005-0000-0000-00007E750000}"/>
    <cellStyle name="Normal 3 4 9 5 3" xfId="16955" xr:uid="{00000000-0005-0000-0000-00007F750000}"/>
    <cellStyle name="Normal 3 4 9 5 3 2" xfId="34425" xr:uid="{00000000-0005-0000-0000-000080750000}"/>
    <cellStyle name="Normal 3 4 9 5 4" xfId="16956" xr:uid="{00000000-0005-0000-0000-000081750000}"/>
    <cellStyle name="Normal 3 4 9 5 4 2" xfId="34426" xr:uid="{00000000-0005-0000-0000-000082750000}"/>
    <cellStyle name="Normal 3 4 9 5 5" xfId="16957" xr:uid="{00000000-0005-0000-0000-000083750000}"/>
    <cellStyle name="Normal 3 4 9 5 5 2" xfId="34427" xr:uid="{00000000-0005-0000-0000-000084750000}"/>
    <cellStyle name="Normal 3 4 9 5 6" xfId="16958" xr:uid="{00000000-0005-0000-0000-000085750000}"/>
    <cellStyle name="Normal 3 4 9 5 6 2" xfId="34428" xr:uid="{00000000-0005-0000-0000-000086750000}"/>
    <cellStyle name="Normal 3 4 9 5 7" xfId="16959" xr:uid="{00000000-0005-0000-0000-000087750000}"/>
    <cellStyle name="Normal 3 4 9 5 7 2" xfId="34429" xr:uid="{00000000-0005-0000-0000-000088750000}"/>
    <cellStyle name="Normal 3 4 9 5 8" xfId="16960" xr:uid="{00000000-0005-0000-0000-000089750000}"/>
    <cellStyle name="Normal 3 4 9 5 8 2" xfId="34430" xr:uid="{00000000-0005-0000-0000-00008A750000}"/>
    <cellStyle name="Normal 3 4 9 5 9" xfId="16961" xr:uid="{00000000-0005-0000-0000-00008B750000}"/>
    <cellStyle name="Normal 3 4 9 5 9 2" xfId="34431" xr:uid="{00000000-0005-0000-0000-00008C750000}"/>
    <cellStyle name="Normal 3 4 9 6" xfId="16962" xr:uid="{00000000-0005-0000-0000-00008D750000}"/>
    <cellStyle name="Normal 3 4 9 6 10" xfId="16963" xr:uid="{00000000-0005-0000-0000-00008E750000}"/>
    <cellStyle name="Normal 3 4 9 6 10 2" xfId="34433" xr:uid="{00000000-0005-0000-0000-00008F750000}"/>
    <cellStyle name="Normal 3 4 9 6 11" xfId="16964" xr:uid="{00000000-0005-0000-0000-000090750000}"/>
    <cellStyle name="Normal 3 4 9 6 11 2" xfId="34434" xr:uid="{00000000-0005-0000-0000-000091750000}"/>
    <cellStyle name="Normal 3 4 9 6 12" xfId="16965" xr:uid="{00000000-0005-0000-0000-000092750000}"/>
    <cellStyle name="Normal 3 4 9 6 12 2" xfId="34435" xr:uid="{00000000-0005-0000-0000-000093750000}"/>
    <cellStyle name="Normal 3 4 9 6 13" xfId="16966" xr:uid="{00000000-0005-0000-0000-000094750000}"/>
    <cellStyle name="Normal 3 4 9 6 13 2" xfId="34436" xr:uid="{00000000-0005-0000-0000-000095750000}"/>
    <cellStyle name="Normal 3 4 9 6 14" xfId="16967" xr:uid="{00000000-0005-0000-0000-000096750000}"/>
    <cellStyle name="Normal 3 4 9 6 14 2" xfId="34437" xr:uid="{00000000-0005-0000-0000-000097750000}"/>
    <cellStyle name="Normal 3 4 9 6 15" xfId="34432" xr:uid="{00000000-0005-0000-0000-000098750000}"/>
    <cellStyle name="Normal 3 4 9 6 2" xfId="16968" xr:uid="{00000000-0005-0000-0000-000099750000}"/>
    <cellStyle name="Normal 3 4 9 6 2 2" xfId="34438" xr:uid="{00000000-0005-0000-0000-00009A750000}"/>
    <cellStyle name="Normal 3 4 9 6 3" xfId="16969" xr:uid="{00000000-0005-0000-0000-00009B750000}"/>
    <cellStyle name="Normal 3 4 9 6 3 2" xfId="34439" xr:uid="{00000000-0005-0000-0000-00009C750000}"/>
    <cellStyle name="Normal 3 4 9 6 4" xfId="16970" xr:uid="{00000000-0005-0000-0000-00009D750000}"/>
    <cellStyle name="Normal 3 4 9 6 4 2" xfId="34440" xr:uid="{00000000-0005-0000-0000-00009E750000}"/>
    <cellStyle name="Normal 3 4 9 6 5" xfId="16971" xr:uid="{00000000-0005-0000-0000-00009F750000}"/>
    <cellStyle name="Normal 3 4 9 6 5 2" xfId="34441" xr:uid="{00000000-0005-0000-0000-0000A0750000}"/>
    <cellStyle name="Normal 3 4 9 6 6" xfId="16972" xr:uid="{00000000-0005-0000-0000-0000A1750000}"/>
    <cellStyle name="Normal 3 4 9 6 6 2" xfId="34442" xr:uid="{00000000-0005-0000-0000-0000A2750000}"/>
    <cellStyle name="Normal 3 4 9 6 7" xfId="16973" xr:uid="{00000000-0005-0000-0000-0000A3750000}"/>
    <cellStyle name="Normal 3 4 9 6 7 2" xfId="34443" xr:uid="{00000000-0005-0000-0000-0000A4750000}"/>
    <cellStyle name="Normal 3 4 9 6 8" xfId="16974" xr:uid="{00000000-0005-0000-0000-0000A5750000}"/>
    <cellStyle name="Normal 3 4 9 6 8 2" xfId="34444" xr:uid="{00000000-0005-0000-0000-0000A6750000}"/>
    <cellStyle name="Normal 3 4 9 6 9" xfId="16975" xr:uid="{00000000-0005-0000-0000-0000A7750000}"/>
    <cellStyle name="Normal 3 4 9 6 9 2" xfId="34445" xr:uid="{00000000-0005-0000-0000-0000A8750000}"/>
    <cellStyle name="Normal 3 4 9 7" xfId="16976" xr:uid="{00000000-0005-0000-0000-0000A9750000}"/>
    <cellStyle name="Normal 3 4 9 7 10" xfId="16977" xr:uid="{00000000-0005-0000-0000-0000AA750000}"/>
    <cellStyle name="Normal 3 4 9 7 10 2" xfId="34447" xr:uid="{00000000-0005-0000-0000-0000AB750000}"/>
    <cellStyle name="Normal 3 4 9 7 11" xfId="16978" xr:uid="{00000000-0005-0000-0000-0000AC750000}"/>
    <cellStyle name="Normal 3 4 9 7 11 2" xfId="34448" xr:uid="{00000000-0005-0000-0000-0000AD750000}"/>
    <cellStyle name="Normal 3 4 9 7 12" xfId="16979" xr:uid="{00000000-0005-0000-0000-0000AE750000}"/>
    <cellStyle name="Normal 3 4 9 7 12 2" xfId="34449" xr:uid="{00000000-0005-0000-0000-0000AF750000}"/>
    <cellStyle name="Normal 3 4 9 7 13" xfId="16980" xr:uid="{00000000-0005-0000-0000-0000B0750000}"/>
    <cellStyle name="Normal 3 4 9 7 13 2" xfId="34450" xr:uid="{00000000-0005-0000-0000-0000B1750000}"/>
    <cellStyle name="Normal 3 4 9 7 14" xfId="16981" xr:uid="{00000000-0005-0000-0000-0000B2750000}"/>
    <cellStyle name="Normal 3 4 9 7 14 2" xfId="34451" xr:uid="{00000000-0005-0000-0000-0000B3750000}"/>
    <cellStyle name="Normal 3 4 9 7 15" xfId="34446" xr:uid="{00000000-0005-0000-0000-0000B4750000}"/>
    <cellStyle name="Normal 3 4 9 7 2" xfId="16982" xr:uid="{00000000-0005-0000-0000-0000B5750000}"/>
    <cellStyle name="Normal 3 4 9 7 2 2" xfId="34452" xr:uid="{00000000-0005-0000-0000-0000B6750000}"/>
    <cellStyle name="Normal 3 4 9 7 3" xfId="16983" xr:uid="{00000000-0005-0000-0000-0000B7750000}"/>
    <cellStyle name="Normal 3 4 9 7 3 2" xfId="34453" xr:uid="{00000000-0005-0000-0000-0000B8750000}"/>
    <cellStyle name="Normal 3 4 9 7 4" xfId="16984" xr:uid="{00000000-0005-0000-0000-0000B9750000}"/>
    <cellStyle name="Normal 3 4 9 7 4 2" xfId="34454" xr:uid="{00000000-0005-0000-0000-0000BA750000}"/>
    <cellStyle name="Normal 3 4 9 7 5" xfId="16985" xr:uid="{00000000-0005-0000-0000-0000BB750000}"/>
    <cellStyle name="Normal 3 4 9 7 5 2" xfId="34455" xr:uid="{00000000-0005-0000-0000-0000BC750000}"/>
    <cellStyle name="Normal 3 4 9 7 6" xfId="16986" xr:uid="{00000000-0005-0000-0000-0000BD750000}"/>
    <cellStyle name="Normal 3 4 9 7 6 2" xfId="34456" xr:uid="{00000000-0005-0000-0000-0000BE750000}"/>
    <cellStyle name="Normal 3 4 9 7 7" xfId="16987" xr:uid="{00000000-0005-0000-0000-0000BF750000}"/>
    <cellStyle name="Normal 3 4 9 7 7 2" xfId="34457" xr:uid="{00000000-0005-0000-0000-0000C0750000}"/>
    <cellStyle name="Normal 3 4 9 7 8" xfId="16988" xr:uid="{00000000-0005-0000-0000-0000C1750000}"/>
    <cellStyle name="Normal 3 4 9 7 8 2" xfId="34458" xr:uid="{00000000-0005-0000-0000-0000C2750000}"/>
    <cellStyle name="Normal 3 4 9 7 9" xfId="16989" xr:uid="{00000000-0005-0000-0000-0000C3750000}"/>
    <cellStyle name="Normal 3 4 9 7 9 2" xfId="34459" xr:uid="{00000000-0005-0000-0000-0000C4750000}"/>
    <cellStyle name="Normal 3 4 9 8" xfId="16990" xr:uid="{00000000-0005-0000-0000-0000C5750000}"/>
    <cellStyle name="Normal 3 4 9 8 10" xfId="16991" xr:uid="{00000000-0005-0000-0000-0000C6750000}"/>
    <cellStyle name="Normal 3 4 9 8 10 2" xfId="34461" xr:uid="{00000000-0005-0000-0000-0000C7750000}"/>
    <cellStyle name="Normal 3 4 9 8 11" xfId="16992" xr:uid="{00000000-0005-0000-0000-0000C8750000}"/>
    <cellStyle name="Normal 3 4 9 8 11 2" xfId="34462" xr:uid="{00000000-0005-0000-0000-0000C9750000}"/>
    <cellStyle name="Normal 3 4 9 8 12" xfId="16993" xr:uid="{00000000-0005-0000-0000-0000CA750000}"/>
    <cellStyle name="Normal 3 4 9 8 12 2" xfId="34463" xr:uid="{00000000-0005-0000-0000-0000CB750000}"/>
    <cellStyle name="Normal 3 4 9 8 13" xfId="16994" xr:uid="{00000000-0005-0000-0000-0000CC750000}"/>
    <cellStyle name="Normal 3 4 9 8 13 2" xfId="34464" xr:uid="{00000000-0005-0000-0000-0000CD750000}"/>
    <cellStyle name="Normal 3 4 9 8 14" xfId="16995" xr:uid="{00000000-0005-0000-0000-0000CE750000}"/>
    <cellStyle name="Normal 3 4 9 8 14 2" xfId="34465" xr:uid="{00000000-0005-0000-0000-0000CF750000}"/>
    <cellStyle name="Normal 3 4 9 8 15" xfId="34460" xr:uid="{00000000-0005-0000-0000-0000D0750000}"/>
    <cellStyle name="Normal 3 4 9 8 2" xfId="16996" xr:uid="{00000000-0005-0000-0000-0000D1750000}"/>
    <cellStyle name="Normal 3 4 9 8 2 2" xfId="34466" xr:uid="{00000000-0005-0000-0000-0000D2750000}"/>
    <cellStyle name="Normal 3 4 9 8 3" xfId="16997" xr:uid="{00000000-0005-0000-0000-0000D3750000}"/>
    <cellStyle name="Normal 3 4 9 8 3 2" xfId="34467" xr:uid="{00000000-0005-0000-0000-0000D4750000}"/>
    <cellStyle name="Normal 3 4 9 8 4" xfId="16998" xr:uid="{00000000-0005-0000-0000-0000D5750000}"/>
    <cellStyle name="Normal 3 4 9 8 4 2" xfId="34468" xr:uid="{00000000-0005-0000-0000-0000D6750000}"/>
    <cellStyle name="Normal 3 4 9 8 5" xfId="16999" xr:uid="{00000000-0005-0000-0000-0000D7750000}"/>
    <cellStyle name="Normal 3 4 9 8 5 2" xfId="34469" xr:uid="{00000000-0005-0000-0000-0000D8750000}"/>
    <cellStyle name="Normal 3 4 9 8 6" xfId="17000" xr:uid="{00000000-0005-0000-0000-0000D9750000}"/>
    <cellStyle name="Normal 3 4 9 8 6 2" xfId="34470" xr:uid="{00000000-0005-0000-0000-0000DA750000}"/>
    <cellStyle name="Normal 3 4 9 8 7" xfId="17001" xr:uid="{00000000-0005-0000-0000-0000DB750000}"/>
    <cellStyle name="Normal 3 4 9 8 7 2" xfId="34471" xr:uid="{00000000-0005-0000-0000-0000DC750000}"/>
    <cellStyle name="Normal 3 4 9 8 8" xfId="17002" xr:uid="{00000000-0005-0000-0000-0000DD750000}"/>
    <cellStyle name="Normal 3 4 9 8 8 2" xfId="34472" xr:uid="{00000000-0005-0000-0000-0000DE750000}"/>
    <cellStyle name="Normal 3 4 9 8 9" xfId="17003" xr:uid="{00000000-0005-0000-0000-0000DF750000}"/>
    <cellStyle name="Normal 3 4 9 8 9 2" xfId="34473" xr:uid="{00000000-0005-0000-0000-0000E0750000}"/>
    <cellStyle name="Normal 3 4 9 9" xfId="17004" xr:uid="{00000000-0005-0000-0000-0000E1750000}"/>
    <cellStyle name="Normal 3 4 9 9 10" xfId="17005" xr:uid="{00000000-0005-0000-0000-0000E2750000}"/>
    <cellStyle name="Normal 3 4 9 9 10 2" xfId="34475" xr:uid="{00000000-0005-0000-0000-0000E3750000}"/>
    <cellStyle name="Normal 3 4 9 9 11" xfId="17006" xr:uid="{00000000-0005-0000-0000-0000E4750000}"/>
    <cellStyle name="Normal 3 4 9 9 11 2" xfId="34476" xr:uid="{00000000-0005-0000-0000-0000E5750000}"/>
    <cellStyle name="Normal 3 4 9 9 12" xfId="17007" xr:uid="{00000000-0005-0000-0000-0000E6750000}"/>
    <cellStyle name="Normal 3 4 9 9 12 2" xfId="34477" xr:uid="{00000000-0005-0000-0000-0000E7750000}"/>
    <cellStyle name="Normal 3 4 9 9 13" xfId="17008" xr:uid="{00000000-0005-0000-0000-0000E8750000}"/>
    <cellStyle name="Normal 3 4 9 9 13 2" xfId="34478" xr:uid="{00000000-0005-0000-0000-0000E9750000}"/>
    <cellStyle name="Normal 3 4 9 9 14" xfId="17009" xr:uid="{00000000-0005-0000-0000-0000EA750000}"/>
    <cellStyle name="Normal 3 4 9 9 14 2" xfId="34479" xr:uid="{00000000-0005-0000-0000-0000EB750000}"/>
    <cellStyle name="Normal 3 4 9 9 15" xfId="34474" xr:uid="{00000000-0005-0000-0000-0000EC750000}"/>
    <cellStyle name="Normal 3 4 9 9 2" xfId="17010" xr:uid="{00000000-0005-0000-0000-0000ED750000}"/>
    <cellStyle name="Normal 3 4 9 9 2 2" xfId="34480" xr:uid="{00000000-0005-0000-0000-0000EE750000}"/>
    <cellStyle name="Normal 3 4 9 9 3" xfId="17011" xr:uid="{00000000-0005-0000-0000-0000EF750000}"/>
    <cellStyle name="Normal 3 4 9 9 3 2" xfId="34481" xr:uid="{00000000-0005-0000-0000-0000F0750000}"/>
    <cellStyle name="Normal 3 4 9 9 4" xfId="17012" xr:uid="{00000000-0005-0000-0000-0000F1750000}"/>
    <cellStyle name="Normal 3 4 9 9 4 2" xfId="34482" xr:uid="{00000000-0005-0000-0000-0000F2750000}"/>
    <cellStyle name="Normal 3 4 9 9 5" xfId="17013" xr:uid="{00000000-0005-0000-0000-0000F3750000}"/>
    <cellStyle name="Normal 3 4 9 9 5 2" xfId="34483" xr:uid="{00000000-0005-0000-0000-0000F4750000}"/>
    <cellStyle name="Normal 3 4 9 9 6" xfId="17014" xr:uid="{00000000-0005-0000-0000-0000F5750000}"/>
    <cellStyle name="Normal 3 4 9 9 6 2" xfId="34484" xr:uid="{00000000-0005-0000-0000-0000F6750000}"/>
    <cellStyle name="Normal 3 4 9 9 7" xfId="17015" xr:uid="{00000000-0005-0000-0000-0000F7750000}"/>
    <cellStyle name="Normal 3 4 9 9 7 2" xfId="34485" xr:uid="{00000000-0005-0000-0000-0000F8750000}"/>
    <cellStyle name="Normal 3 4 9 9 8" xfId="17016" xr:uid="{00000000-0005-0000-0000-0000F9750000}"/>
    <cellStyle name="Normal 3 4 9 9 8 2" xfId="34486" xr:uid="{00000000-0005-0000-0000-0000FA750000}"/>
    <cellStyle name="Normal 3 4 9 9 9" xfId="17017" xr:uid="{00000000-0005-0000-0000-0000FB750000}"/>
    <cellStyle name="Normal 3 4 9 9 9 2" xfId="34487" xr:uid="{00000000-0005-0000-0000-0000FC750000}"/>
    <cellStyle name="Normal 3 40" xfId="63" xr:uid="{00000000-0005-0000-0000-0000FD750000}"/>
    <cellStyle name="Normal 3 40 10" xfId="17019" xr:uid="{00000000-0005-0000-0000-0000FE750000}"/>
    <cellStyle name="Normal 3 40 10 2" xfId="34488" xr:uid="{00000000-0005-0000-0000-0000FF750000}"/>
    <cellStyle name="Normal 3 40 11" xfId="17020" xr:uid="{00000000-0005-0000-0000-000000760000}"/>
    <cellStyle name="Normal 3 40 11 2" xfId="34489" xr:uid="{00000000-0005-0000-0000-000001760000}"/>
    <cellStyle name="Normal 3 40 12" xfId="17021" xr:uid="{00000000-0005-0000-0000-000002760000}"/>
    <cellStyle name="Normal 3 40 12 2" xfId="34490" xr:uid="{00000000-0005-0000-0000-000003760000}"/>
    <cellStyle name="Normal 3 40 13" xfId="17022" xr:uid="{00000000-0005-0000-0000-000004760000}"/>
    <cellStyle name="Normal 3 40 13 2" xfId="34491" xr:uid="{00000000-0005-0000-0000-000005760000}"/>
    <cellStyle name="Normal 3 40 14" xfId="17023" xr:uid="{00000000-0005-0000-0000-000006760000}"/>
    <cellStyle name="Normal 3 40 14 2" xfId="34492" xr:uid="{00000000-0005-0000-0000-000007760000}"/>
    <cellStyle name="Normal 3 40 15" xfId="17018" xr:uid="{00000000-0005-0000-0000-000008760000}"/>
    <cellStyle name="Normal 3 40 16" xfId="21157" xr:uid="{00000000-0005-0000-0000-000009760000}"/>
    <cellStyle name="Normal 3 40 2" xfId="383" xr:uid="{00000000-0005-0000-0000-00000A760000}"/>
    <cellStyle name="Normal 3 40 2 2" xfId="575" xr:uid="{00000000-0005-0000-0000-00000B760000}"/>
    <cellStyle name="Normal 3 40 2 3" xfId="17024" xr:uid="{00000000-0005-0000-0000-00000C760000}"/>
    <cellStyle name="Normal 3 40 2 4" xfId="34493" xr:uid="{00000000-0005-0000-0000-00000D760000}"/>
    <cellStyle name="Normal 3 40 3" xfId="490" xr:uid="{00000000-0005-0000-0000-00000E760000}"/>
    <cellStyle name="Normal 3 40 3 2" xfId="17025" xr:uid="{00000000-0005-0000-0000-00000F760000}"/>
    <cellStyle name="Normal 3 40 3 3" xfId="34494" xr:uid="{00000000-0005-0000-0000-000010760000}"/>
    <cellStyle name="Normal 3 40 4" xfId="17026" xr:uid="{00000000-0005-0000-0000-000011760000}"/>
    <cellStyle name="Normal 3 40 4 2" xfId="34495" xr:uid="{00000000-0005-0000-0000-000012760000}"/>
    <cellStyle name="Normal 3 40 5" xfId="17027" xr:uid="{00000000-0005-0000-0000-000013760000}"/>
    <cellStyle name="Normal 3 40 5 2" xfId="34496" xr:uid="{00000000-0005-0000-0000-000014760000}"/>
    <cellStyle name="Normal 3 40 6" xfId="17028" xr:uid="{00000000-0005-0000-0000-000015760000}"/>
    <cellStyle name="Normal 3 40 6 2" xfId="34497" xr:uid="{00000000-0005-0000-0000-000016760000}"/>
    <cellStyle name="Normal 3 40 7" xfId="17029" xr:uid="{00000000-0005-0000-0000-000017760000}"/>
    <cellStyle name="Normal 3 40 7 2" xfId="34498" xr:uid="{00000000-0005-0000-0000-000018760000}"/>
    <cellStyle name="Normal 3 40 8" xfId="17030" xr:uid="{00000000-0005-0000-0000-000019760000}"/>
    <cellStyle name="Normal 3 40 8 2" xfId="34499" xr:uid="{00000000-0005-0000-0000-00001A760000}"/>
    <cellStyle name="Normal 3 40 9" xfId="17031" xr:uid="{00000000-0005-0000-0000-00001B760000}"/>
    <cellStyle name="Normal 3 40 9 2" xfId="34500" xr:uid="{00000000-0005-0000-0000-00001C760000}"/>
    <cellStyle name="Normal 3 41" xfId="17032" xr:uid="{00000000-0005-0000-0000-00001D760000}"/>
    <cellStyle name="Normal 3 41 2" xfId="34501" xr:uid="{00000000-0005-0000-0000-00001E760000}"/>
    <cellStyle name="Normal 3 42" xfId="17033" xr:uid="{00000000-0005-0000-0000-00001F760000}"/>
    <cellStyle name="Normal 3 42 2" xfId="34502" xr:uid="{00000000-0005-0000-0000-000020760000}"/>
    <cellStyle name="Normal 3 43" xfId="17034" xr:uid="{00000000-0005-0000-0000-000021760000}"/>
    <cellStyle name="Normal 3 43 2" xfId="34503" xr:uid="{00000000-0005-0000-0000-000022760000}"/>
    <cellStyle name="Normal 3 44" xfId="17035" xr:uid="{00000000-0005-0000-0000-000023760000}"/>
    <cellStyle name="Normal 3 44 2" xfId="34504" xr:uid="{00000000-0005-0000-0000-000024760000}"/>
    <cellStyle name="Normal 3 45" xfId="17036" xr:uid="{00000000-0005-0000-0000-000025760000}"/>
    <cellStyle name="Normal 3 45 2" xfId="34505" xr:uid="{00000000-0005-0000-0000-000026760000}"/>
    <cellStyle name="Normal 3 46" xfId="17037" xr:uid="{00000000-0005-0000-0000-000027760000}"/>
    <cellStyle name="Normal 3 46 2" xfId="34506" xr:uid="{00000000-0005-0000-0000-000028760000}"/>
    <cellStyle name="Normal 3 47" xfId="17038" xr:uid="{00000000-0005-0000-0000-000029760000}"/>
    <cellStyle name="Normal 3 47 2" xfId="34507" xr:uid="{00000000-0005-0000-0000-00002A760000}"/>
    <cellStyle name="Normal 3 48" xfId="17039" xr:uid="{00000000-0005-0000-0000-00002B760000}"/>
    <cellStyle name="Normal 3 48 2" xfId="34508" xr:uid="{00000000-0005-0000-0000-00002C760000}"/>
    <cellStyle name="Normal 3 49" xfId="17040" xr:uid="{00000000-0005-0000-0000-00002D760000}"/>
    <cellStyle name="Normal 3 49 2" xfId="34509" xr:uid="{00000000-0005-0000-0000-00002E760000}"/>
    <cellStyle name="Normal 3 5" xfId="17041" xr:uid="{00000000-0005-0000-0000-00002F760000}"/>
    <cellStyle name="Normal 3 5 10" xfId="17042" xr:uid="{00000000-0005-0000-0000-000030760000}"/>
    <cellStyle name="Normal 3 5 10 10" xfId="17043" xr:uid="{00000000-0005-0000-0000-000031760000}"/>
    <cellStyle name="Normal 3 5 10 10 2" xfId="34511" xr:uid="{00000000-0005-0000-0000-000032760000}"/>
    <cellStyle name="Normal 3 5 10 11" xfId="17044" xr:uid="{00000000-0005-0000-0000-000033760000}"/>
    <cellStyle name="Normal 3 5 10 11 2" xfId="34512" xr:uid="{00000000-0005-0000-0000-000034760000}"/>
    <cellStyle name="Normal 3 5 10 12" xfId="17045" xr:uid="{00000000-0005-0000-0000-000035760000}"/>
    <cellStyle name="Normal 3 5 10 12 2" xfId="34513" xr:uid="{00000000-0005-0000-0000-000036760000}"/>
    <cellStyle name="Normal 3 5 10 13" xfId="17046" xr:uid="{00000000-0005-0000-0000-000037760000}"/>
    <cellStyle name="Normal 3 5 10 13 2" xfId="34514" xr:uid="{00000000-0005-0000-0000-000038760000}"/>
    <cellStyle name="Normal 3 5 10 14" xfId="17047" xr:uid="{00000000-0005-0000-0000-000039760000}"/>
    <cellStyle name="Normal 3 5 10 14 2" xfId="34515" xr:uid="{00000000-0005-0000-0000-00003A760000}"/>
    <cellStyle name="Normal 3 5 10 15" xfId="34510" xr:uid="{00000000-0005-0000-0000-00003B760000}"/>
    <cellStyle name="Normal 3 5 10 2" xfId="17048" xr:uid="{00000000-0005-0000-0000-00003C760000}"/>
    <cellStyle name="Normal 3 5 10 2 2" xfId="34516" xr:uid="{00000000-0005-0000-0000-00003D760000}"/>
    <cellStyle name="Normal 3 5 10 3" xfId="17049" xr:uid="{00000000-0005-0000-0000-00003E760000}"/>
    <cellStyle name="Normal 3 5 10 3 2" xfId="34517" xr:uid="{00000000-0005-0000-0000-00003F760000}"/>
    <cellStyle name="Normal 3 5 10 4" xfId="17050" xr:uid="{00000000-0005-0000-0000-000040760000}"/>
    <cellStyle name="Normal 3 5 10 4 2" xfId="34518" xr:uid="{00000000-0005-0000-0000-000041760000}"/>
    <cellStyle name="Normal 3 5 10 5" xfId="17051" xr:uid="{00000000-0005-0000-0000-000042760000}"/>
    <cellStyle name="Normal 3 5 10 5 2" xfId="34519" xr:uid="{00000000-0005-0000-0000-000043760000}"/>
    <cellStyle name="Normal 3 5 10 6" xfId="17052" xr:uid="{00000000-0005-0000-0000-000044760000}"/>
    <cellStyle name="Normal 3 5 10 6 2" xfId="34520" xr:uid="{00000000-0005-0000-0000-000045760000}"/>
    <cellStyle name="Normal 3 5 10 7" xfId="17053" xr:uid="{00000000-0005-0000-0000-000046760000}"/>
    <cellStyle name="Normal 3 5 10 7 2" xfId="34521" xr:uid="{00000000-0005-0000-0000-000047760000}"/>
    <cellStyle name="Normal 3 5 10 8" xfId="17054" xr:uid="{00000000-0005-0000-0000-000048760000}"/>
    <cellStyle name="Normal 3 5 10 8 2" xfId="34522" xr:uid="{00000000-0005-0000-0000-000049760000}"/>
    <cellStyle name="Normal 3 5 10 9" xfId="17055" xr:uid="{00000000-0005-0000-0000-00004A760000}"/>
    <cellStyle name="Normal 3 5 10 9 2" xfId="34523" xr:uid="{00000000-0005-0000-0000-00004B760000}"/>
    <cellStyle name="Normal 3 5 11" xfId="17056" xr:uid="{00000000-0005-0000-0000-00004C760000}"/>
    <cellStyle name="Normal 3 5 11 10" xfId="17057" xr:uid="{00000000-0005-0000-0000-00004D760000}"/>
    <cellStyle name="Normal 3 5 11 10 2" xfId="34525" xr:uid="{00000000-0005-0000-0000-00004E760000}"/>
    <cellStyle name="Normal 3 5 11 11" xfId="17058" xr:uid="{00000000-0005-0000-0000-00004F760000}"/>
    <cellStyle name="Normal 3 5 11 11 2" xfId="34526" xr:uid="{00000000-0005-0000-0000-000050760000}"/>
    <cellStyle name="Normal 3 5 11 12" xfId="17059" xr:uid="{00000000-0005-0000-0000-000051760000}"/>
    <cellStyle name="Normal 3 5 11 12 2" xfId="34527" xr:uid="{00000000-0005-0000-0000-000052760000}"/>
    <cellStyle name="Normal 3 5 11 13" xfId="17060" xr:uid="{00000000-0005-0000-0000-000053760000}"/>
    <cellStyle name="Normal 3 5 11 13 2" xfId="34528" xr:uid="{00000000-0005-0000-0000-000054760000}"/>
    <cellStyle name="Normal 3 5 11 14" xfId="17061" xr:uid="{00000000-0005-0000-0000-000055760000}"/>
    <cellStyle name="Normal 3 5 11 14 2" xfId="34529" xr:uid="{00000000-0005-0000-0000-000056760000}"/>
    <cellStyle name="Normal 3 5 11 15" xfId="34524" xr:uid="{00000000-0005-0000-0000-000057760000}"/>
    <cellStyle name="Normal 3 5 11 2" xfId="17062" xr:uid="{00000000-0005-0000-0000-000058760000}"/>
    <cellStyle name="Normal 3 5 11 2 2" xfId="34530" xr:uid="{00000000-0005-0000-0000-000059760000}"/>
    <cellStyle name="Normal 3 5 11 3" xfId="17063" xr:uid="{00000000-0005-0000-0000-00005A760000}"/>
    <cellStyle name="Normal 3 5 11 3 2" xfId="34531" xr:uid="{00000000-0005-0000-0000-00005B760000}"/>
    <cellStyle name="Normal 3 5 11 4" xfId="17064" xr:uid="{00000000-0005-0000-0000-00005C760000}"/>
    <cellStyle name="Normal 3 5 11 4 2" xfId="34532" xr:uid="{00000000-0005-0000-0000-00005D760000}"/>
    <cellStyle name="Normal 3 5 11 5" xfId="17065" xr:uid="{00000000-0005-0000-0000-00005E760000}"/>
    <cellStyle name="Normal 3 5 11 5 2" xfId="34533" xr:uid="{00000000-0005-0000-0000-00005F760000}"/>
    <cellStyle name="Normal 3 5 11 6" xfId="17066" xr:uid="{00000000-0005-0000-0000-000060760000}"/>
    <cellStyle name="Normal 3 5 11 6 2" xfId="34534" xr:uid="{00000000-0005-0000-0000-000061760000}"/>
    <cellStyle name="Normal 3 5 11 7" xfId="17067" xr:uid="{00000000-0005-0000-0000-000062760000}"/>
    <cellStyle name="Normal 3 5 11 7 2" xfId="34535" xr:uid="{00000000-0005-0000-0000-000063760000}"/>
    <cellStyle name="Normal 3 5 11 8" xfId="17068" xr:uid="{00000000-0005-0000-0000-000064760000}"/>
    <cellStyle name="Normal 3 5 11 8 2" xfId="34536" xr:uid="{00000000-0005-0000-0000-000065760000}"/>
    <cellStyle name="Normal 3 5 11 9" xfId="17069" xr:uid="{00000000-0005-0000-0000-000066760000}"/>
    <cellStyle name="Normal 3 5 11 9 2" xfId="34537" xr:uid="{00000000-0005-0000-0000-000067760000}"/>
    <cellStyle name="Normal 3 5 12" xfId="17070" xr:uid="{00000000-0005-0000-0000-000068760000}"/>
    <cellStyle name="Normal 3 5 12 10" xfId="17071" xr:uid="{00000000-0005-0000-0000-000069760000}"/>
    <cellStyle name="Normal 3 5 12 10 2" xfId="34539" xr:uid="{00000000-0005-0000-0000-00006A760000}"/>
    <cellStyle name="Normal 3 5 12 11" xfId="17072" xr:uid="{00000000-0005-0000-0000-00006B760000}"/>
    <cellStyle name="Normal 3 5 12 11 2" xfId="34540" xr:uid="{00000000-0005-0000-0000-00006C760000}"/>
    <cellStyle name="Normal 3 5 12 12" xfId="17073" xr:uid="{00000000-0005-0000-0000-00006D760000}"/>
    <cellStyle name="Normal 3 5 12 12 2" xfId="34541" xr:uid="{00000000-0005-0000-0000-00006E760000}"/>
    <cellStyle name="Normal 3 5 12 13" xfId="17074" xr:uid="{00000000-0005-0000-0000-00006F760000}"/>
    <cellStyle name="Normal 3 5 12 13 2" xfId="34542" xr:uid="{00000000-0005-0000-0000-000070760000}"/>
    <cellStyle name="Normal 3 5 12 14" xfId="17075" xr:uid="{00000000-0005-0000-0000-000071760000}"/>
    <cellStyle name="Normal 3 5 12 14 2" xfId="34543" xr:uid="{00000000-0005-0000-0000-000072760000}"/>
    <cellStyle name="Normal 3 5 12 15" xfId="34538" xr:uid="{00000000-0005-0000-0000-000073760000}"/>
    <cellStyle name="Normal 3 5 12 2" xfId="17076" xr:uid="{00000000-0005-0000-0000-000074760000}"/>
    <cellStyle name="Normal 3 5 12 2 2" xfId="34544" xr:uid="{00000000-0005-0000-0000-000075760000}"/>
    <cellStyle name="Normal 3 5 12 3" xfId="17077" xr:uid="{00000000-0005-0000-0000-000076760000}"/>
    <cellStyle name="Normal 3 5 12 3 2" xfId="34545" xr:uid="{00000000-0005-0000-0000-000077760000}"/>
    <cellStyle name="Normal 3 5 12 4" xfId="17078" xr:uid="{00000000-0005-0000-0000-000078760000}"/>
    <cellStyle name="Normal 3 5 12 4 2" xfId="34546" xr:uid="{00000000-0005-0000-0000-000079760000}"/>
    <cellStyle name="Normal 3 5 12 5" xfId="17079" xr:uid="{00000000-0005-0000-0000-00007A760000}"/>
    <cellStyle name="Normal 3 5 12 5 2" xfId="34547" xr:uid="{00000000-0005-0000-0000-00007B760000}"/>
    <cellStyle name="Normal 3 5 12 6" xfId="17080" xr:uid="{00000000-0005-0000-0000-00007C760000}"/>
    <cellStyle name="Normal 3 5 12 6 2" xfId="34548" xr:uid="{00000000-0005-0000-0000-00007D760000}"/>
    <cellStyle name="Normal 3 5 12 7" xfId="17081" xr:uid="{00000000-0005-0000-0000-00007E760000}"/>
    <cellStyle name="Normal 3 5 12 7 2" xfId="34549" xr:uid="{00000000-0005-0000-0000-00007F760000}"/>
    <cellStyle name="Normal 3 5 12 8" xfId="17082" xr:uid="{00000000-0005-0000-0000-000080760000}"/>
    <cellStyle name="Normal 3 5 12 8 2" xfId="34550" xr:uid="{00000000-0005-0000-0000-000081760000}"/>
    <cellStyle name="Normal 3 5 12 9" xfId="17083" xr:uid="{00000000-0005-0000-0000-000082760000}"/>
    <cellStyle name="Normal 3 5 12 9 2" xfId="34551" xr:uid="{00000000-0005-0000-0000-000083760000}"/>
    <cellStyle name="Normal 3 5 13" xfId="17084" xr:uid="{00000000-0005-0000-0000-000084760000}"/>
    <cellStyle name="Normal 3 5 13 10" xfId="17085" xr:uid="{00000000-0005-0000-0000-000085760000}"/>
    <cellStyle name="Normal 3 5 13 10 2" xfId="34553" xr:uid="{00000000-0005-0000-0000-000086760000}"/>
    <cellStyle name="Normal 3 5 13 11" xfId="17086" xr:uid="{00000000-0005-0000-0000-000087760000}"/>
    <cellStyle name="Normal 3 5 13 11 2" xfId="34554" xr:uid="{00000000-0005-0000-0000-000088760000}"/>
    <cellStyle name="Normal 3 5 13 12" xfId="17087" xr:uid="{00000000-0005-0000-0000-000089760000}"/>
    <cellStyle name="Normal 3 5 13 12 2" xfId="34555" xr:uid="{00000000-0005-0000-0000-00008A760000}"/>
    <cellStyle name="Normal 3 5 13 13" xfId="17088" xr:uid="{00000000-0005-0000-0000-00008B760000}"/>
    <cellStyle name="Normal 3 5 13 13 2" xfId="34556" xr:uid="{00000000-0005-0000-0000-00008C760000}"/>
    <cellStyle name="Normal 3 5 13 14" xfId="17089" xr:uid="{00000000-0005-0000-0000-00008D760000}"/>
    <cellStyle name="Normal 3 5 13 14 2" xfId="34557" xr:uid="{00000000-0005-0000-0000-00008E760000}"/>
    <cellStyle name="Normal 3 5 13 15" xfId="34552" xr:uid="{00000000-0005-0000-0000-00008F760000}"/>
    <cellStyle name="Normal 3 5 13 2" xfId="17090" xr:uid="{00000000-0005-0000-0000-000090760000}"/>
    <cellStyle name="Normal 3 5 13 2 2" xfId="34558" xr:uid="{00000000-0005-0000-0000-000091760000}"/>
    <cellStyle name="Normal 3 5 13 3" xfId="17091" xr:uid="{00000000-0005-0000-0000-000092760000}"/>
    <cellStyle name="Normal 3 5 13 3 2" xfId="34559" xr:uid="{00000000-0005-0000-0000-000093760000}"/>
    <cellStyle name="Normal 3 5 13 4" xfId="17092" xr:uid="{00000000-0005-0000-0000-000094760000}"/>
    <cellStyle name="Normal 3 5 13 4 2" xfId="34560" xr:uid="{00000000-0005-0000-0000-000095760000}"/>
    <cellStyle name="Normal 3 5 13 5" xfId="17093" xr:uid="{00000000-0005-0000-0000-000096760000}"/>
    <cellStyle name="Normal 3 5 13 5 2" xfId="34561" xr:uid="{00000000-0005-0000-0000-000097760000}"/>
    <cellStyle name="Normal 3 5 13 6" xfId="17094" xr:uid="{00000000-0005-0000-0000-000098760000}"/>
    <cellStyle name="Normal 3 5 13 6 2" xfId="34562" xr:uid="{00000000-0005-0000-0000-000099760000}"/>
    <cellStyle name="Normal 3 5 13 7" xfId="17095" xr:uid="{00000000-0005-0000-0000-00009A760000}"/>
    <cellStyle name="Normal 3 5 13 7 2" xfId="34563" xr:uid="{00000000-0005-0000-0000-00009B760000}"/>
    <cellStyle name="Normal 3 5 13 8" xfId="17096" xr:uid="{00000000-0005-0000-0000-00009C760000}"/>
    <cellStyle name="Normal 3 5 13 8 2" xfId="34564" xr:uid="{00000000-0005-0000-0000-00009D760000}"/>
    <cellStyle name="Normal 3 5 13 9" xfId="17097" xr:uid="{00000000-0005-0000-0000-00009E760000}"/>
    <cellStyle name="Normal 3 5 13 9 2" xfId="34565" xr:uid="{00000000-0005-0000-0000-00009F760000}"/>
    <cellStyle name="Normal 3 5 14" xfId="17098" xr:uid="{00000000-0005-0000-0000-0000A0760000}"/>
    <cellStyle name="Normal 3 5 14 10" xfId="17099" xr:uid="{00000000-0005-0000-0000-0000A1760000}"/>
    <cellStyle name="Normal 3 5 14 10 2" xfId="34567" xr:uid="{00000000-0005-0000-0000-0000A2760000}"/>
    <cellStyle name="Normal 3 5 14 11" xfId="17100" xr:uid="{00000000-0005-0000-0000-0000A3760000}"/>
    <cellStyle name="Normal 3 5 14 11 2" xfId="34568" xr:uid="{00000000-0005-0000-0000-0000A4760000}"/>
    <cellStyle name="Normal 3 5 14 12" xfId="17101" xr:uid="{00000000-0005-0000-0000-0000A5760000}"/>
    <cellStyle name="Normal 3 5 14 12 2" xfId="34569" xr:uid="{00000000-0005-0000-0000-0000A6760000}"/>
    <cellStyle name="Normal 3 5 14 13" xfId="17102" xr:uid="{00000000-0005-0000-0000-0000A7760000}"/>
    <cellStyle name="Normal 3 5 14 13 2" xfId="34570" xr:uid="{00000000-0005-0000-0000-0000A8760000}"/>
    <cellStyle name="Normal 3 5 14 14" xfId="17103" xr:uid="{00000000-0005-0000-0000-0000A9760000}"/>
    <cellStyle name="Normal 3 5 14 14 2" xfId="34571" xr:uid="{00000000-0005-0000-0000-0000AA760000}"/>
    <cellStyle name="Normal 3 5 14 15" xfId="34566" xr:uid="{00000000-0005-0000-0000-0000AB760000}"/>
    <cellStyle name="Normal 3 5 14 2" xfId="17104" xr:uid="{00000000-0005-0000-0000-0000AC760000}"/>
    <cellStyle name="Normal 3 5 14 2 2" xfId="34572" xr:uid="{00000000-0005-0000-0000-0000AD760000}"/>
    <cellStyle name="Normal 3 5 14 3" xfId="17105" xr:uid="{00000000-0005-0000-0000-0000AE760000}"/>
    <cellStyle name="Normal 3 5 14 3 2" xfId="34573" xr:uid="{00000000-0005-0000-0000-0000AF760000}"/>
    <cellStyle name="Normal 3 5 14 4" xfId="17106" xr:uid="{00000000-0005-0000-0000-0000B0760000}"/>
    <cellStyle name="Normal 3 5 14 4 2" xfId="34574" xr:uid="{00000000-0005-0000-0000-0000B1760000}"/>
    <cellStyle name="Normal 3 5 14 5" xfId="17107" xr:uid="{00000000-0005-0000-0000-0000B2760000}"/>
    <cellStyle name="Normal 3 5 14 5 2" xfId="34575" xr:uid="{00000000-0005-0000-0000-0000B3760000}"/>
    <cellStyle name="Normal 3 5 14 6" xfId="17108" xr:uid="{00000000-0005-0000-0000-0000B4760000}"/>
    <cellStyle name="Normal 3 5 14 6 2" xfId="34576" xr:uid="{00000000-0005-0000-0000-0000B5760000}"/>
    <cellStyle name="Normal 3 5 14 7" xfId="17109" xr:uid="{00000000-0005-0000-0000-0000B6760000}"/>
    <cellStyle name="Normal 3 5 14 7 2" xfId="34577" xr:uid="{00000000-0005-0000-0000-0000B7760000}"/>
    <cellStyle name="Normal 3 5 14 8" xfId="17110" xr:uid="{00000000-0005-0000-0000-0000B8760000}"/>
    <cellStyle name="Normal 3 5 14 8 2" xfId="34578" xr:uid="{00000000-0005-0000-0000-0000B9760000}"/>
    <cellStyle name="Normal 3 5 14 9" xfId="17111" xr:uid="{00000000-0005-0000-0000-0000BA760000}"/>
    <cellStyle name="Normal 3 5 14 9 2" xfId="34579" xr:uid="{00000000-0005-0000-0000-0000BB760000}"/>
    <cellStyle name="Normal 3 5 15" xfId="17112" xr:uid="{00000000-0005-0000-0000-0000BC760000}"/>
    <cellStyle name="Normal 3 5 16" xfId="17113" xr:uid="{00000000-0005-0000-0000-0000BD760000}"/>
    <cellStyle name="Normal 3 5 17" xfId="17114" xr:uid="{00000000-0005-0000-0000-0000BE760000}"/>
    <cellStyle name="Normal 3 5 17 10" xfId="17115" xr:uid="{00000000-0005-0000-0000-0000BF760000}"/>
    <cellStyle name="Normal 3 5 17 10 2" xfId="34581" xr:uid="{00000000-0005-0000-0000-0000C0760000}"/>
    <cellStyle name="Normal 3 5 17 11" xfId="17116" xr:uid="{00000000-0005-0000-0000-0000C1760000}"/>
    <cellStyle name="Normal 3 5 17 11 2" xfId="34582" xr:uid="{00000000-0005-0000-0000-0000C2760000}"/>
    <cellStyle name="Normal 3 5 17 12" xfId="17117" xr:uid="{00000000-0005-0000-0000-0000C3760000}"/>
    <cellStyle name="Normal 3 5 17 12 2" xfId="34583" xr:uid="{00000000-0005-0000-0000-0000C4760000}"/>
    <cellStyle name="Normal 3 5 17 13" xfId="17118" xr:uid="{00000000-0005-0000-0000-0000C5760000}"/>
    <cellStyle name="Normal 3 5 17 13 2" xfId="34584" xr:uid="{00000000-0005-0000-0000-0000C6760000}"/>
    <cellStyle name="Normal 3 5 17 14" xfId="17119" xr:uid="{00000000-0005-0000-0000-0000C7760000}"/>
    <cellStyle name="Normal 3 5 17 14 2" xfId="34585" xr:uid="{00000000-0005-0000-0000-0000C8760000}"/>
    <cellStyle name="Normal 3 5 17 15" xfId="34580" xr:uid="{00000000-0005-0000-0000-0000C9760000}"/>
    <cellStyle name="Normal 3 5 17 2" xfId="17120" xr:uid="{00000000-0005-0000-0000-0000CA760000}"/>
    <cellStyle name="Normal 3 5 17 2 2" xfId="34586" xr:uid="{00000000-0005-0000-0000-0000CB760000}"/>
    <cellStyle name="Normal 3 5 17 3" xfId="17121" xr:uid="{00000000-0005-0000-0000-0000CC760000}"/>
    <cellStyle name="Normal 3 5 17 3 2" xfId="34587" xr:uid="{00000000-0005-0000-0000-0000CD760000}"/>
    <cellStyle name="Normal 3 5 17 4" xfId="17122" xr:uid="{00000000-0005-0000-0000-0000CE760000}"/>
    <cellStyle name="Normal 3 5 17 4 2" xfId="34588" xr:uid="{00000000-0005-0000-0000-0000CF760000}"/>
    <cellStyle name="Normal 3 5 17 5" xfId="17123" xr:uid="{00000000-0005-0000-0000-0000D0760000}"/>
    <cellStyle name="Normal 3 5 17 5 2" xfId="34589" xr:uid="{00000000-0005-0000-0000-0000D1760000}"/>
    <cellStyle name="Normal 3 5 17 6" xfId="17124" xr:uid="{00000000-0005-0000-0000-0000D2760000}"/>
    <cellStyle name="Normal 3 5 17 6 2" xfId="34590" xr:uid="{00000000-0005-0000-0000-0000D3760000}"/>
    <cellStyle name="Normal 3 5 17 7" xfId="17125" xr:uid="{00000000-0005-0000-0000-0000D4760000}"/>
    <cellStyle name="Normal 3 5 17 7 2" xfId="34591" xr:uid="{00000000-0005-0000-0000-0000D5760000}"/>
    <cellStyle name="Normal 3 5 17 8" xfId="17126" xr:uid="{00000000-0005-0000-0000-0000D6760000}"/>
    <cellStyle name="Normal 3 5 17 8 2" xfId="34592" xr:uid="{00000000-0005-0000-0000-0000D7760000}"/>
    <cellStyle name="Normal 3 5 17 9" xfId="17127" xr:uid="{00000000-0005-0000-0000-0000D8760000}"/>
    <cellStyle name="Normal 3 5 17 9 2" xfId="34593" xr:uid="{00000000-0005-0000-0000-0000D9760000}"/>
    <cellStyle name="Normal 3 5 18" xfId="17128" xr:uid="{00000000-0005-0000-0000-0000DA760000}"/>
    <cellStyle name="Normal 3 5 18 10" xfId="17129" xr:uid="{00000000-0005-0000-0000-0000DB760000}"/>
    <cellStyle name="Normal 3 5 18 10 2" xfId="34595" xr:uid="{00000000-0005-0000-0000-0000DC760000}"/>
    <cellStyle name="Normal 3 5 18 11" xfId="17130" xr:uid="{00000000-0005-0000-0000-0000DD760000}"/>
    <cellStyle name="Normal 3 5 18 11 2" xfId="34596" xr:uid="{00000000-0005-0000-0000-0000DE760000}"/>
    <cellStyle name="Normal 3 5 18 12" xfId="17131" xr:uid="{00000000-0005-0000-0000-0000DF760000}"/>
    <cellStyle name="Normal 3 5 18 12 2" xfId="34597" xr:uid="{00000000-0005-0000-0000-0000E0760000}"/>
    <cellStyle name="Normal 3 5 18 13" xfId="17132" xr:uid="{00000000-0005-0000-0000-0000E1760000}"/>
    <cellStyle name="Normal 3 5 18 13 2" xfId="34598" xr:uid="{00000000-0005-0000-0000-0000E2760000}"/>
    <cellStyle name="Normal 3 5 18 14" xfId="17133" xr:uid="{00000000-0005-0000-0000-0000E3760000}"/>
    <cellStyle name="Normal 3 5 18 14 2" xfId="34599" xr:uid="{00000000-0005-0000-0000-0000E4760000}"/>
    <cellStyle name="Normal 3 5 18 15" xfId="34594" xr:uid="{00000000-0005-0000-0000-0000E5760000}"/>
    <cellStyle name="Normal 3 5 18 2" xfId="17134" xr:uid="{00000000-0005-0000-0000-0000E6760000}"/>
    <cellStyle name="Normal 3 5 18 2 2" xfId="34600" xr:uid="{00000000-0005-0000-0000-0000E7760000}"/>
    <cellStyle name="Normal 3 5 18 3" xfId="17135" xr:uid="{00000000-0005-0000-0000-0000E8760000}"/>
    <cellStyle name="Normal 3 5 18 3 2" xfId="34601" xr:uid="{00000000-0005-0000-0000-0000E9760000}"/>
    <cellStyle name="Normal 3 5 18 4" xfId="17136" xr:uid="{00000000-0005-0000-0000-0000EA760000}"/>
    <cellStyle name="Normal 3 5 18 4 2" xfId="34602" xr:uid="{00000000-0005-0000-0000-0000EB760000}"/>
    <cellStyle name="Normal 3 5 18 5" xfId="17137" xr:uid="{00000000-0005-0000-0000-0000EC760000}"/>
    <cellStyle name="Normal 3 5 18 5 2" xfId="34603" xr:uid="{00000000-0005-0000-0000-0000ED760000}"/>
    <cellStyle name="Normal 3 5 18 6" xfId="17138" xr:uid="{00000000-0005-0000-0000-0000EE760000}"/>
    <cellStyle name="Normal 3 5 18 6 2" xfId="34604" xr:uid="{00000000-0005-0000-0000-0000EF760000}"/>
    <cellStyle name="Normal 3 5 18 7" xfId="17139" xr:uid="{00000000-0005-0000-0000-0000F0760000}"/>
    <cellStyle name="Normal 3 5 18 7 2" xfId="34605" xr:uid="{00000000-0005-0000-0000-0000F1760000}"/>
    <cellStyle name="Normal 3 5 18 8" xfId="17140" xr:uid="{00000000-0005-0000-0000-0000F2760000}"/>
    <cellStyle name="Normal 3 5 18 8 2" xfId="34606" xr:uid="{00000000-0005-0000-0000-0000F3760000}"/>
    <cellStyle name="Normal 3 5 18 9" xfId="17141" xr:uid="{00000000-0005-0000-0000-0000F4760000}"/>
    <cellStyle name="Normal 3 5 18 9 2" xfId="34607" xr:uid="{00000000-0005-0000-0000-0000F5760000}"/>
    <cellStyle name="Normal 3 5 2" xfId="17142" xr:uid="{00000000-0005-0000-0000-0000F6760000}"/>
    <cellStyle name="Normal 3 5 3" xfId="17143" xr:uid="{00000000-0005-0000-0000-0000F7760000}"/>
    <cellStyle name="Normal 3 5 3 10" xfId="17144" xr:uid="{00000000-0005-0000-0000-0000F8760000}"/>
    <cellStyle name="Normal 3 5 3 10 2" xfId="34609" xr:uid="{00000000-0005-0000-0000-0000F9760000}"/>
    <cellStyle name="Normal 3 5 3 11" xfId="17145" xr:uid="{00000000-0005-0000-0000-0000FA760000}"/>
    <cellStyle name="Normal 3 5 3 11 2" xfId="34610" xr:uid="{00000000-0005-0000-0000-0000FB760000}"/>
    <cellStyle name="Normal 3 5 3 12" xfId="17146" xr:uid="{00000000-0005-0000-0000-0000FC760000}"/>
    <cellStyle name="Normal 3 5 3 12 2" xfId="34611" xr:uid="{00000000-0005-0000-0000-0000FD760000}"/>
    <cellStyle name="Normal 3 5 3 13" xfId="17147" xr:uid="{00000000-0005-0000-0000-0000FE760000}"/>
    <cellStyle name="Normal 3 5 3 13 2" xfId="34612" xr:uid="{00000000-0005-0000-0000-0000FF760000}"/>
    <cellStyle name="Normal 3 5 3 14" xfId="17148" xr:uid="{00000000-0005-0000-0000-000000770000}"/>
    <cellStyle name="Normal 3 5 3 14 2" xfId="34613" xr:uid="{00000000-0005-0000-0000-000001770000}"/>
    <cellStyle name="Normal 3 5 3 15" xfId="17149" xr:uid="{00000000-0005-0000-0000-000002770000}"/>
    <cellStyle name="Normal 3 5 3 15 2" xfId="34614" xr:uid="{00000000-0005-0000-0000-000003770000}"/>
    <cellStyle name="Normal 3 5 3 16" xfId="17150" xr:uid="{00000000-0005-0000-0000-000004770000}"/>
    <cellStyle name="Normal 3 5 3 16 2" xfId="34615" xr:uid="{00000000-0005-0000-0000-000005770000}"/>
    <cellStyle name="Normal 3 5 3 17" xfId="17151" xr:uid="{00000000-0005-0000-0000-000006770000}"/>
    <cellStyle name="Normal 3 5 3 17 2" xfId="34616" xr:uid="{00000000-0005-0000-0000-000007770000}"/>
    <cellStyle name="Normal 3 5 3 18" xfId="34608" xr:uid="{00000000-0005-0000-0000-000008770000}"/>
    <cellStyle name="Normal 3 5 3 2" xfId="17152" xr:uid="{00000000-0005-0000-0000-000009770000}"/>
    <cellStyle name="Normal 3 5 3 3" xfId="17153" xr:uid="{00000000-0005-0000-0000-00000A770000}"/>
    <cellStyle name="Normal 3 5 3 4" xfId="17154" xr:uid="{00000000-0005-0000-0000-00000B770000}"/>
    <cellStyle name="Normal 3 5 3 5" xfId="17155" xr:uid="{00000000-0005-0000-0000-00000C770000}"/>
    <cellStyle name="Normal 3 5 3 5 2" xfId="34617" xr:uid="{00000000-0005-0000-0000-00000D770000}"/>
    <cellStyle name="Normal 3 5 3 6" xfId="17156" xr:uid="{00000000-0005-0000-0000-00000E770000}"/>
    <cellStyle name="Normal 3 5 3 6 2" xfId="34618" xr:uid="{00000000-0005-0000-0000-00000F770000}"/>
    <cellStyle name="Normal 3 5 3 7" xfId="17157" xr:uid="{00000000-0005-0000-0000-000010770000}"/>
    <cellStyle name="Normal 3 5 3 7 2" xfId="34619" xr:uid="{00000000-0005-0000-0000-000011770000}"/>
    <cellStyle name="Normal 3 5 3 8" xfId="17158" xr:uid="{00000000-0005-0000-0000-000012770000}"/>
    <cellStyle name="Normal 3 5 3 8 2" xfId="34620" xr:uid="{00000000-0005-0000-0000-000013770000}"/>
    <cellStyle name="Normal 3 5 3 9" xfId="17159" xr:uid="{00000000-0005-0000-0000-000014770000}"/>
    <cellStyle name="Normal 3 5 3 9 2" xfId="34621" xr:uid="{00000000-0005-0000-0000-000015770000}"/>
    <cellStyle name="Normal 3 5 4" xfId="17160" xr:uid="{00000000-0005-0000-0000-000016770000}"/>
    <cellStyle name="Normal 3 5 5" xfId="17161" xr:uid="{00000000-0005-0000-0000-000017770000}"/>
    <cellStyle name="Normal 3 5 6" xfId="17162" xr:uid="{00000000-0005-0000-0000-000018770000}"/>
    <cellStyle name="Normal 3 5 6 10" xfId="17163" xr:uid="{00000000-0005-0000-0000-000019770000}"/>
    <cellStyle name="Normal 3 5 6 10 2" xfId="34623" xr:uid="{00000000-0005-0000-0000-00001A770000}"/>
    <cellStyle name="Normal 3 5 6 11" xfId="17164" xr:uid="{00000000-0005-0000-0000-00001B770000}"/>
    <cellStyle name="Normal 3 5 6 11 2" xfId="34624" xr:uid="{00000000-0005-0000-0000-00001C770000}"/>
    <cellStyle name="Normal 3 5 6 12" xfId="17165" xr:uid="{00000000-0005-0000-0000-00001D770000}"/>
    <cellStyle name="Normal 3 5 6 12 2" xfId="34625" xr:uid="{00000000-0005-0000-0000-00001E770000}"/>
    <cellStyle name="Normal 3 5 6 13" xfId="17166" xr:uid="{00000000-0005-0000-0000-00001F770000}"/>
    <cellStyle name="Normal 3 5 6 13 2" xfId="34626" xr:uid="{00000000-0005-0000-0000-000020770000}"/>
    <cellStyle name="Normal 3 5 6 14" xfId="17167" xr:uid="{00000000-0005-0000-0000-000021770000}"/>
    <cellStyle name="Normal 3 5 6 14 2" xfId="34627" xr:uid="{00000000-0005-0000-0000-000022770000}"/>
    <cellStyle name="Normal 3 5 6 15" xfId="17168" xr:uid="{00000000-0005-0000-0000-000023770000}"/>
    <cellStyle name="Normal 3 5 6 15 2" xfId="34628" xr:uid="{00000000-0005-0000-0000-000024770000}"/>
    <cellStyle name="Normal 3 5 6 16" xfId="34622" xr:uid="{00000000-0005-0000-0000-000025770000}"/>
    <cellStyle name="Normal 3 5 6 2" xfId="17169" xr:uid="{00000000-0005-0000-0000-000026770000}"/>
    <cellStyle name="Normal 3 5 6 2 10" xfId="17170" xr:uid="{00000000-0005-0000-0000-000027770000}"/>
    <cellStyle name="Normal 3 5 6 2 10 2" xfId="34630" xr:uid="{00000000-0005-0000-0000-000028770000}"/>
    <cellStyle name="Normal 3 5 6 2 11" xfId="17171" xr:uid="{00000000-0005-0000-0000-000029770000}"/>
    <cellStyle name="Normal 3 5 6 2 11 2" xfId="34631" xr:uid="{00000000-0005-0000-0000-00002A770000}"/>
    <cellStyle name="Normal 3 5 6 2 12" xfId="17172" xr:uid="{00000000-0005-0000-0000-00002B770000}"/>
    <cellStyle name="Normal 3 5 6 2 12 2" xfId="34632" xr:uid="{00000000-0005-0000-0000-00002C770000}"/>
    <cellStyle name="Normal 3 5 6 2 13" xfId="17173" xr:uid="{00000000-0005-0000-0000-00002D770000}"/>
    <cellStyle name="Normal 3 5 6 2 13 2" xfId="34633" xr:uid="{00000000-0005-0000-0000-00002E770000}"/>
    <cellStyle name="Normal 3 5 6 2 14" xfId="17174" xr:uid="{00000000-0005-0000-0000-00002F770000}"/>
    <cellStyle name="Normal 3 5 6 2 14 2" xfId="34634" xr:uid="{00000000-0005-0000-0000-000030770000}"/>
    <cellStyle name="Normal 3 5 6 2 15" xfId="34629" xr:uid="{00000000-0005-0000-0000-000031770000}"/>
    <cellStyle name="Normal 3 5 6 2 2" xfId="17175" xr:uid="{00000000-0005-0000-0000-000032770000}"/>
    <cellStyle name="Normal 3 5 6 2 2 2" xfId="34635" xr:uid="{00000000-0005-0000-0000-000033770000}"/>
    <cellStyle name="Normal 3 5 6 2 3" xfId="17176" xr:uid="{00000000-0005-0000-0000-000034770000}"/>
    <cellStyle name="Normal 3 5 6 2 3 2" xfId="34636" xr:uid="{00000000-0005-0000-0000-000035770000}"/>
    <cellStyle name="Normal 3 5 6 2 4" xfId="17177" xr:uid="{00000000-0005-0000-0000-000036770000}"/>
    <cellStyle name="Normal 3 5 6 2 4 2" xfId="34637" xr:uid="{00000000-0005-0000-0000-000037770000}"/>
    <cellStyle name="Normal 3 5 6 2 5" xfId="17178" xr:uid="{00000000-0005-0000-0000-000038770000}"/>
    <cellStyle name="Normal 3 5 6 2 5 2" xfId="34638" xr:uid="{00000000-0005-0000-0000-000039770000}"/>
    <cellStyle name="Normal 3 5 6 2 6" xfId="17179" xr:uid="{00000000-0005-0000-0000-00003A770000}"/>
    <cellStyle name="Normal 3 5 6 2 6 2" xfId="34639" xr:uid="{00000000-0005-0000-0000-00003B770000}"/>
    <cellStyle name="Normal 3 5 6 2 7" xfId="17180" xr:uid="{00000000-0005-0000-0000-00003C770000}"/>
    <cellStyle name="Normal 3 5 6 2 7 2" xfId="34640" xr:uid="{00000000-0005-0000-0000-00003D770000}"/>
    <cellStyle name="Normal 3 5 6 2 8" xfId="17181" xr:uid="{00000000-0005-0000-0000-00003E770000}"/>
    <cellStyle name="Normal 3 5 6 2 8 2" xfId="34641" xr:uid="{00000000-0005-0000-0000-00003F770000}"/>
    <cellStyle name="Normal 3 5 6 2 9" xfId="17182" xr:uid="{00000000-0005-0000-0000-000040770000}"/>
    <cellStyle name="Normal 3 5 6 2 9 2" xfId="34642" xr:uid="{00000000-0005-0000-0000-000041770000}"/>
    <cellStyle name="Normal 3 5 6 3" xfId="17183" xr:uid="{00000000-0005-0000-0000-000042770000}"/>
    <cellStyle name="Normal 3 5 6 3 2" xfId="34643" xr:uid="{00000000-0005-0000-0000-000043770000}"/>
    <cellStyle name="Normal 3 5 6 4" xfId="17184" xr:uid="{00000000-0005-0000-0000-000044770000}"/>
    <cellStyle name="Normal 3 5 6 4 2" xfId="34644" xr:uid="{00000000-0005-0000-0000-000045770000}"/>
    <cellStyle name="Normal 3 5 6 5" xfId="17185" xr:uid="{00000000-0005-0000-0000-000046770000}"/>
    <cellStyle name="Normal 3 5 6 5 2" xfId="34645" xr:uid="{00000000-0005-0000-0000-000047770000}"/>
    <cellStyle name="Normal 3 5 6 6" xfId="17186" xr:uid="{00000000-0005-0000-0000-000048770000}"/>
    <cellStyle name="Normal 3 5 6 6 2" xfId="34646" xr:uid="{00000000-0005-0000-0000-000049770000}"/>
    <cellStyle name="Normal 3 5 6 7" xfId="17187" xr:uid="{00000000-0005-0000-0000-00004A770000}"/>
    <cellStyle name="Normal 3 5 6 7 2" xfId="34647" xr:uid="{00000000-0005-0000-0000-00004B770000}"/>
    <cellStyle name="Normal 3 5 6 8" xfId="17188" xr:uid="{00000000-0005-0000-0000-00004C770000}"/>
    <cellStyle name="Normal 3 5 6 8 2" xfId="34648" xr:uid="{00000000-0005-0000-0000-00004D770000}"/>
    <cellStyle name="Normal 3 5 6 9" xfId="17189" xr:uid="{00000000-0005-0000-0000-00004E770000}"/>
    <cellStyle name="Normal 3 5 6 9 2" xfId="34649" xr:uid="{00000000-0005-0000-0000-00004F770000}"/>
    <cellStyle name="Normal 3 5 7" xfId="17190" xr:uid="{00000000-0005-0000-0000-000050770000}"/>
    <cellStyle name="Normal 3 5 7 10" xfId="17191" xr:uid="{00000000-0005-0000-0000-000051770000}"/>
    <cellStyle name="Normal 3 5 7 10 2" xfId="34651" xr:uid="{00000000-0005-0000-0000-000052770000}"/>
    <cellStyle name="Normal 3 5 7 11" xfId="17192" xr:uid="{00000000-0005-0000-0000-000053770000}"/>
    <cellStyle name="Normal 3 5 7 11 2" xfId="34652" xr:uid="{00000000-0005-0000-0000-000054770000}"/>
    <cellStyle name="Normal 3 5 7 12" xfId="17193" xr:uid="{00000000-0005-0000-0000-000055770000}"/>
    <cellStyle name="Normal 3 5 7 12 2" xfId="34653" xr:uid="{00000000-0005-0000-0000-000056770000}"/>
    <cellStyle name="Normal 3 5 7 13" xfId="17194" xr:uid="{00000000-0005-0000-0000-000057770000}"/>
    <cellStyle name="Normal 3 5 7 13 2" xfId="34654" xr:uid="{00000000-0005-0000-0000-000058770000}"/>
    <cellStyle name="Normal 3 5 7 14" xfId="17195" xr:uid="{00000000-0005-0000-0000-000059770000}"/>
    <cellStyle name="Normal 3 5 7 14 2" xfId="34655" xr:uid="{00000000-0005-0000-0000-00005A770000}"/>
    <cellStyle name="Normal 3 5 7 15" xfId="17196" xr:uid="{00000000-0005-0000-0000-00005B770000}"/>
    <cellStyle name="Normal 3 5 7 15 2" xfId="34656" xr:uid="{00000000-0005-0000-0000-00005C770000}"/>
    <cellStyle name="Normal 3 5 7 16" xfId="34650" xr:uid="{00000000-0005-0000-0000-00005D770000}"/>
    <cellStyle name="Normal 3 5 7 2" xfId="17197" xr:uid="{00000000-0005-0000-0000-00005E770000}"/>
    <cellStyle name="Normal 3 5 7 2 10" xfId="17198" xr:uid="{00000000-0005-0000-0000-00005F770000}"/>
    <cellStyle name="Normal 3 5 7 2 10 2" xfId="34658" xr:uid="{00000000-0005-0000-0000-000060770000}"/>
    <cellStyle name="Normal 3 5 7 2 11" xfId="17199" xr:uid="{00000000-0005-0000-0000-000061770000}"/>
    <cellStyle name="Normal 3 5 7 2 11 2" xfId="34659" xr:uid="{00000000-0005-0000-0000-000062770000}"/>
    <cellStyle name="Normal 3 5 7 2 12" xfId="17200" xr:uid="{00000000-0005-0000-0000-000063770000}"/>
    <cellStyle name="Normal 3 5 7 2 12 2" xfId="34660" xr:uid="{00000000-0005-0000-0000-000064770000}"/>
    <cellStyle name="Normal 3 5 7 2 13" xfId="17201" xr:uid="{00000000-0005-0000-0000-000065770000}"/>
    <cellStyle name="Normal 3 5 7 2 13 2" xfId="34661" xr:uid="{00000000-0005-0000-0000-000066770000}"/>
    <cellStyle name="Normal 3 5 7 2 14" xfId="17202" xr:uid="{00000000-0005-0000-0000-000067770000}"/>
    <cellStyle name="Normal 3 5 7 2 14 2" xfId="34662" xr:uid="{00000000-0005-0000-0000-000068770000}"/>
    <cellStyle name="Normal 3 5 7 2 15" xfId="34657" xr:uid="{00000000-0005-0000-0000-000069770000}"/>
    <cellStyle name="Normal 3 5 7 2 2" xfId="17203" xr:uid="{00000000-0005-0000-0000-00006A770000}"/>
    <cellStyle name="Normal 3 5 7 2 2 2" xfId="34663" xr:uid="{00000000-0005-0000-0000-00006B770000}"/>
    <cellStyle name="Normal 3 5 7 2 3" xfId="17204" xr:uid="{00000000-0005-0000-0000-00006C770000}"/>
    <cellStyle name="Normal 3 5 7 2 3 2" xfId="34664" xr:uid="{00000000-0005-0000-0000-00006D770000}"/>
    <cellStyle name="Normal 3 5 7 2 4" xfId="17205" xr:uid="{00000000-0005-0000-0000-00006E770000}"/>
    <cellStyle name="Normal 3 5 7 2 4 2" xfId="34665" xr:uid="{00000000-0005-0000-0000-00006F770000}"/>
    <cellStyle name="Normal 3 5 7 2 5" xfId="17206" xr:uid="{00000000-0005-0000-0000-000070770000}"/>
    <cellStyle name="Normal 3 5 7 2 5 2" xfId="34666" xr:uid="{00000000-0005-0000-0000-000071770000}"/>
    <cellStyle name="Normal 3 5 7 2 6" xfId="17207" xr:uid="{00000000-0005-0000-0000-000072770000}"/>
    <cellStyle name="Normal 3 5 7 2 6 2" xfId="34667" xr:uid="{00000000-0005-0000-0000-000073770000}"/>
    <cellStyle name="Normal 3 5 7 2 7" xfId="17208" xr:uid="{00000000-0005-0000-0000-000074770000}"/>
    <cellStyle name="Normal 3 5 7 2 7 2" xfId="34668" xr:uid="{00000000-0005-0000-0000-000075770000}"/>
    <cellStyle name="Normal 3 5 7 2 8" xfId="17209" xr:uid="{00000000-0005-0000-0000-000076770000}"/>
    <cellStyle name="Normal 3 5 7 2 8 2" xfId="34669" xr:uid="{00000000-0005-0000-0000-000077770000}"/>
    <cellStyle name="Normal 3 5 7 2 9" xfId="17210" xr:uid="{00000000-0005-0000-0000-000078770000}"/>
    <cellStyle name="Normal 3 5 7 2 9 2" xfId="34670" xr:uid="{00000000-0005-0000-0000-000079770000}"/>
    <cellStyle name="Normal 3 5 7 3" xfId="17211" xr:uid="{00000000-0005-0000-0000-00007A770000}"/>
    <cellStyle name="Normal 3 5 7 3 2" xfId="34671" xr:uid="{00000000-0005-0000-0000-00007B770000}"/>
    <cellStyle name="Normal 3 5 7 4" xfId="17212" xr:uid="{00000000-0005-0000-0000-00007C770000}"/>
    <cellStyle name="Normal 3 5 7 4 2" xfId="34672" xr:uid="{00000000-0005-0000-0000-00007D770000}"/>
    <cellStyle name="Normal 3 5 7 5" xfId="17213" xr:uid="{00000000-0005-0000-0000-00007E770000}"/>
    <cellStyle name="Normal 3 5 7 5 2" xfId="34673" xr:uid="{00000000-0005-0000-0000-00007F770000}"/>
    <cellStyle name="Normal 3 5 7 6" xfId="17214" xr:uid="{00000000-0005-0000-0000-000080770000}"/>
    <cellStyle name="Normal 3 5 7 6 2" xfId="34674" xr:uid="{00000000-0005-0000-0000-000081770000}"/>
    <cellStyle name="Normal 3 5 7 7" xfId="17215" xr:uid="{00000000-0005-0000-0000-000082770000}"/>
    <cellStyle name="Normal 3 5 7 7 2" xfId="34675" xr:uid="{00000000-0005-0000-0000-000083770000}"/>
    <cellStyle name="Normal 3 5 7 8" xfId="17216" xr:uid="{00000000-0005-0000-0000-000084770000}"/>
    <cellStyle name="Normal 3 5 7 8 2" xfId="34676" xr:uid="{00000000-0005-0000-0000-000085770000}"/>
    <cellStyle name="Normal 3 5 7 9" xfId="17217" xr:uid="{00000000-0005-0000-0000-000086770000}"/>
    <cellStyle name="Normal 3 5 7 9 2" xfId="34677" xr:uid="{00000000-0005-0000-0000-000087770000}"/>
    <cellStyle name="Normal 3 5 8" xfId="17218" xr:uid="{00000000-0005-0000-0000-000088770000}"/>
    <cellStyle name="Normal 3 5 8 10" xfId="17219" xr:uid="{00000000-0005-0000-0000-000089770000}"/>
    <cellStyle name="Normal 3 5 8 10 2" xfId="34679" xr:uid="{00000000-0005-0000-0000-00008A770000}"/>
    <cellStyle name="Normal 3 5 8 11" xfId="17220" xr:uid="{00000000-0005-0000-0000-00008B770000}"/>
    <cellStyle name="Normal 3 5 8 11 2" xfId="34680" xr:uid="{00000000-0005-0000-0000-00008C770000}"/>
    <cellStyle name="Normal 3 5 8 12" xfId="17221" xr:uid="{00000000-0005-0000-0000-00008D770000}"/>
    <cellStyle name="Normal 3 5 8 12 2" xfId="34681" xr:uid="{00000000-0005-0000-0000-00008E770000}"/>
    <cellStyle name="Normal 3 5 8 13" xfId="17222" xr:uid="{00000000-0005-0000-0000-00008F770000}"/>
    <cellStyle name="Normal 3 5 8 13 2" xfId="34682" xr:uid="{00000000-0005-0000-0000-000090770000}"/>
    <cellStyle name="Normal 3 5 8 14" xfId="17223" xr:uid="{00000000-0005-0000-0000-000091770000}"/>
    <cellStyle name="Normal 3 5 8 14 2" xfId="34683" xr:uid="{00000000-0005-0000-0000-000092770000}"/>
    <cellStyle name="Normal 3 5 8 15" xfId="17224" xr:uid="{00000000-0005-0000-0000-000093770000}"/>
    <cellStyle name="Normal 3 5 8 15 2" xfId="34684" xr:uid="{00000000-0005-0000-0000-000094770000}"/>
    <cellStyle name="Normal 3 5 8 16" xfId="34678" xr:uid="{00000000-0005-0000-0000-000095770000}"/>
    <cellStyle name="Normal 3 5 8 2" xfId="17225" xr:uid="{00000000-0005-0000-0000-000096770000}"/>
    <cellStyle name="Normal 3 5 8 2 10" xfId="17226" xr:uid="{00000000-0005-0000-0000-000097770000}"/>
    <cellStyle name="Normal 3 5 8 2 10 2" xfId="34686" xr:uid="{00000000-0005-0000-0000-000098770000}"/>
    <cellStyle name="Normal 3 5 8 2 11" xfId="17227" xr:uid="{00000000-0005-0000-0000-000099770000}"/>
    <cellStyle name="Normal 3 5 8 2 11 2" xfId="34687" xr:uid="{00000000-0005-0000-0000-00009A770000}"/>
    <cellStyle name="Normal 3 5 8 2 12" xfId="17228" xr:uid="{00000000-0005-0000-0000-00009B770000}"/>
    <cellStyle name="Normal 3 5 8 2 12 2" xfId="34688" xr:uid="{00000000-0005-0000-0000-00009C770000}"/>
    <cellStyle name="Normal 3 5 8 2 13" xfId="17229" xr:uid="{00000000-0005-0000-0000-00009D770000}"/>
    <cellStyle name="Normal 3 5 8 2 13 2" xfId="34689" xr:uid="{00000000-0005-0000-0000-00009E770000}"/>
    <cellStyle name="Normal 3 5 8 2 14" xfId="17230" xr:uid="{00000000-0005-0000-0000-00009F770000}"/>
    <cellStyle name="Normal 3 5 8 2 14 2" xfId="34690" xr:uid="{00000000-0005-0000-0000-0000A0770000}"/>
    <cellStyle name="Normal 3 5 8 2 15" xfId="34685" xr:uid="{00000000-0005-0000-0000-0000A1770000}"/>
    <cellStyle name="Normal 3 5 8 2 2" xfId="17231" xr:uid="{00000000-0005-0000-0000-0000A2770000}"/>
    <cellStyle name="Normal 3 5 8 2 2 2" xfId="34691" xr:uid="{00000000-0005-0000-0000-0000A3770000}"/>
    <cellStyle name="Normal 3 5 8 2 3" xfId="17232" xr:uid="{00000000-0005-0000-0000-0000A4770000}"/>
    <cellStyle name="Normal 3 5 8 2 3 2" xfId="34692" xr:uid="{00000000-0005-0000-0000-0000A5770000}"/>
    <cellStyle name="Normal 3 5 8 2 4" xfId="17233" xr:uid="{00000000-0005-0000-0000-0000A6770000}"/>
    <cellStyle name="Normal 3 5 8 2 4 2" xfId="34693" xr:uid="{00000000-0005-0000-0000-0000A7770000}"/>
    <cellStyle name="Normal 3 5 8 2 5" xfId="17234" xr:uid="{00000000-0005-0000-0000-0000A8770000}"/>
    <cellStyle name="Normal 3 5 8 2 5 2" xfId="34694" xr:uid="{00000000-0005-0000-0000-0000A9770000}"/>
    <cellStyle name="Normal 3 5 8 2 6" xfId="17235" xr:uid="{00000000-0005-0000-0000-0000AA770000}"/>
    <cellStyle name="Normal 3 5 8 2 6 2" xfId="34695" xr:uid="{00000000-0005-0000-0000-0000AB770000}"/>
    <cellStyle name="Normal 3 5 8 2 7" xfId="17236" xr:uid="{00000000-0005-0000-0000-0000AC770000}"/>
    <cellStyle name="Normal 3 5 8 2 7 2" xfId="34696" xr:uid="{00000000-0005-0000-0000-0000AD770000}"/>
    <cellStyle name="Normal 3 5 8 2 8" xfId="17237" xr:uid="{00000000-0005-0000-0000-0000AE770000}"/>
    <cellStyle name="Normal 3 5 8 2 8 2" xfId="34697" xr:uid="{00000000-0005-0000-0000-0000AF770000}"/>
    <cellStyle name="Normal 3 5 8 2 9" xfId="17238" xr:uid="{00000000-0005-0000-0000-0000B0770000}"/>
    <cellStyle name="Normal 3 5 8 2 9 2" xfId="34698" xr:uid="{00000000-0005-0000-0000-0000B1770000}"/>
    <cellStyle name="Normal 3 5 8 3" xfId="17239" xr:uid="{00000000-0005-0000-0000-0000B2770000}"/>
    <cellStyle name="Normal 3 5 8 3 2" xfId="34699" xr:uid="{00000000-0005-0000-0000-0000B3770000}"/>
    <cellStyle name="Normal 3 5 8 4" xfId="17240" xr:uid="{00000000-0005-0000-0000-0000B4770000}"/>
    <cellStyle name="Normal 3 5 8 4 2" xfId="34700" xr:uid="{00000000-0005-0000-0000-0000B5770000}"/>
    <cellStyle name="Normal 3 5 8 5" xfId="17241" xr:uid="{00000000-0005-0000-0000-0000B6770000}"/>
    <cellStyle name="Normal 3 5 8 5 2" xfId="34701" xr:uid="{00000000-0005-0000-0000-0000B7770000}"/>
    <cellStyle name="Normal 3 5 8 6" xfId="17242" xr:uid="{00000000-0005-0000-0000-0000B8770000}"/>
    <cellStyle name="Normal 3 5 8 6 2" xfId="34702" xr:uid="{00000000-0005-0000-0000-0000B9770000}"/>
    <cellStyle name="Normal 3 5 8 7" xfId="17243" xr:uid="{00000000-0005-0000-0000-0000BA770000}"/>
    <cellStyle name="Normal 3 5 8 7 2" xfId="34703" xr:uid="{00000000-0005-0000-0000-0000BB770000}"/>
    <cellStyle name="Normal 3 5 8 8" xfId="17244" xr:uid="{00000000-0005-0000-0000-0000BC770000}"/>
    <cellStyle name="Normal 3 5 8 8 2" xfId="34704" xr:uid="{00000000-0005-0000-0000-0000BD770000}"/>
    <cellStyle name="Normal 3 5 8 9" xfId="17245" xr:uid="{00000000-0005-0000-0000-0000BE770000}"/>
    <cellStyle name="Normal 3 5 8 9 2" xfId="34705" xr:uid="{00000000-0005-0000-0000-0000BF770000}"/>
    <cellStyle name="Normal 3 5 9" xfId="17246" xr:uid="{00000000-0005-0000-0000-0000C0770000}"/>
    <cellStyle name="Normal 3 5 9 10" xfId="17247" xr:uid="{00000000-0005-0000-0000-0000C1770000}"/>
    <cellStyle name="Normal 3 5 9 10 2" xfId="34707" xr:uid="{00000000-0005-0000-0000-0000C2770000}"/>
    <cellStyle name="Normal 3 5 9 11" xfId="17248" xr:uid="{00000000-0005-0000-0000-0000C3770000}"/>
    <cellStyle name="Normal 3 5 9 11 2" xfId="34708" xr:uid="{00000000-0005-0000-0000-0000C4770000}"/>
    <cellStyle name="Normal 3 5 9 12" xfId="17249" xr:uid="{00000000-0005-0000-0000-0000C5770000}"/>
    <cellStyle name="Normal 3 5 9 12 2" xfId="34709" xr:uid="{00000000-0005-0000-0000-0000C6770000}"/>
    <cellStyle name="Normal 3 5 9 13" xfId="17250" xr:uid="{00000000-0005-0000-0000-0000C7770000}"/>
    <cellStyle name="Normal 3 5 9 13 2" xfId="34710" xr:uid="{00000000-0005-0000-0000-0000C8770000}"/>
    <cellStyle name="Normal 3 5 9 14" xfId="17251" xr:uid="{00000000-0005-0000-0000-0000C9770000}"/>
    <cellStyle name="Normal 3 5 9 14 2" xfId="34711" xr:uid="{00000000-0005-0000-0000-0000CA770000}"/>
    <cellStyle name="Normal 3 5 9 15" xfId="34706" xr:uid="{00000000-0005-0000-0000-0000CB770000}"/>
    <cellStyle name="Normal 3 5 9 2" xfId="17252" xr:uid="{00000000-0005-0000-0000-0000CC770000}"/>
    <cellStyle name="Normal 3 5 9 2 2" xfId="34712" xr:uid="{00000000-0005-0000-0000-0000CD770000}"/>
    <cellStyle name="Normal 3 5 9 3" xfId="17253" xr:uid="{00000000-0005-0000-0000-0000CE770000}"/>
    <cellStyle name="Normal 3 5 9 3 2" xfId="34713" xr:uid="{00000000-0005-0000-0000-0000CF770000}"/>
    <cellStyle name="Normal 3 5 9 4" xfId="17254" xr:uid="{00000000-0005-0000-0000-0000D0770000}"/>
    <cellStyle name="Normal 3 5 9 4 2" xfId="34714" xr:uid="{00000000-0005-0000-0000-0000D1770000}"/>
    <cellStyle name="Normal 3 5 9 5" xfId="17255" xr:uid="{00000000-0005-0000-0000-0000D2770000}"/>
    <cellStyle name="Normal 3 5 9 5 2" xfId="34715" xr:uid="{00000000-0005-0000-0000-0000D3770000}"/>
    <cellStyle name="Normal 3 5 9 6" xfId="17256" xr:uid="{00000000-0005-0000-0000-0000D4770000}"/>
    <cellStyle name="Normal 3 5 9 6 2" xfId="34716" xr:uid="{00000000-0005-0000-0000-0000D5770000}"/>
    <cellStyle name="Normal 3 5 9 7" xfId="17257" xr:uid="{00000000-0005-0000-0000-0000D6770000}"/>
    <cellStyle name="Normal 3 5 9 7 2" xfId="34717" xr:uid="{00000000-0005-0000-0000-0000D7770000}"/>
    <cellStyle name="Normal 3 5 9 8" xfId="17258" xr:uid="{00000000-0005-0000-0000-0000D8770000}"/>
    <cellStyle name="Normal 3 5 9 8 2" xfId="34718" xr:uid="{00000000-0005-0000-0000-0000D9770000}"/>
    <cellStyle name="Normal 3 5 9 9" xfId="17259" xr:uid="{00000000-0005-0000-0000-0000DA770000}"/>
    <cellStyle name="Normal 3 5 9 9 2" xfId="34719" xr:uid="{00000000-0005-0000-0000-0000DB770000}"/>
    <cellStyle name="Normal 3 50" xfId="17260" xr:uid="{00000000-0005-0000-0000-0000DC770000}"/>
    <cellStyle name="Normal 3 50 2" xfId="34720" xr:uid="{00000000-0005-0000-0000-0000DD770000}"/>
    <cellStyle name="Normal 3 51" xfId="17261" xr:uid="{00000000-0005-0000-0000-0000DE770000}"/>
    <cellStyle name="Normal 3 51 2" xfId="34721" xr:uid="{00000000-0005-0000-0000-0000DF770000}"/>
    <cellStyle name="Normal 3 52" xfId="17262" xr:uid="{00000000-0005-0000-0000-0000E0770000}"/>
    <cellStyle name="Normal 3 52 2" xfId="34722" xr:uid="{00000000-0005-0000-0000-0000E1770000}"/>
    <cellStyle name="Normal 3 53" xfId="17263" xr:uid="{00000000-0005-0000-0000-0000E2770000}"/>
    <cellStyle name="Normal 3 53 2" xfId="34723" xr:uid="{00000000-0005-0000-0000-0000E3770000}"/>
    <cellStyle name="Normal 3 54" xfId="17264" xr:uid="{00000000-0005-0000-0000-0000E4770000}"/>
    <cellStyle name="Normal 3 54 2" xfId="37603" xr:uid="{00000000-0005-0000-0000-0000E5770000}"/>
    <cellStyle name="Normal 3 55" xfId="37666" xr:uid="{00000000-0005-0000-0000-0000E6770000}"/>
    <cellStyle name="Normal 3 56" xfId="21156" xr:uid="{00000000-0005-0000-0000-0000E7770000}"/>
    <cellStyle name="Normal 3 6" xfId="17265" xr:uid="{00000000-0005-0000-0000-0000E8770000}"/>
    <cellStyle name="Normal 3 6 10" xfId="17266" xr:uid="{00000000-0005-0000-0000-0000E9770000}"/>
    <cellStyle name="Normal 3 6 11" xfId="17267" xr:uid="{00000000-0005-0000-0000-0000EA770000}"/>
    <cellStyle name="Normal 3 6 11 10" xfId="17268" xr:uid="{00000000-0005-0000-0000-0000EB770000}"/>
    <cellStyle name="Normal 3 6 11 10 2" xfId="34725" xr:uid="{00000000-0005-0000-0000-0000EC770000}"/>
    <cellStyle name="Normal 3 6 11 11" xfId="17269" xr:uid="{00000000-0005-0000-0000-0000ED770000}"/>
    <cellStyle name="Normal 3 6 11 11 2" xfId="34726" xr:uid="{00000000-0005-0000-0000-0000EE770000}"/>
    <cellStyle name="Normal 3 6 11 12" xfId="17270" xr:uid="{00000000-0005-0000-0000-0000EF770000}"/>
    <cellStyle name="Normal 3 6 11 12 2" xfId="34727" xr:uid="{00000000-0005-0000-0000-0000F0770000}"/>
    <cellStyle name="Normal 3 6 11 13" xfId="17271" xr:uid="{00000000-0005-0000-0000-0000F1770000}"/>
    <cellStyle name="Normal 3 6 11 13 2" xfId="34728" xr:uid="{00000000-0005-0000-0000-0000F2770000}"/>
    <cellStyle name="Normal 3 6 11 14" xfId="17272" xr:uid="{00000000-0005-0000-0000-0000F3770000}"/>
    <cellStyle name="Normal 3 6 11 14 2" xfId="34729" xr:uid="{00000000-0005-0000-0000-0000F4770000}"/>
    <cellStyle name="Normal 3 6 11 15" xfId="17273" xr:uid="{00000000-0005-0000-0000-0000F5770000}"/>
    <cellStyle name="Normal 3 6 11 15 2" xfId="34730" xr:uid="{00000000-0005-0000-0000-0000F6770000}"/>
    <cellStyle name="Normal 3 6 11 16" xfId="17274" xr:uid="{00000000-0005-0000-0000-0000F7770000}"/>
    <cellStyle name="Normal 3 6 11 16 2" xfId="34731" xr:uid="{00000000-0005-0000-0000-0000F8770000}"/>
    <cellStyle name="Normal 3 6 11 17" xfId="17275" xr:uid="{00000000-0005-0000-0000-0000F9770000}"/>
    <cellStyle name="Normal 3 6 11 17 2" xfId="34732" xr:uid="{00000000-0005-0000-0000-0000FA770000}"/>
    <cellStyle name="Normal 3 6 11 18" xfId="34724" xr:uid="{00000000-0005-0000-0000-0000FB770000}"/>
    <cellStyle name="Normal 3 6 11 2" xfId="17276" xr:uid="{00000000-0005-0000-0000-0000FC770000}"/>
    <cellStyle name="Normal 3 6 11 3" xfId="17277" xr:uid="{00000000-0005-0000-0000-0000FD770000}"/>
    <cellStyle name="Normal 3 6 11 4" xfId="17278" xr:uid="{00000000-0005-0000-0000-0000FE770000}"/>
    <cellStyle name="Normal 3 6 11 5" xfId="17279" xr:uid="{00000000-0005-0000-0000-0000FF770000}"/>
    <cellStyle name="Normal 3 6 11 5 2" xfId="34733" xr:uid="{00000000-0005-0000-0000-000000780000}"/>
    <cellStyle name="Normal 3 6 11 6" xfId="17280" xr:uid="{00000000-0005-0000-0000-000001780000}"/>
    <cellStyle name="Normal 3 6 11 6 2" xfId="34734" xr:uid="{00000000-0005-0000-0000-000002780000}"/>
    <cellStyle name="Normal 3 6 11 7" xfId="17281" xr:uid="{00000000-0005-0000-0000-000003780000}"/>
    <cellStyle name="Normal 3 6 11 7 2" xfId="34735" xr:uid="{00000000-0005-0000-0000-000004780000}"/>
    <cellStyle name="Normal 3 6 11 8" xfId="17282" xr:uid="{00000000-0005-0000-0000-000005780000}"/>
    <cellStyle name="Normal 3 6 11 8 2" xfId="34736" xr:uid="{00000000-0005-0000-0000-000006780000}"/>
    <cellStyle name="Normal 3 6 11 9" xfId="17283" xr:uid="{00000000-0005-0000-0000-000007780000}"/>
    <cellStyle name="Normal 3 6 11 9 2" xfId="34737" xr:uid="{00000000-0005-0000-0000-000008780000}"/>
    <cellStyle name="Normal 3 6 12" xfId="17284" xr:uid="{00000000-0005-0000-0000-000009780000}"/>
    <cellStyle name="Normal 3 6 13" xfId="17285" xr:uid="{00000000-0005-0000-0000-00000A780000}"/>
    <cellStyle name="Normal 3 6 14" xfId="17286" xr:uid="{00000000-0005-0000-0000-00000B780000}"/>
    <cellStyle name="Normal 3 6 14 10" xfId="17287" xr:uid="{00000000-0005-0000-0000-00000C780000}"/>
    <cellStyle name="Normal 3 6 14 10 2" xfId="34739" xr:uid="{00000000-0005-0000-0000-00000D780000}"/>
    <cellStyle name="Normal 3 6 14 11" xfId="17288" xr:uid="{00000000-0005-0000-0000-00000E780000}"/>
    <cellStyle name="Normal 3 6 14 11 2" xfId="34740" xr:uid="{00000000-0005-0000-0000-00000F780000}"/>
    <cellStyle name="Normal 3 6 14 12" xfId="17289" xr:uid="{00000000-0005-0000-0000-000010780000}"/>
    <cellStyle name="Normal 3 6 14 12 2" xfId="34741" xr:uid="{00000000-0005-0000-0000-000011780000}"/>
    <cellStyle name="Normal 3 6 14 13" xfId="17290" xr:uid="{00000000-0005-0000-0000-000012780000}"/>
    <cellStyle name="Normal 3 6 14 13 2" xfId="34742" xr:uid="{00000000-0005-0000-0000-000013780000}"/>
    <cellStyle name="Normal 3 6 14 14" xfId="17291" xr:uid="{00000000-0005-0000-0000-000014780000}"/>
    <cellStyle name="Normal 3 6 14 14 2" xfId="34743" xr:uid="{00000000-0005-0000-0000-000015780000}"/>
    <cellStyle name="Normal 3 6 14 15" xfId="17292" xr:uid="{00000000-0005-0000-0000-000016780000}"/>
    <cellStyle name="Normal 3 6 14 15 2" xfId="34744" xr:uid="{00000000-0005-0000-0000-000017780000}"/>
    <cellStyle name="Normal 3 6 14 16" xfId="34738" xr:uid="{00000000-0005-0000-0000-000018780000}"/>
    <cellStyle name="Normal 3 6 14 2" xfId="17293" xr:uid="{00000000-0005-0000-0000-000019780000}"/>
    <cellStyle name="Normal 3 6 14 2 10" xfId="17294" xr:uid="{00000000-0005-0000-0000-00001A780000}"/>
    <cellStyle name="Normal 3 6 14 2 10 2" xfId="34746" xr:uid="{00000000-0005-0000-0000-00001B780000}"/>
    <cellStyle name="Normal 3 6 14 2 11" xfId="17295" xr:uid="{00000000-0005-0000-0000-00001C780000}"/>
    <cellStyle name="Normal 3 6 14 2 11 2" xfId="34747" xr:uid="{00000000-0005-0000-0000-00001D780000}"/>
    <cellStyle name="Normal 3 6 14 2 12" xfId="17296" xr:uid="{00000000-0005-0000-0000-00001E780000}"/>
    <cellStyle name="Normal 3 6 14 2 12 2" xfId="34748" xr:uid="{00000000-0005-0000-0000-00001F780000}"/>
    <cellStyle name="Normal 3 6 14 2 13" xfId="17297" xr:uid="{00000000-0005-0000-0000-000020780000}"/>
    <cellStyle name="Normal 3 6 14 2 13 2" xfId="34749" xr:uid="{00000000-0005-0000-0000-000021780000}"/>
    <cellStyle name="Normal 3 6 14 2 14" xfId="17298" xr:uid="{00000000-0005-0000-0000-000022780000}"/>
    <cellStyle name="Normal 3 6 14 2 14 2" xfId="34750" xr:uid="{00000000-0005-0000-0000-000023780000}"/>
    <cellStyle name="Normal 3 6 14 2 15" xfId="34745" xr:uid="{00000000-0005-0000-0000-000024780000}"/>
    <cellStyle name="Normal 3 6 14 2 2" xfId="17299" xr:uid="{00000000-0005-0000-0000-000025780000}"/>
    <cellStyle name="Normal 3 6 14 2 2 2" xfId="34751" xr:uid="{00000000-0005-0000-0000-000026780000}"/>
    <cellStyle name="Normal 3 6 14 2 3" xfId="17300" xr:uid="{00000000-0005-0000-0000-000027780000}"/>
    <cellStyle name="Normal 3 6 14 2 3 2" xfId="34752" xr:uid="{00000000-0005-0000-0000-000028780000}"/>
    <cellStyle name="Normal 3 6 14 2 4" xfId="17301" xr:uid="{00000000-0005-0000-0000-000029780000}"/>
    <cellStyle name="Normal 3 6 14 2 4 2" xfId="34753" xr:uid="{00000000-0005-0000-0000-00002A780000}"/>
    <cellStyle name="Normal 3 6 14 2 5" xfId="17302" xr:uid="{00000000-0005-0000-0000-00002B780000}"/>
    <cellStyle name="Normal 3 6 14 2 5 2" xfId="34754" xr:uid="{00000000-0005-0000-0000-00002C780000}"/>
    <cellStyle name="Normal 3 6 14 2 6" xfId="17303" xr:uid="{00000000-0005-0000-0000-00002D780000}"/>
    <cellStyle name="Normal 3 6 14 2 6 2" xfId="34755" xr:uid="{00000000-0005-0000-0000-00002E780000}"/>
    <cellStyle name="Normal 3 6 14 2 7" xfId="17304" xr:uid="{00000000-0005-0000-0000-00002F780000}"/>
    <cellStyle name="Normal 3 6 14 2 7 2" xfId="34756" xr:uid="{00000000-0005-0000-0000-000030780000}"/>
    <cellStyle name="Normal 3 6 14 2 8" xfId="17305" xr:uid="{00000000-0005-0000-0000-000031780000}"/>
    <cellStyle name="Normal 3 6 14 2 8 2" xfId="34757" xr:uid="{00000000-0005-0000-0000-000032780000}"/>
    <cellStyle name="Normal 3 6 14 2 9" xfId="17306" xr:uid="{00000000-0005-0000-0000-000033780000}"/>
    <cellStyle name="Normal 3 6 14 2 9 2" xfId="34758" xr:uid="{00000000-0005-0000-0000-000034780000}"/>
    <cellStyle name="Normal 3 6 14 3" xfId="17307" xr:uid="{00000000-0005-0000-0000-000035780000}"/>
    <cellStyle name="Normal 3 6 14 3 2" xfId="34759" xr:uid="{00000000-0005-0000-0000-000036780000}"/>
    <cellStyle name="Normal 3 6 14 4" xfId="17308" xr:uid="{00000000-0005-0000-0000-000037780000}"/>
    <cellStyle name="Normal 3 6 14 4 2" xfId="34760" xr:uid="{00000000-0005-0000-0000-000038780000}"/>
    <cellStyle name="Normal 3 6 14 5" xfId="17309" xr:uid="{00000000-0005-0000-0000-000039780000}"/>
    <cellStyle name="Normal 3 6 14 5 2" xfId="34761" xr:uid="{00000000-0005-0000-0000-00003A780000}"/>
    <cellStyle name="Normal 3 6 14 6" xfId="17310" xr:uid="{00000000-0005-0000-0000-00003B780000}"/>
    <cellStyle name="Normal 3 6 14 6 2" xfId="34762" xr:uid="{00000000-0005-0000-0000-00003C780000}"/>
    <cellStyle name="Normal 3 6 14 7" xfId="17311" xr:uid="{00000000-0005-0000-0000-00003D780000}"/>
    <cellStyle name="Normal 3 6 14 7 2" xfId="34763" xr:uid="{00000000-0005-0000-0000-00003E780000}"/>
    <cellStyle name="Normal 3 6 14 8" xfId="17312" xr:uid="{00000000-0005-0000-0000-00003F780000}"/>
    <cellStyle name="Normal 3 6 14 8 2" xfId="34764" xr:uid="{00000000-0005-0000-0000-000040780000}"/>
    <cellStyle name="Normal 3 6 14 9" xfId="17313" xr:uid="{00000000-0005-0000-0000-000041780000}"/>
    <cellStyle name="Normal 3 6 14 9 2" xfId="34765" xr:uid="{00000000-0005-0000-0000-000042780000}"/>
    <cellStyle name="Normal 3 6 15" xfId="17314" xr:uid="{00000000-0005-0000-0000-000043780000}"/>
    <cellStyle name="Normal 3 6 15 10" xfId="17315" xr:uid="{00000000-0005-0000-0000-000044780000}"/>
    <cellStyle name="Normal 3 6 15 10 2" xfId="34767" xr:uid="{00000000-0005-0000-0000-000045780000}"/>
    <cellStyle name="Normal 3 6 15 11" xfId="17316" xr:uid="{00000000-0005-0000-0000-000046780000}"/>
    <cellStyle name="Normal 3 6 15 11 2" xfId="34768" xr:uid="{00000000-0005-0000-0000-000047780000}"/>
    <cellStyle name="Normal 3 6 15 12" xfId="17317" xr:uid="{00000000-0005-0000-0000-000048780000}"/>
    <cellStyle name="Normal 3 6 15 12 2" xfId="34769" xr:uid="{00000000-0005-0000-0000-000049780000}"/>
    <cellStyle name="Normal 3 6 15 13" xfId="17318" xr:uid="{00000000-0005-0000-0000-00004A780000}"/>
    <cellStyle name="Normal 3 6 15 13 2" xfId="34770" xr:uid="{00000000-0005-0000-0000-00004B780000}"/>
    <cellStyle name="Normal 3 6 15 14" xfId="17319" xr:uid="{00000000-0005-0000-0000-00004C780000}"/>
    <cellStyle name="Normal 3 6 15 14 2" xfId="34771" xr:uid="{00000000-0005-0000-0000-00004D780000}"/>
    <cellStyle name="Normal 3 6 15 15" xfId="17320" xr:uid="{00000000-0005-0000-0000-00004E780000}"/>
    <cellStyle name="Normal 3 6 15 15 2" xfId="34772" xr:uid="{00000000-0005-0000-0000-00004F780000}"/>
    <cellStyle name="Normal 3 6 15 16" xfId="34766" xr:uid="{00000000-0005-0000-0000-000050780000}"/>
    <cellStyle name="Normal 3 6 15 2" xfId="17321" xr:uid="{00000000-0005-0000-0000-000051780000}"/>
    <cellStyle name="Normal 3 6 15 2 10" xfId="17322" xr:uid="{00000000-0005-0000-0000-000052780000}"/>
    <cellStyle name="Normal 3 6 15 2 10 2" xfId="34774" xr:uid="{00000000-0005-0000-0000-000053780000}"/>
    <cellStyle name="Normal 3 6 15 2 11" xfId="17323" xr:uid="{00000000-0005-0000-0000-000054780000}"/>
    <cellStyle name="Normal 3 6 15 2 11 2" xfId="34775" xr:uid="{00000000-0005-0000-0000-000055780000}"/>
    <cellStyle name="Normal 3 6 15 2 12" xfId="17324" xr:uid="{00000000-0005-0000-0000-000056780000}"/>
    <cellStyle name="Normal 3 6 15 2 12 2" xfId="34776" xr:uid="{00000000-0005-0000-0000-000057780000}"/>
    <cellStyle name="Normal 3 6 15 2 13" xfId="17325" xr:uid="{00000000-0005-0000-0000-000058780000}"/>
    <cellStyle name="Normal 3 6 15 2 13 2" xfId="34777" xr:uid="{00000000-0005-0000-0000-000059780000}"/>
    <cellStyle name="Normal 3 6 15 2 14" xfId="17326" xr:uid="{00000000-0005-0000-0000-00005A780000}"/>
    <cellStyle name="Normal 3 6 15 2 14 2" xfId="34778" xr:uid="{00000000-0005-0000-0000-00005B780000}"/>
    <cellStyle name="Normal 3 6 15 2 15" xfId="34773" xr:uid="{00000000-0005-0000-0000-00005C780000}"/>
    <cellStyle name="Normal 3 6 15 2 2" xfId="17327" xr:uid="{00000000-0005-0000-0000-00005D780000}"/>
    <cellStyle name="Normal 3 6 15 2 2 2" xfId="34779" xr:uid="{00000000-0005-0000-0000-00005E780000}"/>
    <cellStyle name="Normal 3 6 15 2 3" xfId="17328" xr:uid="{00000000-0005-0000-0000-00005F780000}"/>
    <cellStyle name="Normal 3 6 15 2 3 2" xfId="34780" xr:uid="{00000000-0005-0000-0000-000060780000}"/>
    <cellStyle name="Normal 3 6 15 2 4" xfId="17329" xr:uid="{00000000-0005-0000-0000-000061780000}"/>
    <cellStyle name="Normal 3 6 15 2 4 2" xfId="34781" xr:uid="{00000000-0005-0000-0000-000062780000}"/>
    <cellStyle name="Normal 3 6 15 2 5" xfId="17330" xr:uid="{00000000-0005-0000-0000-000063780000}"/>
    <cellStyle name="Normal 3 6 15 2 5 2" xfId="34782" xr:uid="{00000000-0005-0000-0000-000064780000}"/>
    <cellStyle name="Normal 3 6 15 2 6" xfId="17331" xr:uid="{00000000-0005-0000-0000-000065780000}"/>
    <cellStyle name="Normal 3 6 15 2 6 2" xfId="34783" xr:uid="{00000000-0005-0000-0000-000066780000}"/>
    <cellStyle name="Normal 3 6 15 2 7" xfId="17332" xr:uid="{00000000-0005-0000-0000-000067780000}"/>
    <cellStyle name="Normal 3 6 15 2 7 2" xfId="34784" xr:uid="{00000000-0005-0000-0000-000068780000}"/>
    <cellStyle name="Normal 3 6 15 2 8" xfId="17333" xr:uid="{00000000-0005-0000-0000-000069780000}"/>
    <cellStyle name="Normal 3 6 15 2 8 2" xfId="34785" xr:uid="{00000000-0005-0000-0000-00006A780000}"/>
    <cellStyle name="Normal 3 6 15 2 9" xfId="17334" xr:uid="{00000000-0005-0000-0000-00006B780000}"/>
    <cellStyle name="Normal 3 6 15 2 9 2" xfId="34786" xr:uid="{00000000-0005-0000-0000-00006C780000}"/>
    <cellStyle name="Normal 3 6 15 3" xfId="17335" xr:uid="{00000000-0005-0000-0000-00006D780000}"/>
    <cellStyle name="Normal 3 6 15 3 2" xfId="34787" xr:uid="{00000000-0005-0000-0000-00006E780000}"/>
    <cellStyle name="Normal 3 6 15 4" xfId="17336" xr:uid="{00000000-0005-0000-0000-00006F780000}"/>
    <cellStyle name="Normal 3 6 15 4 2" xfId="34788" xr:uid="{00000000-0005-0000-0000-000070780000}"/>
    <cellStyle name="Normal 3 6 15 5" xfId="17337" xr:uid="{00000000-0005-0000-0000-000071780000}"/>
    <cellStyle name="Normal 3 6 15 5 2" xfId="34789" xr:uid="{00000000-0005-0000-0000-000072780000}"/>
    <cellStyle name="Normal 3 6 15 6" xfId="17338" xr:uid="{00000000-0005-0000-0000-000073780000}"/>
    <cellStyle name="Normal 3 6 15 6 2" xfId="34790" xr:uid="{00000000-0005-0000-0000-000074780000}"/>
    <cellStyle name="Normal 3 6 15 7" xfId="17339" xr:uid="{00000000-0005-0000-0000-000075780000}"/>
    <cellStyle name="Normal 3 6 15 7 2" xfId="34791" xr:uid="{00000000-0005-0000-0000-000076780000}"/>
    <cellStyle name="Normal 3 6 15 8" xfId="17340" xr:uid="{00000000-0005-0000-0000-000077780000}"/>
    <cellStyle name="Normal 3 6 15 8 2" xfId="34792" xr:uid="{00000000-0005-0000-0000-000078780000}"/>
    <cellStyle name="Normal 3 6 15 9" xfId="17341" xr:uid="{00000000-0005-0000-0000-000079780000}"/>
    <cellStyle name="Normal 3 6 15 9 2" xfId="34793" xr:uid="{00000000-0005-0000-0000-00007A780000}"/>
    <cellStyle name="Normal 3 6 16" xfId="17342" xr:uid="{00000000-0005-0000-0000-00007B780000}"/>
    <cellStyle name="Normal 3 6 16 10" xfId="17343" xr:uid="{00000000-0005-0000-0000-00007C780000}"/>
    <cellStyle name="Normal 3 6 16 10 2" xfId="34795" xr:uid="{00000000-0005-0000-0000-00007D780000}"/>
    <cellStyle name="Normal 3 6 16 11" xfId="17344" xr:uid="{00000000-0005-0000-0000-00007E780000}"/>
    <cellStyle name="Normal 3 6 16 11 2" xfId="34796" xr:uid="{00000000-0005-0000-0000-00007F780000}"/>
    <cellStyle name="Normal 3 6 16 12" xfId="17345" xr:uid="{00000000-0005-0000-0000-000080780000}"/>
    <cellStyle name="Normal 3 6 16 12 2" xfId="34797" xr:uid="{00000000-0005-0000-0000-000081780000}"/>
    <cellStyle name="Normal 3 6 16 13" xfId="17346" xr:uid="{00000000-0005-0000-0000-000082780000}"/>
    <cellStyle name="Normal 3 6 16 13 2" xfId="34798" xr:uid="{00000000-0005-0000-0000-000083780000}"/>
    <cellStyle name="Normal 3 6 16 14" xfId="17347" xr:uid="{00000000-0005-0000-0000-000084780000}"/>
    <cellStyle name="Normal 3 6 16 14 2" xfId="34799" xr:uid="{00000000-0005-0000-0000-000085780000}"/>
    <cellStyle name="Normal 3 6 16 15" xfId="17348" xr:uid="{00000000-0005-0000-0000-000086780000}"/>
    <cellStyle name="Normal 3 6 16 15 2" xfId="34800" xr:uid="{00000000-0005-0000-0000-000087780000}"/>
    <cellStyle name="Normal 3 6 16 16" xfId="34794" xr:uid="{00000000-0005-0000-0000-000088780000}"/>
    <cellStyle name="Normal 3 6 16 2" xfId="17349" xr:uid="{00000000-0005-0000-0000-000089780000}"/>
    <cellStyle name="Normal 3 6 16 2 10" xfId="17350" xr:uid="{00000000-0005-0000-0000-00008A780000}"/>
    <cellStyle name="Normal 3 6 16 2 10 2" xfId="34802" xr:uid="{00000000-0005-0000-0000-00008B780000}"/>
    <cellStyle name="Normal 3 6 16 2 11" xfId="17351" xr:uid="{00000000-0005-0000-0000-00008C780000}"/>
    <cellStyle name="Normal 3 6 16 2 11 2" xfId="34803" xr:uid="{00000000-0005-0000-0000-00008D780000}"/>
    <cellStyle name="Normal 3 6 16 2 12" xfId="17352" xr:uid="{00000000-0005-0000-0000-00008E780000}"/>
    <cellStyle name="Normal 3 6 16 2 12 2" xfId="34804" xr:uid="{00000000-0005-0000-0000-00008F780000}"/>
    <cellStyle name="Normal 3 6 16 2 13" xfId="17353" xr:uid="{00000000-0005-0000-0000-000090780000}"/>
    <cellStyle name="Normal 3 6 16 2 13 2" xfId="34805" xr:uid="{00000000-0005-0000-0000-000091780000}"/>
    <cellStyle name="Normal 3 6 16 2 14" xfId="17354" xr:uid="{00000000-0005-0000-0000-000092780000}"/>
    <cellStyle name="Normal 3 6 16 2 14 2" xfId="34806" xr:uid="{00000000-0005-0000-0000-000093780000}"/>
    <cellStyle name="Normal 3 6 16 2 15" xfId="34801" xr:uid="{00000000-0005-0000-0000-000094780000}"/>
    <cellStyle name="Normal 3 6 16 2 2" xfId="17355" xr:uid="{00000000-0005-0000-0000-000095780000}"/>
    <cellStyle name="Normal 3 6 16 2 2 2" xfId="34807" xr:uid="{00000000-0005-0000-0000-000096780000}"/>
    <cellStyle name="Normal 3 6 16 2 3" xfId="17356" xr:uid="{00000000-0005-0000-0000-000097780000}"/>
    <cellStyle name="Normal 3 6 16 2 3 2" xfId="34808" xr:uid="{00000000-0005-0000-0000-000098780000}"/>
    <cellStyle name="Normal 3 6 16 2 4" xfId="17357" xr:uid="{00000000-0005-0000-0000-000099780000}"/>
    <cellStyle name="Normal 3 6 16 2 4 2" xfId="34809" xr:uid="{00000000-0005-0000-0000-00009A780000}"/>
    <cellStyle name="Normal 3 6 16 2 5" xfId="17358" xr:uid="{00000000-0005-0000-0000-00009B780000}"/>
    <cellStyle name="Normal 3 6 16 2 5 2" xfId="34810" xr:uid="{00000000-0005-0000-0000-00009C780000}"/>
    <cellStyle name="Normal 3 6 16 2 6" xfId="17359" xr:uid="{00000000-0005-0000-0000-00009D780000}"/>
    <cellStyle name="Normal 3 6 16 2 6 2" xfId="34811" xr:uid="{00000000-0005-0000-0000-00009E780000}"/>
    <cellStyle name="Normal 3 6 16 2 7" xfId="17360" xr:uid="{00000000-0005-0000-0000-00009F780000}"/>
    <cellStyle name="Normal 3 6 16 2 7 2" xfId="34812" xr:uid="{00000000-0005-0000-0000-0000A0780000}"/>
    <cellStyle name="Normal 3 6 16 2 8" xfId="17361" xr:uid="{00000000-0005-0000-0000-0000A1780000}"/>
    <cellStyle name="Normal 3 6 16 2 8 2" xfId="34813" xr:uid="{00000000-0005-0000-0000-0000A2780000}"/>
    <cellStyle name="Normal 3 6 16 2 9" xfId="17362" xr:uid="{00000000-0005-0000-0000-0000A3780000}"/>
    <cellStyle name="Normal 3 6 16 2 9 2" xfId="34814" xr:uid="{00000000-0005-0000-0000-0000A4780000}"/>
    <cellStyle name="Normal 3 6 16 3" xfId="17363" xr:uid="{00000000-0005-0000-0000-0000A5780000}"/>
    <cellStyle name="Normal 3 6 16 3 2" xfId="34815" xr:uid="{00000000-0005-0000-0000-0000A6780000}"/>
    <cellStyle name="Normal 3 6 16 4" xfId="17364" xr:uid="{00000000-0005-0000-0000-0000A7780000}"/>
    <cellStyle name="Normal 3 6 16 4 2" xfId="34816" xr:uid="{00000000-0005-0000-0000-0000A8780000}"/>
    <cellStyle name="Normal 3 6 16 5" xfId="17365" xr:uid="{00000000-0005-0000-0000-0000A9780000}"/>
    <cellStyle name="Normal 3 6 16 5 2" xfId="34817" xr:uid="{00000000-0005-0000-0000-0000AA780000}"/>
    <cellStyle name="Normal 3 6 16 6" xfId="17366" xr:uid="{00000000-0005-0000-0000-0000AB780000}"/>
    <cellStyle name="Normal 3 6 16 6 2" xfId="34818" xr:uid="{00000000-0005-0000-0000-0000AC780000}"/>
    <cellStyle name="Normal 3 6 16 7" xfId="17367" xr:uid="{00000000-0005-0000-0000-0000AD780000}"/>
    <cellStyle name="Normal 3 6 16 7 2" xfId="34819" xr:uid="{00000000-0005-0000-0000-0000AE780000}"/>
    <cellStyle name="Normal 3 6 16 8" xfId="17368" xr:uid="{00000000-0005-0000-0000-0000AF780000}"/>
    <cellStyle name="Normal 3 6 16 8 2" xfId="34820" xr:uid="{00000000-0005-0000-0000-0000B0780000}"/>
    <cellStyle name="Normal 3 6 16 9" xfId="17369" xr:uid="{00000000-0005-0000-0000-0000B1780000}"/>
    <cellStyle name="Normal 3 6 16 9 2" xfId="34821" xr:uid="{00000000-0005-0000-0000-0000B2780000}"/>
    <cellStyle name="Normal 3 6 17" xfId="17370" xr:uid="{00000000-0005-0000-0000-0000B3780000}"/>
    <cellStyle name="Normal 3 6 17 10" xfId="17371" xr:uid="{00000000-0005-0000-0000-0000B4780000}"/>
    <cellStyle name="Normal 3 6 17 10 2" xfId="34823" xr:uid="{00000000-0005-0000-0000-0000B5780000}"/>
    <cellStyle name="Normal 3 6 17 11" xfId="17372" xr:uid="{00000000-0005-0000-0000-0000B6780000}"/>
    <cellStyle name="Normal 3 6 17 11 2" xfId="34824" xr:uid="{00000000-0005-0000-0000-0000B7780000}"/>
    <cellStyle name="Normal 3 6 17 12" xfId="17373" xr:uid="{00000000-0005-0000-0000-0000B8780000}"/>
    <cellStyle name="Normal 3 6 17 12 2" xfId="34825" xr:uid="{00000000-0005-0000-0000-0000B9780000}"/>
    <cellStyle name="Normal 3 6 17 13" xfId="17374" xr:uid="{00000000-0005-0000-0000-0000BA780000}"/>
    <cellStyle name="Normal 3 6 17 13 2" xfId="34826" xr:uid="{00000000-0005-0000-0000-0000BB780000}"/>
    <cellStyle name="Normal 3 6 17 14" xfId="17375" xr:uid="{00000000-0005-0000-0000-0000BC780000}"/>
    <cellStyle name="Normal 3 6 17 14 2" xfId="34827" xr:uid="{00000000-0005-0000-0000-0000BD780000}"/>
    <cellStyle name="Normal 3 6 17 15" xfId="34822" xr:uid="{00000000-0005-0000-0000-0000BE780000}"/>
    <cellStyle name="Normal 3 6 17 2" xfId="17376" xr:uid="{00000000-0005-0000-0000-0000BF780000}"/>
    <cellStyle name="Normal 3 6 17 2 2" xfId="34828" xr:uid="{00000000-0005-0000-0000-0000C0780000}"/>
    <cellStyle name="Normal 3 6 17 3" xfId="17377" xr:uid="{00000000-0005-0000-0000-0000C1780000}"/>
    <cellStyle name="Normal 3 6 17 3 2" xfId="34829" xr:uid="{00000000-0005-0000-0000-0000C2780000}"/>
    <cellStyle name="Normal 3 6 17 4" xfId="17378" xr:uid="{00000000-0005-0000-0000-0000C3780000}"/>
    <cellStyle name="Normal 3 6 17 4 2" xfId="34830" xr:uid="{00000000-0005-0000-0000-0000C4780000}"/>
    <cellStyle name="Normal 3 6 17 5" xfId="17379" xr:uid="{00000000-0005-0000-0000-0000C5780000}"/>
    <cellStyle name="Normal 3 6 17 5 2" xfId="34831" xr:uid="{00000000-0005-0000-0000-0000C6780000}"/>
    <cellStyle name="Normal 3 6 17 6" xfId="17380" xr:uid="{00000000-0005-0000-0000-0000C7780000}"/>
    <cellStyle name="Normal 3 6 17 6 2" xfId="34832" xr:uid="{00000000-0005-0000-0000-0000C8780000}"/>
    <cellStyle name="Normal 3 6 17 7" xfId="17381" xr:uid="{00000000-0005-0000-0000-0000C9780000}"/>
    <cellStyle name="Normal 3 6 17 7 2" xfId="34833" xr:uid="{00000000-0005-0000-0000-0000CA780000}"/>
    <cellStyle name="Normal 3 6 17 8" xfId="17382" xr:uid="{00000000-0005-0000-0000-0000CB780000}"/>
    <cellStyle name="Normal 3 6 17 8 2" xfId="34834" xr:uid="{00000000-0005-0000-0000-0000CC780000}"/>
    <cellStyle name="Normal 3 6 17 9" xfId="17383" xr:uid="{00000000-0005-0000-0000-0000CD780000}"/>
    <cellStyle name="Normal 3 6 17 9 2" xfId="34835" xr:uid="{00000000-0005-0000-0000-0000CE780000}"/>
    <cellStyle name="Normal 3 6 18" xfId="17384" xr:uid="{00000000-0005-0000-0000-0000CF780000}"/>
    <cellStyle name="Normal 3 6 18 10" xfId="17385" xr:uid="{00000000-0005-0000-0000-0000D0780000}"/>
    <cellStyle name="Normal 3 6 18 10 2" xfId="34837" xr:uid="{00000000-0005-0000-0000-0000D1780000}"/>
    <cellStyle name="Normal 3 6 18 11" xfId="17386" xr:uid="{00000000-0005-0000-0000-0000D2780000}"/>
    <cellStyle name="Normal 3 6 18 11 2" xfId="34838" xr:uid="{00000000-0005-0000-0000-0000D3780000}"/>
    <cellStyle name="Normal 3 6 18 12" xfId="17387" xr:uid="{00000000-0005-0000-0000-0000D4780000}"/>
    <cellStyle name="Normal 3 6 18 12 2" xfId="34839" xr:uid="{00000000-0005-0000-0000-0000D5780000}"/>
    <cellStyle name="Normal 3 6 18 13" xfId="17388" xr:uid="{00000000-0005-0000-0000-0000D6780000}"/>
    <cellStyle name="Normal 3 6 18 13 2" xfId="34840" xr:uid="{00000000-0005-0000-0000-0000D7780000}"/>
    <cellStyle name="Normal 3 6 18 14" xfId="17389" xr:uid="{00000000-0005-0000-0000-0000D8780000}"/>
    <cellStyle name="Normal 3 6 18 14 2" xfId="34841" xr:uid="{00000000-0005-0000-0000-0000D9780000}"/>
    <cellStyle name="Normal 3 6 18 15" xfId="34836" xr:uid="{00000000-0005-0000-0000-0000DA780000}"/>
    <cellStyle name="Normal 3 6 18 2" xfId="17390" xr:uid="{00000000-0005-0000-0000-0000DB780000}"/>
    <cellStyle name="Normal 3 6 18 2 2" xfId="34842" xr:uid="{00000000-0005-0000-0000-0000DC780000}"/>
    <cellStyle name="Normal 3 6 18 3" xfId="17391" xr:uid="{00000000-0005-0000-0000-0000DD780000}"/>
    <cellStyle name="Normal 3 6 18 3 2" xfId="34843" xr:uid="{00000000-0005-0000-0000-0000DE780000}"/>
    <cellStyle name="Normal 3 6 18 4" xfId="17392" xr:uid="{00000000-0005-0000-0000-0000DF780000}"/>
    <cellStyle name="Normal 3 6 18 4 2" xfId="34844" xr:uid="{00000000-0005-0000-0000-0000E0780000}"/>
    <cellStyle name="Normal 3 6 18 5" xfId="17393" xr:uid="{00000000-0005-0000-0000-0000E1780000}"/>
    <cellStyle name="Normal 3 6 18 5 2" xfId="34845" xr:uid="{00000000-0005-0000-0000-0000E2780000}"/>
    <cellStyle name="Normal 3 6 18 6" xfId="17394" xr:uid="{00000000-0005-0000-0000-0000E3780000}"/>
    <cellStyle name="Normal 3 6 18 6 2" xfId="34846" xr:uid="{00000000-0005-0000-0000-0000E4780000}"/>
    <cellStyle name="Normal 3 6 18 7" xfId="17395" xr:uid="{00000000-0005-0000-0000-0000E5780000}"/>
    <cellStyle name="Normal 3 6 18 7 2" xfId="34847" xr:uid="{00000000-0005-0000-0000-0000E6780000}"/>
    <cellStyle name="Normal 3 6 18 8" xfId="17396" xr:uid="{00000000-0005-0000-0000-0000E7780000}"/>
    <cellStyle name="Normal 3 6 18 8 2" xfId="34848" xr:uid="{00000000-0005-0000-0000-0000E8780000}"/>
    <cellStyle name="Normal 3 6 18 9" xfId="17397" xr:uid="{00000000-0005-0000-0000-0000E9780000}"/>
    <cellStyle name="Normal 3 6 18 9 2" xfId="34849" xr:uid="{00000000-0005-0000-0000-0000EA780000}"/>
    <cellStyle name="Normal 3 6 19" xfId="17398" xr:uid="{00000000-0005-0000-0000-0000EB780000}"/>
    <cellStyle name="Normal 3 6 19 10" xfId="17399" xr:uid="{00000000-0005-0000-0000-0000EC780000}"/>
    <cellStyle name="Normal 3 6 19 10 2" xfId="34851" xr:uid="{00000000-0005-0000-0000-0000ED780000}"/>
    <cellStyle name="Normal 3 6 19 11" xfId="17400" xr:uid="{00000000-0005-0000-0000-0000EE780000}"/>
    <cellStyle name="Normal 3 6 19 11 2" xfId="34852" xr:uid="{00000000-0005-0000-0000-0000EF780000}"/>
    <cellStyle name="Normal 3 6 19 12" xfId="17401" xr:uid="{00000000-0005-0000-0000-0000F0780000}"/>
    <cellStyle name="Normal 3 6 19 12 2" xfId="34853" xr:uid="{00000000-0005-0000-0000-0000F1780000}"/>
    <cellStyle name="Normal 3 6 19 13" xfId="17402" xr:uid="{00000000-0005-0000-0000-0000F2780000}"/>
    <cellStyle name="Normal 3 6 19 13 2" xfId="34854" xr:uid="{00000000-0005-0000-0000-0000F3780000}"/>
    <cellStyle name="Normal 3 6 19 14" xfId="17403" xr:uid="{00000000-0005-0000-0000-0000F4780000}"/>
    <cellStyle name="Normal 3 6 19 14 2" xfId="34855" xr:uid="{00000000-0005-0000-0000-0000F5780000}"/>
    <cellStyle name="Normal 3 6 19 15" xfId="34850" xr:uid="{00000000-0005-0000-0000-0000F6780000}"/>
    <cellStyle name="Normal 3 6 19 2" xfId="17404" xr:uid="{00000000-0005-0000-0000-0000F7780000}"/>
    <cellStyle name="Normal 3 6 19 2 2" xfId="34856" xr:uid="{00000000-0005-0000-0000-0000F8780000}"/>
    <cellStyle name="Normal 3 6 19 3" xfId="17405" xr:uid="{00000000-0005-0000-0000-0000F9780000}"/>
    <cellStyle name="Normal 3 6 19 3 2" xfId="34857" xr:uid="{00000000-0005-0000-0000-0000FA780000}"/>
    <cellStyle name="Normal 3 6 19 4" xfId="17406" xr:uid="{00000000-0005-0000-0000-0000FB780000}"/>
    <cellStyle name="Normal 3 6 19 4 2" xfId="34858" xr:uid="{00000000-0005-0000-0000-0000FC780000}"/>
    <cellStyle name="Normal 3 6 19 5" xfId="17407" xr:uid="{00000000-0005-0000-0000-0000FD780000}"/>
    <cellStyle name="Normal 3 6 19 5 2" xfId="34859" xr:uid="{00000000-0005-0000-0000-0000FE780000}"/>
    <cellStyle name="Normal 3 6 19 6" xfId="17408" xr:uid="{00000000-0005-0000-0000-0000FF780000}"/>
    <cellStyle name="Normal 3 6 19 6 2" xfId="34860" xr:uid="{00000000-0005-0000-0000-000000790000}"/>
    <cellStyle name="Normal 3 6 19 7" xfId="17409" xr:uid="{00000000-0005-0000-0000-000001790000}"/>
    <cellStyle name="Normal 3 6 19 7 2" xfId="34861" xr:uid="{00000000-0005-0000-0000-000002790000}"/>
    <cellStyle name="Normal 3 6 19 8" xfId="17410" xr:uid="{00000000-0005-0000-0000-000003790000}"/>
    <cellStyle name="Normal 3 6 19 8 2" xfId="34862" xr:uid="{00000000-0005-0000-0000-000004790000}"/>
    <cellStyle name="Normal 3 6 19 9" xfId="17411" xr:uid="{00000000-0005-0000-0000-000005790000}"/>
    <cellStyle name="Normal 3 6 19 9 2" xfId="34863" xr:uid="{00000000-0005-0000-0000-000006790000}"/>
    <cellStyle name="Normal 3 6 2" xfId="17412" xr:uid="{00000000-0005-0000-0000-000007790000}"/>
    <cellStyle name="Normal 3 6 20" xfId="17413" xr:uid="{00000000-0005-0000-0000-000008790000}"/>
    <cellStyle name="Normal 3 6 20 10" xfId="17414" xr:uid="{00000000-0005-0000-0000-000009790000}"/>
    <cellStyle name="Normal 3 6 20 10 2" xfId="34865" xr:uid="{00000000-0005-0000-0000-00000A790000}"/>
    <cellStyle name="Normal 3 6 20 11" xfId="17415" xr:uid="{00000000-0005-0000-0000-00000B790000}"/>
    <cellStyle name="Normal 3 6 20 11 2" xfId="34866" xr:uid="{00000000-0005-0000-0000-00000C790000}"/>
    <cellStyle name="Normal 3 6 20 12" xfId="17416" xr:uid="{00000000-0005-0000-0000-00000D790000}"/>
    <cellStyle name="Normal 3 6 20 12 2" xfId="34867" xr:uid="{00000000-0005-0000-0000-00000E790000}"/>
    <cellStyle name="Normal 3 6 20 13" xfId="17417" xr:uid="{00000000-0005-0000-0000-00000F790000}"/>
    <cellStyle name="Normal 3 6 20 13 2" xfId="34868" xr:uid="{00000000-0005-0000-0000-000010790000}"/>
    <cellStyle name="Normal 3 6 20 14" xfId="17418" xr:uid="{00000000-0005-0000-0000-000011790000}"/>
    <cellStyle name="Normal 3 6 20 14 2" xfId="34869" xr:uid="{00000000-0005-0000-0000-000012790000}"/>
    <cellStyle name="Normal 3 6 20 15" xfId="34864" xr:uid="{00000000-0005-0000-0000-000013790000}"/>
    <cellStyle name="Normal 3 6 20 2" xfId="17419" xr:uid="{00000000-0005-0000-0000-000014790000}"/>
    <cellStyle name="Normal 3 6 20 2 2" xfId="34870" xr:uid="{00000000-0005-0000-0000-000015790000}"/>
    <cellStyle name="Normal 3 6 20 3" xfId="17420" xr:uid="{00000000-0005-0000-0000-000016790000}"/>
    <cellStyle name="Normal 3 6 20 3 2" xfId="34871" xr:uid="{00000000-0005-0000-0000-000017790000}"/>
    <cellStyle name="Normal 3 6 20 4" xfId="17421" xr:uid="{00000000-0005-0000-0000-000018790000}"/>
    <cellStyle name="Normal 3 6 20 4 2" xfId="34872" xr:uid="{00000000-0005-0000-0000-000019790000}"/>
    <cellStyle name="Normal 3 6 20 5" xfId="17422" xr:uid="{00000000-0005-0000-0000-00001A790000}"/>
    <cellStyle name="Normal 3 6 20 5 2" xfId="34873" xr:uid="{00000000-0005-0000-0000-00001B790000}"/>
    <cellStyle name="Normal 3 6 20 6" xfId="17423" xr:uid="{00000000-0005-0000-0000-00001C790000}"/>
    <cellStyle name="Normal 3 6 20 6 2" xfId="34874" xr:uid="{00000000-0005-0000-0000-00001D790000}"/>
    <cellStyle name="Normal 3 6 20 7" xfId="17424" xr:uid="{00000000-0005-0000-0000-00001E790000}"/>
    <cellStyle name="Normal 3 6 20 7 2" xfId="34875" xr:uid="{00000000-0005-0000-0000-00001F790000}"/>
    <cellStyle name="Normal 3 6 20 8" xfId="17425" xr:uid="{00000000-0005-0000-0000-000020790000}"/>
    <cellStyle name="Normal 3 6 20 8 2" xfId="34876" xr:uid="{00000000-0005-0000-0000-000021790000}"/>
    <cellStyle name="Normal 3 6 20 9" xfId="17426" xr:uid="{00000000-0005-0000-0000-000022790000}"/>
    <cellStyle name="Normal 3 6 20 9 2" xfId="34877" xr:uid="{00000000-0005-0000-0000-000023790000}"/>
    <cellStyle name="Normal 3 6 21" xfId="17427" xr:uid="{00000000-0005-0000-0000-000024790000}"/>
    <cellStyle name="Normal 3 6 21 10" xfId="17428" xr:uid="{00000000-0005-0000-0000-000025790000}"/>
    <cellStyle name="Normal 3 6 21 10 2" xfId="34879" xr:uid="{00000000-0005-0000-0000-000026790000}"/>
    <cellStyle name="Normal 3 6 21 11" xfId="17429" xr:uid="{00000000-0005-0000-0000-000027790000}"/>
    <cellStyle name="Normal 3 6 21 11 2" xfId="34880" xr:uid="{00000000-0005-0000-0000-000028790000}"/>
    <cellStyle name="Normal 3 6 21 12" xfId="17430" xr:uid="{00000000-0005-0000-0000-000029790000}"/>
    <cellStyle name="Normal 3 6 21 12 2" xfId="34881" xr:uid="{00000000-0005-0000-0000-00002A790000}"/>
    <cellStyle name="Normal 3 6 21 13" xfId="17431" xr:uid="{00000000-0005-0000-0000-00002B790000}"/>
    <cellStyle name="Normal 3 6 21 13 2" xfId="34882" xr:uid="{00000000-0005-0000-0000-00002C790000}"/>
    <cellStyle name="Normal 3 6 21 14" xfId="17432" xr:uid="{00000000-0005-0000-0000-00002D790000}"/>
    <cellStyle name="Normal 3 6 21 14 2" xfId="34883" xr:uid="{00000000-0005-0000-0000-00002E790000}"/>
    <cellStyle name="Normal 3 6 21 15" xfId="34878" xr:uid="{00000000-0005-0000-0000-00002F790000}"/>
    <cellStyle name="Normal 3 6 21 2" xfId="17433" xr:uid="{00000000-0005-0000-0000-000030790000}"/>
    <cellStyle name="Normal 3 6 21 2 2" xfId="34884" xr:uid="{00000000-0005-0000-0000-000031790000}"/>
    <cellStyle name="Normal 3 6 21 3" xfId="17434" xr:uid="{00000000-0005-0000-0000-000032790000}"/>
    <cellStyle name="Normal 3 6 21 3 2" xfId="34885" xr:uid="{00000000-0005-0000-0000-000033790000}"/>
    <cellStyle name="Normal 3 6 21 4" xfId="17435" xr:uid="{00000000-0005-0000-0000-000034790000}"/>
    <cellStyle name="Normal 3 6 21 4 2" xfId="34886" xr:uid="{00000000-0005-0000-0000-000035790000}"/>
    <cellStyle name="Normal 3 6 21 5" xfId="17436" xr:uid="{00000000-0005-0000-0000-000036790000}"/>
    <cellStyle name="Normal 3 6 21 5 2" xfId="34887" xr:uid="{00000000-0005-0000-0000-000037790000}"/>
    <cellStyle name="Normal 3 6 21 6" xfId="17437" xr:uid="{00000000-0005-0000-0000-000038790000}"/>
    <cellStyle name="Normal 3 6 21 6 2" xfId="34888" xr:uid="{00000000-0005-0000-0000-000039790000}"/>
    <cellStyle name="Normal 3 6 21 7" xfId="17438" xr:uid="{00000000-0005-0000-0000-00003A790000}"/>
    <cellStyle name="Normal 3 6 21 7 2" xfId="34889" xr:uid="{00000000-0005-0000-0000-00003B790000}"/>
    <cellStyle name="Normal 3 6 21 8" xfId="17439" xr:uid="{00000000-0005-0000-0000-00003C790000}"/>
    <cellStyle name="Normal 3 6 21 8 2" xfId="34890" xr:uid="{00000000-0005-0000-0000-00003D790000}"/>
    <cellStyle name="Normal 3 6 21 9" xfId="17440" xr:uid="{00000000-0005-0000-0000-00003E790000}"/>
    <cellStyle name="Normal 3 6 21 9 2" xfId="34891" xr:uid="{00000000-0005-0000-0000-00003F790000}"/>
    <cellStyle name="Normal 3 6 22" xfId="17441" xr:uid="{00000000-0005-0000-0000-000040790000}"/>
    <cellStyle name="Normal 3 6 22 10" xfId="17442" xr:uid="{00000000-0005-0000-0000-000041790000}"/>
    <cellStyle name="Normal 3 6 22 10 2" xfId="34893" xr:uid="{00000000-0005-0000-0000-000042790000}"/>
    <cellStyle name="Normal 3 6 22 11" xfId="17443" xr:uid="{00000000-0005-0000-0000-000043790000}"/>
    <cellStyle name="Normal 3 6 22 11 2" xfId="34894" xr:uid="{00000000-0005-0000-0000-000044790000}"/>
    <cellStyle name="Normal 3 6 22 12" xfId="17444" xr:uid="{00000000-0005-0000-0000-000045790000}"/>
    <cellStyle name="Normal 3 6 22 12 2" xfId="34895" xr:uid="{00000000-0005-0000-0000-000046790000}"/>
    <cellStyle name="Normal 3 6 22 13" xfId="17445" xr:uid="{00000000-0005-0000-0000-000047790000}"/>
    <cellStyle name="Normal 3 6 22 13 2" xfId="34896" xr:uid="{00000000-0005-0000-0000-000048790000}"/>
    <cellStyle name="Normal 3 6 22 14" xfId="17446" xr:uid="{00000000-0005-0000-0000-000049790000}"/>
    <cellStyle name="Normal 3 6 22 14 2" xfId="34897" xr:uid="{00000000-0005-0000-0000-00004A790000}"/>
    <cellStyle name="Normal 3 6 22 15" xfId="34892" xr:uid="{00000000-0005-0000-0000-00004B790000}"/>
    <cellStyle name="Normal 3 6 22 2" xfId="17447" xr:uid="{00000000-0005-0000-0000-00004C790000}"/>
    <cellStyle name="Normal 3 6 22 2 2" xfId="34898" xr:uid="{00000000-0005-0000-0000-00004D790000}"/>
    <cellStyle name="Normal 3 6 22 3" xfId="17448" xr:uid="{00000000-0005-0000-0000-00004E790000}"/>
    <cellStyle name="Normal 3 6 22 3 2" xfId="34899" xr:uid="{00000000-0005-0000-0000-00004F790000}"/>
    <cellStyle name="Normal 3 6 22 4" xfId="17449" xr:uid="{00000000-0005-0000-0000-000050790000}"/>
    <cellStyle name="Normal 3 6 22 4 2" xfId="34900" xr:uid="{00000000-0005-0000-0000-000051790000}"/>
    <cellStyle name="Normal 3 6 22 5" xfId="17450" xr:uid="{00000000-0005-0000-0000-000052790000}"/>
    <cellStyle name="Normal 3 6 22 5 2" xfId="34901" xr:uid="{00000000-0005-0000-0000-000053790000}"/>
    <cellStyle name="Normal 3 6 22 6" xfId="17451" xr:uid="{00000000-0005-0000-0000-000054790000}"/>
    <cellStyle name="Normal 3 6 22 6 2" xfId="34902" xr:uid="{00000000-0005-0000-0000-000055790000}"/>
    <cellStyle name="Normal 3 6 22 7" xfId="17452" xr:uid="{00000000-0005-0000-0000-000056790000}"/>
    <cellStyle name="Normal 3 6 22 7 2" xfId="34903" xr:uid="{00000000-0005-0000-0000-000057790000}"/>
    <cellStyle name="Normal 3 6 22 8" xfId="17453" xr:uid="{00000000-0005-0000-0000-000058790000}"/>
    <cellStyle name="Normal 3 6 22 8 2" xfId="34904" xr:uid="{00000000-0005-0000-0000-000059790000}"/>
    <cellStyle name="Normal 3 6 22 9" xfId="17454" xr:uid="{00000000-0005-0000-0000-00005A790000}"/>
    <cellStyle name="Normal 3 6 22 9 2" xfId="34905" xr:uid="{00000000-0005-0000-0000-00005B790000}"/>
    <cellStyle name="Normal 3 6 23" xfId="17455" xr:uid="{00000000-0005-0000-0000-00005C790000}"/>
    <cellStyle name="Normal 3 6 24" xfId="17456" xr:uid="{00000000-0005-0000-0000-00005D790000}"/>
    <cellStyle name="Normal 3 6 25" xfId="17457" xr:uid="{00000000-0005-0000-0000-00005E790000}"/>
    <cellStyle name="Normal 3 6 25 10" xfId="17458" xr:uid="{00000000-0005-0000-0000-00005F790000}"/>
    <cellStyle name="Normal 3 6 25 10 2" xfId="34907" xr:uid="{00000000-0005-0000-0000-000060790000}"/>
    <cellStyle name="Normal 3 6 25 11" xfId="17459" xr:uid="{00000000-0005-0000-0000-000061790000}"/>
    <cellStyle name="Normal 3 6 25 11 2" xfId="34908" xr:uid="{00000000-0005-0000-0000-000062790000}"/>
    <cellStyle name="Normal 3 6 25 12" xfId="17460" xr:uid="{00000000-0005-0000-0000-000063790000}"/>
    <cellStyle name="Normal 3 6 25 12 2" xfId="34909" xr:uid="{00000000-0005-0000-0000-000064790000}"/>
    <cellStyle name="Normal 3 6 25 13" xfId="17461" xr:uid="{00000000-0005-0000-0000-000065790000}"/>
    <cellStyle name="Normal 3 6 25 13 2" xfId="34910" xr:uid="{00000000-0005-0000-0000-000066790000}"/>
    <cellStyle name="Normal 3 6 25 14" xfId="17462" xr:uid="{00000000-0005-0000-0000-000067790000}"/>
    <cellStyle name="Normal 3 6 25 14 2" xfId="34911" xr:uid="{00000000-0005-0000-0000-000068790000}"/>
    <cellStyle name="Normal 3 6 25 15" xfId="34906" xr:uid="{00000000-0005-0000-0000-000069790000}"/>
    <cellStyle name="Normal 3 6 25 2" xfId="17463" xr:uid="{00000000-0005-0000-0000-00006A790000}"/>
    <cellStyle name="Normal 3 6 25 2 2" xfId="34912" xr:uid="{00000000-0005-0000-0000-00006B790000}"/>
    <cellStyle name="Normal 3 6 25 3" xfId="17464" xr:uid="{00000000-0005-0000-0000-00006C790000}"/>
    <cellStyle name="Normal 3 6 25 3 2" xfId="34913" xr:uid="{00000000-0005-0000-0000-00006D790000}"/>
    <cellStyle name="Normal 3 6 25 4" xfId="17465" xr:uid="{00000000-0005-0000-0000-00006E790000}"/>
    <cellStyle name="Normal 3 6 25 4 2" xfId="34914" xr:uid="{00000000-0005-0000-0000-00006F790000}"/>
    <cellStyle name="Normal 3 6 25 5" xfId="17466" xr:uid="{00000000-0005-0000-0000-000070790000}"/>
    <cellStyle name="Normal 3 6 25 5 2" xfId="34915" xr:uid="{00000000-0005-0000-0000-000071790000}"/>
    <cellStyle name="Normal 3 6 25 6" xfId="17467" xr:uid="{00000000-0005-0000-0000-000072790000}"/>
    <cellStyle name="Normal 3 6 25 6 2" xfId="34916" xr:uid="{00000000-0005-0000-0000-000073790000}"/>
    <cellStyle name="Normal 3 6 25 7" xfId="17468" xr:uid="{00000000-0005-0000-0000-000074790000}"/>
    <cellStyle name="Normal 3 6 25 7 2" xfId="34917" xr:uid="{00000000-0005-0000-0000-000075790000}"/>
    <cellStyle name="Normal 3 6 25 8" xfId="17469" xr:uid="{00000000-0005-0000-0000-000076790000}"/>
    <cellStyle name="Normal 3 6 25 8 2" xfId="34918" xr:uid="{00000000-0005-0000-0000-000077790000}"/>
    <cellStyle name="Normal 3 6 25 9" xfId="17470" xr:uid="{00000000-0005-0000-0000-000078790000}"/>
    <cellStyle name="Normal 3 6 25 9 2" xfId="34919" xr:uid="{00000000-0005-0000-0000-000079790000}"/>
    <cellStyle name="Normal 3 6 26" xfId="17471" xr:uid="{00000000-0005-0000-0000-00007A790000}"/>
    <cellStyle name="Normal 3 6 26 10" xfId="17472" xr:uid="{00000000-0005-0000-0000-00007B790000}"/>
    <cellStyle name="Normal 3 6 26 10 2" xfId="34921" xr:uid="{00000000-0005-0000-0000-00007C790000}"/>
    <cellStyle name="Normal 3 6 26 11" xfId="17473" xr:uid="{00000000-0005-0000-0000-00007D790000}"/>
    <cellStyle name="Normal 3 6 26 11 2" xfId="34922" xr:uid="{00000000-0005-0000-0000-00007E790000}"/>
    <cellStyle name="Normal 3 6 26 12" xfId="17474" xr:uid="{00000000-0005-0000-0000-00007F790000}"/>
    <cellStyle name="Normal 3 6 26 12 2" xfId="34923" xr:uid="{00000000-0005-0000-0000-000080790000}"/>
    <cellStyle name="Normal 3 6 26 13" xfId="17475" xr:uid="{00000000-0005-0000-0000-000081790000}"/>
    <cellStyle name="Normal 3 6 26 13 2" xfId="34924" xr:uid="{00000000-0005-0000-0000-000082790000}"/>
    <cellStyle name="Normal 3 6 26 14" xfId="17476" xr:uid="{00000000-0005-0000-0000-000083790000}"/>
    <cellStyle name="Normal 3 6 26 14 2" xfId="34925" xr:uid="{00000000-0005-0000-0000-000084790000}"/>
    <cellStyle name="Normal 3 6 26 15" xfId="34920" xr:uid="{00000000-0005-0000-0000-000085790000}"/>
    <cellStyle name="Normal 3 6 26 2" xfId="17477" xr:uid="{00000000-0005-0000-0000-000086790000}"/>
    <cellStyle name="Normal 3 6 26 2 2" xfId="34926" xr:uid="{00000000-0005-0000-0000-000087790000}"/>
    <cellStyle name="Normal 3 6 26 3" xfId="17478" xr:uid="{00000000-0005-0000-0000-000088790000}"/>
    <cellStyle name="Normal 3 6 26 3 2" xfId="34927" xr:uid="{00000000-0005-0000-0000-000089790000}"/>
    <cellStyle name="Normal 3 6 26 4" xfId="17479" xr:uid="{00000000-0005-0000-0000-00008A790000}"/>
    <cellStyle name="Normal 3 6 26 4 2" xfId="34928" xr:uid="{00000000-0005-0000-0000-00008B790000}"/>
    <cellStyle name="Normal 3 6 26 5" xfId="17480" xr:uid="{00000000-0005-0000-0000-00008C790000}"/>
    <cellStyle name="Normal 3 6 26 5 2" xfId="34929" xr:uid="{00000000-0005-0000-0000-00008D790000}"/>
    <cellStyle name="Normal 3 6 26 6" xfId="17481" xr:uid="{00000000-0005-0000-0000-00008E790000}"/>
    <cellStyle name="Normal 3 6 26 6 2" xfId="34930" xr:uid="{00000000-0005-0000-0000-00008F790000}"/>
    <cellStyle name="Normal 3 6 26 7" xfId="17482" xr:uid="{00000000-0005-0000-0000-000090790000}"/>
    <cellStyle name="Normal 3 6 26 7 2" xfId="34931" xr:uid="{00000000-0005-0000-0000-000091790000}"/>
    <cellStyle name="Normal 3 6 26 8" xfId="17483" xr:uid="{00000000-0005-0000-0000-000092790000}"/>
    <cellStyle name="Normal 3 6 26 8 2" xfId="34932" xr:uid="{00000000-0005-0000-0000-000093790000}"/>
    <cellStyle name="Normal 3 6 26 9" xfId="17484" xr:uid="{00000000-0005-0000-0000-000094790000}"/>
    <cellStyle name="Normal 3 6 26 9 2" xfId="34933" xr:uid="{00000000-0005-0000-0000-000095790000}"/>
    <cellStyle name="Normal 3 6 3" xfId="17485" xr:uid="{00000000-0005-0000-0000-000096790000}"/>
    <cellStyle name="Normal 3 6 4" xfId="17486" xr:uid="{00000000-0005-0000-0000-000097790000}"/>
    <cellStyle name="Normal 3 6 5" xfId="17487" xr:uid="{00000000-0005-0000-0000-000098790000}"/>
    <cellStyle name="Normal 3 6 6" xfId="17488" xr:uid="{00000000-0005-0000-0000-000099790000}"/>
    <cellStyle name="Normal 3 6 7" xfId="17489" xr:uid="{00000000-0005-0000-0000-00009A790000}"/>
    <cellStyle name="Normal 3 6 8" xfId="17490" xr:uid="{00000000-0005-0000-0000-00009B790000}"/>
    <cellStyle name="Normal 3 6 9" xfId="17491" xr:uid="{00000000-0005-0000-0000-00009C790000}"/>
    <cellStyle name="Normal 3 7" xfId="17492" xr:uid="{00000000-0005-0000-0000-00009D790000}"/>
    <cellStyle name="Normal 3 7 10" xfId="17493" xr:uid="{00000000-0005-0000-0000-00009E790000}"/>
    <cellStyle name="Normal 3 7 11" xfId="17494" xr:uid="{00000000-0005-0000-0000-00009F790000}"/>
    <cellStyle name="Normal 3 7 11 10" xfId="17495" xr:uid="{00000000-0005-0000-0000-0000A0790000}"/>
    <cellStyle name="Normal 3 7 11 10 2" xfId="34935" xr:uid="{00000000-0005-0000-0000-0000A1790000}"/>
    <cellStyle name="Normal 3 7 11 11" xfId="17496" xr:uid="{00000000-0005-0000-0000-0000A2790000}"/>
    <cellStyle name="Normal 3 7 11 11 2" xfId="34936" xr:uid="{00000000-0005-0000-0000-0000A3790000}"/>
    <cellStyle name="Normal 3 7 11 12" xfId="17497" xr:uid="{00000000-0005-0000-0000-0000A4790000}"/>
    <cellStyle name="Normal 3 7 11 12 2" xfId="34937" xr:uid="{00000000-0005-0000-0000-0000A5790000}"/>
    <cellStyle name="Normal 3 7 11 13" xfId="17498" xr:uid="{00000000-0005-0000-0000-0000A6790000}"/>
    <cellStyle name="Normal 3 7 11 13 2" xfId="34938" xr:uid="{00000000-0005-0000-0000-0000A7790000}"/>
    <cellStyle name="Normal 3 7 11 14" xfId="17499" xr:uid="{00000000-0005-0000-0000-0000A8790000}"/>
    <cellStyle name="Normal 3 7 11 14 2" xfId="34939" xr:uid="{00000000-0005-0000-0000-0000A9790000}"/>
    <cellStyle name="Normal 3 7 11 15" xfId="17500" xr:uid="{00000000-0005-0000-0000-0000AA790000}"/>
    <cellStyle name="Normal 3 7 11 15 2" xfId="34940" xr:uid="{00000000-0005-0000-0000-0000AB790000}"/>
    <cellStyle name="Normal 3 7 11 16" xfId="17501" xr:uid="{00000000-0005-0000-0000-0000AC790000}"/>
    <cellStyle name="Normal 3 7 11 16 2" xfId="34941" xr:uid="{00000000-0005-0000-0000-0000AD790000}"/>
    <cellStyle name="Normal 3 7 11 17" xfId="17502" xr:uid="{00000000-0005-0000-0000-0000AE790000}"/>
    <cellStyle name="Normal 3 7 11 17 2" xfId="34942" xr:uid="{00000000-0005-0000-0000-0000AF790000}"/>
    <cellStyle name="Normal 3 7 11 18" xfId="34934" xr:uid="{00000000-0005-0000-0000-0000B0790000}"/>
    <cellStyle name="Normal 3 7 11 2" xfId="17503" xr:uid="{00000000-0005-0000-0000-0000B1790000}"/>
    <cellStyle name="Normal 3 7 11 3" xfId="17504" xr:uid="{00000000-0005-0000-0000-0000B2790000}"/>
    <cellStyle name="Normal 3 7 11 4" xfId="17505" xr:uid="{00000000-0005-0000-0000-0000B3790000}"/>
    <cellStyle name="Normal 3 7 11 5" xfId="17506" xr:uid="{00000000-0005-0000-0000-0000B4790000}"/>
    <cellStyle name="Normal 3 7 11 5 2" xfId="34943" xr:uid="{00000000-0005-0000-0000-0000B5790000}"/>
    <cellStyle name="Normal 3 7 11 6" xfId="17507" xr:uid="{00000000-0005-0000-0000-0000B6790000}"/>
    <cellStyle name="Normal 3 7 11 6 2" xfId="34944" xr:uid="{00000000-0005-0000-0000-0000B7790000}"/>
    <cellStyle name="Normal 3 7 11 7" xfId="17508" xr:uid="{00000000-0005-0000-0000-0000B8790000}"/>
    <cellStyle name="Normal 3 7 11 7 2" xfId="34945" xr:uid="{00000000-0005-0000-0000-0000B9790000}"/>
    <cellStyle name="Normal 3 7 11 8" xfId="17509" xr:uid="{00000000-0005-0000-0000-0000BA790000}"/>
    <cellStyle name="Normal 3 7 11 8 2" xfId="34946" xr:uid="{00000000-0005-0000-0000-0000BB790000}"/>
    <cellStyle name="Normal 3 7 11 9" xfId="17510" xr:uid="{00000000-0005-0000-0000-0000BC790000}"/>
    <cellStyle name="Normal 3 7 11 9 2" xfId="34947" xr:uid="{00000000-0005-0000-0000-0000BD790000}"/>
    <cellStyle name="Normal 3 7 12" xfId="17511" xr:uid="{00000000-0005-0000-0000-0000BE790000}"/>
    <cellStyle name="Normal 3 7 13" xfId="17512" xr:uid="{00000000-0005-0000-0000-0000BF790000}"/>
    <cellStyle name="Normal 3 7 14" xfId="17513" xr:uid="{00000000-0005-0000-0000-0000C0790000}"/>
    <cellStyle name="Normal 3 7 14 10" xfId="17514" xr:uid="{00000000-0005-0000-0000-0000C1790000}"/>
    <cellStyle name="Normal 3 7 14 10 2" xfId="34949" xr:uid="{00000000-0005-0000-0000-0000C2790000}"/>
    <cellStyle name="Normal 3 7 14 11" xfId="17515" xr:uid="{00000000-0005-0000-0000-0000C3790000}"/>
    <cellStyle name="Normal 3 7 14 11 2" xfId="34950" xr:uid="{00000000-0005-0000-0000-0000C4790000}"/>
    <cellStyle name="Normal 3 7 14 12" xfId="17516" xr:uid="{00000000-0005-0000-0000-0000C5790000}"/>
    <cellStyle name="Normal 3 7 14 12 2" xfId="34951" xr:uid="{00000000-0005-0000-0000-0000C6790000}"/>
    <cellStyle name="Normal 3 7 14 13" xfId="17517" xr:uid="{00000000-0005-0000-0000-0000C7790000}"/>
    <cellStyle name="Normal 3 7 14 13 2" xfId="34952" xr:uid="{00000000-0005-0000-0000-0000C8790000}"/>
    <cellStyle name="Normal 3 7 14 14" xfId="17518" xr:uid="{00000000-0005-0000-0000-0000C9790000}"/>
    <cellStyle name="Normal 3 7 14 14 2" xfId="34953" xr:uid="{00000000-0005-0000-0000-0000CA790000}"/>
    <cellStyle name="Normal 3 7 14 15" xfId="17519" xr:uid="{00000000-0005-0000-0000-0000CB790000}"/>
    <cellStyle name="Normal 3 7 14 15 2" xfId="34954" xr:uid="{00000000-0005-0000-0000-0000CC790000}"/>
    <cellStyle name="Normal 3 7 14 16" xfId="34948" xr:uid="{00000000-0005-0000-0000-0000CD790000}"/>
    <cellStyle name="Normal 3 7 14 2" xfId="17520" xr:uid="{00000000-0005-0000-0000-0000CE790000}"/>
    <cellStyle name="Normal 3 7 14 2 10" xfId="17521" xr:uid="{00000000-0005-0000-0000-0000CF790000}"/>
    <cellStyle name="Normal 3 7 14 2 10 2" xfId="34956" xr:uid="{00000000-0005-0000-0000-0000D0790000}"/>
    <cellStyle name="Normal 3 7 14 2 11" xfId="17522" xr:uid="{00000000-0005-0000-0000-0000D1790000}"/>
    <cellStyle name="Normal 3 7 14 2 11 2" xfId="34957" xr:uid="{00000000-0005-0000-0000-0000D2790000}"/>
    <cellStyle name="Normal 3 7 14 2 12" xfId="17523" xr:uid="{00000000-0005-0000-0000-0000D3790000}"/>
    <cellStyle name="Normal 3 7 14 2 12 2" xfId="34958" xr:uid="{00000000-0005-0000-0000-0000D4790000}"/>
    <cellStyle name="Normal 3 7 14 2 13" xfId="17524" xr:uid="{00000000-0005-0000-0000-0000D5790000}"/>
    <cellStyle name="Normal 3 7 14 2 13 2" xfId="34959" xr:uid="{00000000-0005-0000-0000-0000D6790000}"/>
    <cellStyle name="Normal 3 7 14 2 14" xfId="17525" xr:uid="{00000000-0005-0000-0000-0000D7790000}"/>
    <cellStyle name="Normal 3 7 14 2 14 2" xfId="34960" xr:uid="{00000000-0005-0000-0000-0000D8790000}"/>
    <cellStyle name="Normal 3 7 14 2 15" xfId="34955" xr:uid="{00000000-0005-0000-0000-0000D9790000}"/>
    <cellStyle name="Normal 3 7 14 2 2" xfId="17526" xr:uid="{00000000-0005-0000-0000-0000DA790000}"/>
    <cellStyle name="Normal 3 7 14 2 2 2" xfId="34961" xr:uid="{00000000-0005-0000-0000-0000DB790000}"/>
    <cellStyle name="Normal 3 7 14 2 3" xfId="17527" xr:uid="{00000000-0005-0000-0000-0000DC790000}"/>
    <cellStyle name="Normal 3 7 14 2 3 2" xfId="34962" xr:uid="{00000000-0005-0000-0000-0000DD790000}"/>
    <cellStyle name="Normal 3 7 14 2 4" xfId="17528" xr:uid="{00000000-0005-0000-0000-0000DE790000}"/>
    <cellStyle name="Normal 3 7 14 2 4 2" xfId="34963" xr:uid="{00000000-0005-0000-0000-0000DF790000}"/>
    <cellStyle name="Normal 3 7 14 2 5" xfId="17529" xr:uid="{00000000-0005-0000-0000-0000E0790000}"/>
    <cellStyle name="Normal 3 7 14 2 5 2" xfId="34964" xr:uid="{00000000-0005-0000-0000-0000E1790000}"/>
    <cellStyle name="Normal 3 7 14 2 6" xfId="17530" xr:uid="{00000000-0005-0000-0000-0000E2790000}"/>
    <cellStyle name="Normal 3 7 14 2 6 2" xfId="34965" xr:uid="{00000000-0005-0000-0000-0000E3790000}"/>
    <cellStyle name="Normal 3 7 14 2 7" xfId="17531" xr:uid="{00000000-0005-0000-0000-0000E4790000}"/>
    <cellStyle name="Normal 3 7 14 2 7 2" xfId="34966" xr:uid="{00000000-0005-0000-0000-0000E5790000}"/>
    <cellStyle name="Normal 3 7 14 2 8" xfId="17532" xr:uid="{00000000-0005-0000-0000-0000E6790000}"/>
    <cellStyle name="Normal 3 7 14 2 8 2" xfId="34967" xr:uid="{00000000-0005-0000-0000-0000E7790000}"/>
    <cellStyle name="Normal 3 7 14 2 9" xfId="17533" xr:uid="{00000000-0005-0000-0000-0000E8790000}"/>
    <cellStyle name="Normal 3 7 14 2 9 2" xfId="34968" xr:uid="{00000000-0005-0000-0000-0000E9790000}"/>
    <cellStyle name="Normal 3 7 14 3" xfId="17534" xr:uid="{00000000-0005-0000-0000-0000EA790000}"/>
    <cellStyle name="Normal 3 7 14 3 2" xfId="34969" xr:uid="{00000000-0005-0000-0000-0000EB790000}"/>
    <cellStyle name="Normal 3 7 14 4" xfId="17535" xr:uid="{00000000-0005-0000-0000-0000EC790000}"/>
    <cellStyle name="Normal 3 7 14 4 2" xfId="34970" xr:uid="{00000000-0005-0000-0000-0000ED790000}"/>
    <cellStyle name="Normal 3 7 14 5" xfId="17536" xr:uid="{00000000-0005-0000-0000-0000EE790000}"/>
    <cellStyle name="Normal 3 7 14 5 2" xfId="34971" xr:uid="{00000000-0005-0000-0000-0000EF790000}"/>
    <cellStyle name="Normal 3 7 14 6" xfId="17537" xr:uid="{00000000-0005-0000-0000-0000F0790000}"/>
    <cellStyle name="Normal 3 7 14 6 2" xfId="34972" xr:uid="{00000000-0005-0000-0000-0000F1790000}"/>
    <cellStyle name="Normal 3 7 14 7" xfId="17538" xr:uid="{00000000-0005-0000-0000-0000F2790000}"/>
    <cellStyle name="Normal 3 7 14 7 2" xfId="34973" xr:uid="{00000000-0005-0000-0000-0000F3790000}"/>
    <cellStyle name="Normal 3 7 14 8" xfId="17539" xr:uid="{00000000-0005-0000-0000-0000F4790000}"/>
    <cellStyle name="Normal 3 7 14 8 2" xfId="34974" xr:uid="{00000000-0005-0000-0000-0000F5790000}"/>
    <cellStyle name="Normal 3 7 14 9" xfId="17540" xr:uid="{00000000-0005-0000-0000-0000F6790000}"/>
    <cellStyle name="Normal 3 7 14 9 2" xfId="34975" xr:uid="{00000000-0005-0000-0000-0000F7790000}"/>
    <cellStyle name="Normal 3 7 15" xfId="17541" xr:uid="{00000000-0005-0000-0000-0000F8790000}"/>
    <cellStyle name="Normal 3 7 15 10" xfId="17542" xr:uid="{00000000-0005-0000-0000-0000F9790000}"/>
    <cellStyle name="Normal 3 7 15 10 2" xfId="34977" xr:uid="{00000000-0005-0000-0000-0000FA790000}"/>
    <cellStyle name="Normal 3 7 15 11" xfId="17543" xr:uid="{00000000-0005-0000-0000-0000FB790000}"/>
    <cellStyle name="Normal 3 7 15 11 2" xfId="34978" xr:uid="{00000000-0005-0000-0000-0000FC790000}"/>
    <cellStyle name="Normal 3 7 15 12" xfId="17544" xr:uid="{00000000-0005-0000-0000-0000FD790000}"/>
    <cellStyle name="Normal 3 7 15 12 2" xfId="34979" xr:uid="{00000000-0005-0000-0000-0000FE790000}"/>
    <cellStyle name="Normal 3 7 15 13" xfId="17545" xr:uid="{00000000-0005-0000-0000-0000FF790000}"/>
    <cellStyle name="Normal 3 7 15 13 2" xfId="34980" xr:uid="{00000000-0005-0000-0000-0000007A0000}"/>
    <cellStyle name="Normal 3 7 15 14" xfId="17546" xr:uid="{00000000-0005-0000-0000-0000017A0000}"/>
    <cellStyle name="Normal 3 7 15 14 2" xfId="34981" xr:uid="{00000000-0005-0000-0000-0000027A0000}"/>
    <cellStyle name="Normal 3 7 15 15" xfId="17547" xr:uid="{00000000-0005-0000-0000-0000037A0000}"/>
    <cellStyle name="Normal 3 7 15 15 2" xfId="34982" xr:uid="{00000000-0005-0000-0000-0000047A0000}"/>
    <cellStyle name="Normal 3 7 15 16" xfId="34976" xr:uid="{00000000-0005-0000-0000-0000057A0000}"/>
    <cellStyle name="Normal 3 7 15 2" xfId="17548" xr:uid="{00000000-0005-0000-0000-0000067A0000}"/>
    <cellStyle name="Normal 3 7 15 2 10" xfId="17549" xr:uid="{00000000-0005-0000-0000-0000077A0000}"/>
    <cellStyle name="Normal 3 7 15 2 10 2" xfId="34984" xr:uid="{00000000-0005-0000-0000-0000087A0000}"/>
    <cellStyle name="Normal 3 7 15 2 11" xfId="17550" xr:uid="{00000000-0005-0000-0000-0000097A0000}"/>
    <cellStyle name="Normal 3 7 15 2 11 2" xfId="34985" xr:uid="{00000000-0005-0000-0000-00000A7A0000}"/>
    <cellStyle name="Normal 3 7 15 2 12" xfId="17551" xr:uid="{00000000-0005-0000-0000-00000B7A0000}"/>
    <cellStyle name="Normal 3 7 15 2 12 2" xfId="34986" xr:uid="{00000000-0005-0000-0000-00000C7A0000}"/>
    <cellStyle name="Normal 3 7 15 2 13" xfId="17552" xr:uid="{00000000-0005-0000-0000-00000D7A0000}"/>
    <cellStyle name="Normal 3 7 15 2 13 2" xfId="34987" xr:uid="{00000000-0005-0000-0000-00000E7A0000}"/>
    <cellStyle name="Normal 3 7 15 2 14" xfId="17553" xr:uid="{00000000-0005-0000-0000-00000F7A0000}"/>
    <cellStyle name="Normal 3 7 15 2 14 2" xfId="34988" xr:uid="{00000000-0005-0000-0000-0000107A0000}"/>
    <cellStyle name="Normal 3 7 15 2 15" xfId="34983" xr:uid="{00000000-0005-0000-0000-0000117A0000}"/>
    <cellStyle name="Normal 3 7 15 2 2" xfId="17554" xr:uid="{00000000-0005-0000-0000-0000127A0000}"/>
    <cellStyle name="Normal 3 7 15 2 2 2" xfId="34989" xr:uid="{00000000-0005-0000-0000-0000137A0000}"/>
    <cellStyle name="Normal 3 7 15 2 3" xfId="17555" xr:uid="{00000000-0005-0000-0000-0000147A0000}"/>
    <cellStyle name="Normal 3 7 15 2 3 2" xfId="34990" xr:uid="{00000000-0005-0000-0000-0000157A0000}"/>
    <cellStyle name="Normal 3 7 15 2 4" xfId="17556" xr:uid="{00000000-0005-0000-0000-0000167A0000}"/>
    <cellStyle name="Normal 3 7 15 2 4 2" xfId="34991" xr:uid="{00000000-0005-0000-0000-0000177A0000}"/>
    <cellStyle name="Normal 3 7 15 2 5" xfId="17557" xr:uid="{00000000-0005-0000-0000-0000187A0000}"/>
    <cellStyle name="Normal 3 7 15 2 5 2" xfId="34992" xr:uid="{00000000-0005-0000-0000-0000197A0000}"/>
    <cellStyle name="Normal 3 7 15 2 6" xfId="17558" xr:uid="{00000000-0005-0000-0000-00001A7A0000}"/>
    <cellStyle name="Normal 3 7 15 2 6 2" xfId="34993" xr:uid="{00000000-0005-0000-0000-00001B7A0000}"/>
    <cellStyle name="Normal 3 7 15 2 7" xfId="17559" xr:uid="{00000000-0005-0000-0000-00001C7A0000}"/>
    <cellStyle name="Normal 3 7 15 2 7 2" xfId="34994" xr:uid="{00000000-0005-0000-0000-00001D7A0000}"/>
    <cellStyle name="Normal 3 7 15 2 8" xfId="17560" xr:uid="{00000000-0005-0000-0000-00001E7A0000}"/>
    <cellStyle name="Normal 3 7 15 2 8 2" xfId="34995" xr:uid="{00000000-0005-0000-0000-00001F7A0000}"/>
    <cellStyle name="Normal 3 7 15 2 9" xfId="17561" xr:uid="{00000000-0005-0000-0000-0000207A0000}"/>
    <cellStyle name="Normal 3 7 15 2 9 2" xfId="34996" xr:uid="{00000000-0005-0000-0000-0000217A0000}"/>
    <cellStyle name="Normal 3 7 15 3" xfId="17562" xr:uid="{00000000-0005-0000-0000-0000227A0000}"/>
    <cellStyle name="Normal 3 7 15 3 2" xfId="34997" xr:uid="{00000000-0005-0000-0000-0000237A0000}"/>
    <cellStyle name="Normal 3 7 15 4" xfId="17563" xr:uid="{00000000-0005-0000-0000-0000247A0000}"/>
    <cellStyle name="Normal 3 7 15 4 2" xfId="34998" xr:uid="{00000000-0005-0000-0000-0000257A0000}"/>
    <cellStyle name="Normal 3 7 15 5" xfId="17564" xr:uid="{00000000-0005-0000-0000-0000267A0000}"/>
    <cellStyle name="Normal 3 7 15 5 2" xfId="34999" xr:uid="{00000000-0005-0000-0000-0000277A0000}"/>
    <cellStyle name="Normal 3 7 15 6" xfId="17565" xr:uid="{00000000-0005-0000-0000-0000287A0000}"/>
    <cellStyle name="Normal 3 7 15 6 2" xfId="35000" xr:uid="{00000000-0005-0000-0000-0000297A0000}"/>
    <cellStyle name="Normal 3 7 15 7" xfId="17566" xr:uid="{00000000-0005-0000-0000-00002A7A0000}"/>
    <cellStyle name="Normal 3 7 15 7 2" xfId="35001" xr:uid="{00000000-0005-0000-0000-00002B7A0000}"/>
    <cellStyle name="Normal 3 7 15 8" xfId="17567" xr:uid="{00000000-0005-0000-0000-00002C7A0000}"/>
    <cellStyle name="Normal 3 7 15 8 2" xfId="35002" xr:uid="{00000000-0005-0000-0000-00002D7A0000}"/>
    <cellStyle name="Normal 3 7 15 9" xfId="17568" xr:uid="{00000000-0005-0000-0000-00002E7A0000}"/>
    <cellStyle name="Normal 3 7 15 9 2" xfId="35003" xr:uid="{00000000-0005-0000-0000-00002F7A0000}"/>
    <cellStyle name="Normal 3 7 16" xfId="17569" xr:uid="{00000000-0005-0000-0000-0000307A0000}"/>
    <cellStyle name="Normal 3 7 16 10" xfId="17570" xr:uid="{00000000-0005-0000-0000-0000317A0000}"/>
    <cellStyle name="Normal 3 7 16 10 2" xfId="35005" xr:uid="{00000000-0005-0000-0000-0000327A0000}"/>
    <cellStyle name="Normal 3 7 16 11" xfId="17571" xr:uid="{00000000-0005-0000-0000-0000337A0000}"/>
    <cellStyle name="Normal 3 7 16 11 2" xfId="35006" xr:uid="{00000000-0005-0000-0000-0000347A0000}"/>
    <cellStyle name="Normal 3 7 16 12" xfId="17572" xr:uid="{00000000-0005-0000-0000-0000357A0000}"/>
    <cellStyle name="Normal 3 7 16 12 2" xfId="35007" xr:uid="{00000000-0005-0000-0000-0000367A0000}"/>
    <cellStyle name="Normal 3 7 16 13" xfId="17573" xr:uid="{00000000-0005-0000-0000-0000377A0000}"/>
    <cellStyle name="Normal 3 7 16 13 2" xfId="35008" xr:uid="{00000000-0005-0000-0000-0000387A0000}"/>
    <cellStyle name="Normal 3 7 16 14" xfId="17574" xr:uid="{00000000-0005-0000-0000-0000397A0000}"/>
    <cellStyle name="Normal 3 7 16 14 2" xfId="35009" xr:uid="{00000000-0005-0000-0000-00003A7A0000}"/>
    <cellStyle name="Normal 3 7 16 15" xfId="17575" xr:uid="{00000000-0005-0000-0000-00003B7A0000}"/>
    <cellStyle name="Normal 3 7 16 15 2" xfId="35010" xr:uid="{00000000-0005-0000-0000-00003C7A0000}"/>
    <cellStyle name="Normal 3 7 16 16" xfId="35004" xr:uid="{00000000-0005-0000-0000-00003D7A0000}"/>
    <cellStyle name="Normal 3 7 16 2" xfId="17576" xr:uid="{00000000-0005-0000-0000-00003E7A0000}"/>
    <cellStyle name="Normal 3 7 16 2 10" xfId="17577" xr:uid="{00000000-0005-0000-0000-00003F7A0000}"/>
    <cellStyle name="Normal 3 7 16 2 10 2" xfId="35012" xr:uid="{00000000-0005-0000-0000-0000407A0000}"/>
    <cellStyle name="Normal 3 7 16 2 11" xfId="17578" xr:uid="{00000000-0005-0000-0000-0000417A0000}"/>
    <cellStyle name="Normal 3 7 16 2 11 2" xfId="35013" xr:uid="{00000000-0005-0000-0000-0000427A0000}"/>
    <cellStyle name="Normal 3 7 16 2 12" xfId="17579" xr:uid="{00000000-0005-0000-0000-0000437A0000}"/>
    <cellStyle name="Normal 3 7 16 2 12 2" xfId="35014" xr:uid="{00000000-0005-0000-0000-0000447A0000}"/>
    <cellStyle name="Normal 3 7 16 2 13" xfId="17580" xr:uid="{00000000-0005-0000-0000-0000457A0000}"/>
    <cellStyle name="Normal 3 7 16 2 13 2" xfId="35015" xr:uid="{00000000-0005-0000-0000-0000467A0000}"/>
    <cellStyle name="Normal 3 7 16 2 14" xfId="17581" xr:uid="{00000000-0005-0000-0000-0000477A0000}"/>
    <cellStyle name="Normal 3 7 16 2 14 2" xfId="35016" xr:uid="{00000000-0005-0000-0000-0000487A0000}"/>
    <cellStyle name="Normal 3 7 16 2 15" xfId="35011" xr:uid="{00000000-0005-0000-0000-0000497A0000}"/>
    <cellStyle name="Normal 3 7 16 2 2" xfId="17582" xr:uid="{00000000-0005-0000-0000-00004A7A0000}"/>
    <cellStyle name="Normal 3 7 16 2 2 2" xfId="35017" xr:uid="{00000000-0005-0000-0000-00004B7A0000}"/>
    <cellStyle name="Normal 3 7 16 2 3" xfId="17583" xr:uid="{00000000-0005-0000-0000-00004C7A0000}"/>
    <cellStyle name="Normal 3 7 16 2 3 2" xfId="35018" xr:uid="{00000000-0005-0000-0000-00004D7A0000}"/>
    <cellStyle name="Normal 3 7 16 2 4" xfId="17584" xr:uid="{00000000-0005-0000-0000-00004E7A0000}"/>
    <cellStyle name="Normal 3 7 16 2 4 2" xfId="35019" xr:uid="{00000000-0005-0000-0000-00004F7A0000}"/>
    <cellStyle name="Normal 3 7 16 2 5" xfId="17585" xr:uid="{00000000-0005-0000-0000-0000507A0000}"/>
    <cellStyle name="Normal 3 7 16 2 5 2" xfId="35020" xr:uid="{00000000-0005-0000-0000-0000517A0000}"/>
    <cellStyle name="Normal 3 7 16 2 6" xfId="17586" xr:uid="{00000000-0005-0000-0000-0000527A0000}"/>
    <cellStyle name="Normal 3 7 16 2 6 2" xfId="35021" xr:uid="{00000000-0005-0000-0000-0000537A0000}"/>
    <cellStyle name="Normal 3 7 16 2 7" xfId="17587" xr:uid="{00000000-0005-0000-0000-0000547A0000}"/>
    <cellStyle name="Normal 3 7 16 2 7 2" xfId="35022" xr:uid="{00000000-0005-0000-0000-0000557A0000}"/>
    <cellStyle name="Normal 3 7 16 2 8" xfId="17588" xr:uid="{00000000-0005-0000-0000-0000567A0000}"/>
    <cellStyle name="Normal 3 7 16 2 8 2" xfId="35023" xr:uid="{00000000-0005-0000-0000-0000577A0000}"/>
    <cellStyle name="Normal 3 7 16 2 9" xfId="17589" xr:uid="{00000000-0005-0000-0000-0000587A0000}"/>
    <cellStyle name="Normal 3 7 16 2 9 2" xfId="35024" xr:uid="{00000000-0005-0000-0000-0000597A0000}"/>
    <cellStyle name="Normal 3 7 16 3" xfId="17590" xr:uid="{00000000-0005-0000-0000-00005A7A0000}"/>
    <cellStyle name="Normal 3 7 16 3 2" xfId="35025" xr:uid="{00000000-0005-0000-0000-00005B7A0000}"/>
    <cellStyle name="Normal 3 7 16 4" xfId="17591" xr:uid="{00000000-0005-0000-0000-00005C7A0000}"/>
    <cellStyle name="Normal 3 7 16 4 2" xfId="35026" xr:uid="{00000000-0005-0000-0000-00005D7A0000}"/>
    <cellStyle name="Normal 3 7 16 5" xfId="17592" xr:uid="{00000000-0005-0000-0000-00005E7A0000}"/>
    <cellStyle name="Normal 3 7 16 5 2" xfId="35027" xr:uid="{00000000-0005-0000-0000-00005F7A0000}"/>
    <cellStyle name="Normal 3 7 16 6" xfId="17593" xr:uid="{00000000-0005-0000-0000-0000607A0000}"/>
    <cellStyle name="Normal 3 7 16 6 2" xfId="35028" xr:uid="{00000000-0005-0000-0000-0000617A0000}"/>
    <cellStyle name="Normal 3 7 16 7" xfId="17594" xr:uid="{00000000-0005-0000-0000-0000627A0000}"/>
    <cellStyle name="Normal 3 7 16 7 2" xfId="35029" xr:uid="{00000000-0005-0000-0000-0000637A0000}"/>
    <cellStyle name="Normal 3 7 16 8" xfId="17595" xr:uid="{00000000-0005-0000-0000-0000647A0000}"/>
    <cellStyle name="Normal 3 7 16 8 2" xfId="35030" xr:uid="{00000000-0005-0000-0000-0000657A0000}"/>
    <cellStyle name="Normal 3 7 16 9" xfId="17596" xr:uid="{00000000-0005-0000-0000-0000667A0000}"/>
    <cellStyle name="Normal 3 7 16 9 2" xfId="35031" xr:uid="{00000000-0005-0000-0000-0000677A0000}"/>
    <cellStyle name="Normal 3 7 17" xfId="17597" xr:uid="{00000000-0005-0000-0000-0000687A0000}"/>
    <cellStyle name="Normal 3 7 17 10" xfId="17598" xr:uid="{00000000-0005-0000-0000-0000697A0000}"/>
    <cellStyle name="Normal 3 7 17 10 2" xfId="35033" xr:uid="{00000000-0005-0000-0000-00006A7A0000}"/>
    <cellStyle name="Normal 3 7 17 11" xfId="17599" xr:uid="{00000000-0005-0000-0000-00006B7A0000}"/>
    <cellStyle name="Normal 3 7 17 11 2" xfId="35034" xr:uid="{00000000-0005-0000-0000-00006C7A0000}"/>
    <cellStyle name="Normal 3 7 17 12" xfId="17600" xr:uid="{00000000-0005-0000-0000-00006D7A0000}"/>
    <cellStyle name="Normal 3 7 17 12 2" xfId="35035" xr:uid="{00000000-0005-0000-0000-00006E7A0000}"/>
    <cellStyle name="Normal 3 7 17 13" xfId="17601" xr:uid="{00000000-0005-0000-0000-00006F7A0000}"/>
    <cellStyle name="Normal 3 7 17 13 2" xfId="35036" xr:uid="{00000000-0005-0000-0000-0000707A0000}"/>
    <cellStyle name="Normal 3 7 17 14" xfId="17602" xr:uid="{00000000-0005-0000-0000-0000717A0000}"/>
    <cellStyle name="Normal 3 7 17 14 2" xfId="35037" xr:uid="{00000000-0005-0000-0000-0000727A0000}"/>
    <cellStyle name="Normal 3 7 17 15" xfId="35032" xr:uid="{00000000-0005-0000-0000-0000737A0000}"/>
    <cellStyle name="Normal 3 7 17 2" xfId="17603" xr:uid="{00000000-0005-0000-0000-0000747A0000}"/>
    <cellStyle name="Normal 3 7 17 2 2" xfId="35038" xr:uid="{00000000-0005-0000-0000-0000757A0000}"/>
    <cellStyle name="Normal 3 7 17 3" xfId="17604" xr:uid="{00000000-0005-0000-0000-0000767A0000}"/>
    <cellStyle name="Normal 3 7 17 3 2" xfId="35039" xr:uid="{00000000-0005-0000-0000-0000777A0000}"/>
    <cellStyle name="Normal 3 7 17 4" xfId="17605" xr:uid="{00000000-0005-0000-0000-0000787A0000}"/>
    <cellStyle name="Normal 3 7 17 4 2" xfId="35040" xr:uid="{00000000-0005-0000-0000-0000797A0000}"/>
    <cellStyle name="Normal 3 7 17 5" xfId="17606" xr:uid="{00000000-0005-0000-0000-00007A7A0000}"/>
    <cellStyle name="Normal 3 7 17 5 2" xfId="35041" xr:uid="{00000000-0005-0000-0000-00007B7A0000}"/>
    <cellStyle name="Normal 3 7 17 6" xfId="17607" xr:uid="{00000000-0005-0000-0000-00007C7A0000}"/>
    <cellStyle name="Normal 3 7 17 6 2" xfId="35042" xr:uid="{00000000-0005-0000-0000-00007D7A0000}"/>
    <cellStyle name="Normal 3 7 17 7" xfId="17608" xr:uid="{00000000-0005-0000-0000-00007E7A0000}"/>
    <cellStyle name="Normal 3 7 17 7 2" xfId="35043" xr:uid="{00000000-0005-0000-0000-00007F7A0000}"/>
    <cellStyle name="Normal 3 7 17 8" xfId="17609" xr:uid="{00000000-0005-0000-0000-0000807A0000}"/>
    <cellStyle name="Normal 3 7 17 8 2" xfId="35044" xr:uid="{00000000-0005-0000-0000-0000817A0000}"/>
    <cellStyle name="Normal 3 7 17 9" xfId="17610" xr:uid="{00000000-0005-0000-0000-0000827A0000}"/>
    <cellStyle name="Normal 3 7 17 9 2" xfId="35045" xr:uid="{00000000-0005-0000-0000-0000837A0000}"/>
    <cellStyle name="Normal 3 7 18" xfId="17611" xr:uid="{00000000-0005-0000-0000-0000847A0000}"/>
    <cellStyle name="Normal 3 7 18 10" xfId="17612" xr:uid="{00000000-0005-0000-0000-0000857A0000}"/>
    <cellStyle name="Normal 3 7 18 10 2" xfId="35047" xr:uid="{00000000-0005-0000-0000-0000867A0000}"/>
    <cellStyle name="Normal 3 7 18 11" xfId="17613" xr:uid="{00000000-0005-0000-0000-0000877A0000}"/>
    <cellStyle name="Normal 3 7 18 11 2" xfId="35048" xr:uid="{00000000-0005-0000-0000-0000887A0000}"/>
    <cellStyle name="Normal 3 7 18 12" xfId="17614" xr:uid="{00000000-0005-0000-0000-0000897A0000}"/>
    <cellStyle name="Normal 3 7 18 12 2" xfId="35049" xr:uid="{00000000-0005-0000-0000-00008A7A0000}"/>
    <cellStyle name="Normal 3 7 18 13" xfId="17615" xr:uid="{00000000-0005-0000-0000-00008B7A0000}"/>
    <cellStyle name="Normal 3 7 18 13 2" xfId="35050" xr:uid="{00000000-0005-0000-0000-00008C7A0000}"/>
    <cellStyle name="Normal 3 7 18 14" xfId="17616" xr:uid="{00000000-0005-0000-0000-00008D7A0000}"/>
    <cellStyle name="Normal 3 7 18 14 2" xfId="35051" xr:uid="{00000000-0005-0000-0000-00008E7A0000}"/>
    <cellStyle name="Normal 3 7 18 15" xfId="35046" xr:uid="{00000000-0005-0000-0000-00008F7A0000}"/>
    <cellStyle name="Normal 3 7 18 2" xfId="17617" xr:uid="{00000000-0005-0000-0000-0000907A0000}"/>
    <cellStyle name="Normal 3 7 18 2 2" xfId="35052" xr:uid="{00000000-0005-0000-0000-0000917A0000}"/>
    <cellStyle name="Normal 3 7 18 3" xfId="17618" xr:uid="{00000000-0005-0000-0000-0000927A0000}"/>
    <cellStyle name="Normal 3 7 18 3 2" xfId="35053" xr:uid="{00000000-0005-0000-0000-0000937A0000}"/>
    <cellStyle name="Normal 3 7 18 4" xfId="17619" xr:uid="{00000000-0005-0000-0000-0000947A0000}"/>
    <cellStyle name="Normal 3 7 18 4 2" xfId="35054" xr:uid="{00000000-0005-0000-0000-0000957A0000}"/>
    <cellStyle name="Normal 3 7 18 5" xfId="17620" xr:uid="{00000000-0005-0000-0000-0000967A0000}"/>
    <cellStyle name="Normal 3 7 18 5 2" xfId="35055" xr:uid="{00000000-0005-0000-0000-0000977A0000}"/>
    <cellStyle name="Normal 3 7 18 6" xfId="17621" xr:uid="{00000000-0005-0000-0000-0000987A0000}"/>
    <cellStyle name="Normal 3 7 18 6 2" xfId="35056" xr:uid="{00000000-0005-0000-0000-0000997A0000}"/>
    <cellStyle name="Normal 3 7 18 7" xfId="17622" xr:uid="{00000000-0005-0000-0000-00009A7A0000}"/>
    <cellStyle name="Normal 3 7 18 7 2" xfId="35057" xr:uid="{00000000-0005-0000-0000-00009B7A0000}"/>
    <cellStyle name="Normal 3 7 18 8" xfId="17623" xr:uid="{00000000-0005-0000-0000-00009C7A0000}"/>
    <cellStyle name="Normal 3 7 18 8 2" xfId="35058" xr:uid="{00000000-0005-0000-0000-00009D7A0000}"/>
    <cellStyle name="Normal 3 7 18 9" xfId="17624" xr:uid="{00000000-0005-0000-0000-00009E7A0000}"/>
    <cellStyle name="Normal 3 7 18 9 2" xfId="35059" xr:uid="{00000000-0005-0000-0000-00009F7A0000}"/>
    <cellStyle name="Normal 3 7 19" xfId="17625" xr:uid="{00000000-0005-0000-0000-0000A07A0000}"/>
    <cellStyle name="Normal 3 7 19 10" xfId="17626" xr:uid="{00000000-0005-0000-0000-0000A17A0000}"/>
    <cellStyle name="Normal 3 7 19 10 2" xfId="35061" xr:uid="{00000000-0005-0000-0000-0000A27A0000}"/>
    <cellStyle name="Normal 3 7 19 11" xfId="17627" xr:uid="{00000000-0005-0000-0000-0000A37A0000}"/>
    <cellStyle name="Normal 3 7 19 11 2" xfId="35062" xr:uid="{00000000-0005-0000-0000-0000A47A0000}"/>
    <cellStyle name="Normal 3 7 19 12" xfId="17628" xr:uid="{00000000-0005-0000-0000-0000A57A0000}"/>
    <cellStyle name="Normal 3 7 19 12 2" xfId="35063" xr:uid="{00000000-0005-0000-0000-0000A67A0000}"/>
    <cellStyle name="Normal 3 7 19 13" xfId="17629" xr:uid="{00000000-0005-0000-0000-0000A77A0000}"/>
    <cellStyle name="Normal 3 7 19 13 2" xfId="35064" xr:uid="{00000000-0005-0000-0000-0000A87A0000}"/>
    <cellStyle name="Normal 3 7 19 14" xfId="17630" xr:uid="{00000000-0005-0000-0000-0000A97A0000}"/>
    <cellStyle name="Normal 3 7 19 14 2" xfId="35065" xr:uid="{00000000-0005-0000-0000-0000AA7A0000}"/>
    <cellStyle name="Normal 3 7 19 15" xfId="35060" xr:uid="{00000000-0005-0000-0000-0000AB7A0000}"/>
    <cellStyle name="Normal 3 7 19 2" xfId="17631" xr:uid="{00000000-0005-0000-0000-0000AC7A0000}"/>
    <cellStyle name="Normal 3 7 19 2 2" xfId="35066" xr:uid="{00000000-0005-0000-0000-0000AD7A0000}"/>
    <cellStyle name="Normal 3 7 19 3" xfId="17632" xr:uid="{00000000-0005-0000-0000-0000AE7A0000}"/>
    <cellStyle name="Normal 3 7 19 3 2" xfId="35067" xr:uid="{00000000-0005-0000-0000-0000AF7A0000}"/>
    <cellStyle name="Normal 3 7 19 4" xfId="17633" xr:uid="{00000000-0005-0000-0000-0000B07A0000}"/>
    <cellStyle name="Normal 3 7 19 4 2" xfId="35068" xr:uid="{00000000-0005-0000-0000-0000B17A0000}"/>
    <cellStyle name="Normal 3 7 19 5" xfId="17634" xr:uid="{00000000-0005-0000-0000-0000B27A0000}"/>
    <cellStyle name="Normal 3 7 19 5 2" xfId="35069" xr:uid="{00000000-0005-0000-0000-0000B37A0000}"/>
    <cellStyle name="Normal 3 7 19 6" xfId="17635" xr:uid="{00000000-0005-0000-0000-0000B47A0000}"/>
    <cellStyle name="Normal 3 7 19 6 2" xfId="35070" xr:uid="{00000000-0005-0000-0000-0000B57A0000}"/>
    <cellStyle name="Normal 3 7 19 7" xfId="17636" xr:uid="{00000000-0005-0000-0000-0000B67A0000}"/>
    <cellStyle name="Normal 3 7 19 7 2" xfId="35071" xr:uid="{00000000-0005-0000-0000-0000B77A0000}"/>
    <cellStyle name="Normal 3 7 19 8" xfId="17637" xr:uid="{00000000-0005-0000-0000-0000B87A0000}"/>
    <cellStyle name="Normal 3 7 19 8 2" xfId="35072" xr:uid="{00000000-0005-0000-0000-0000B97A0000}"/>
    <cellStyle name="Normal 3 7 19 9" xfId="17638" xr:uid="{00000000-0005-0000-0000-0000BA7A0000}"/>
    <cellStyle name="Normal 3 7 19 9 2" xfId="35073" xr:uid="{00000000-0005-0000-0000-0000BB7A0000}"/>
    <cellStyle name="Normal 3 7 2" xfId="17639" xr:uid="{00000000-0005-0000-0000-0000BC7A0000}"/>
    <cellStyle name="Normal 3 7 20" xfId="17640" xr:uid="{00000000-0005-0000-0000-0000BD7A0000}"/>
    <cellStyle name="Normal 3 7 20 10" xfId="17641" xr:uid="{00000000-0005-0000-0000-0000BE7A0000}"/>
    <cellStyle name="Normal 3 7 20 10 2" xfId="35075" xr:uid="{00000000-0005-0000-0000-0000BF7A0000}"/>
    <cellStyle name="Normal 3 7 20 11" xfId="17642" xr:uid="{00000000-0005-0000-0000-0000C07A0000}"/>
    <cellStyle name="Normal 3 7 20 11 2" xfId="35076" xr:uid="{00000000-0005-0000-0000-0000C17A0000}"/>
    <cellStyle name="Normal 3 7 20 12" xfId="17643" xr:uid="{00000000-0005-0000-0000-0000C27A0000}"/>
    <cellStyle name="Normal 3 7 20 12 2" xfId="35077" xr:uid="{00000000-0005-0000-0000-0000C37A0000}"/>
    <cellStyle name="Normal 3 7 20 13" xfId="17644" xr:uid="{00000000-0005-0000-0000-0000C47A0000}"/>
    <cellStyle name="Normal 3 7 20 13 2" xfId="35078" xr:uid="{00000000-0005-0000-0000-0000C57A0000}"/>
    <cellStyle name="Normal 3 7 20 14" xfId="17645" xr:uid="{00000000-0005-0000-0000-0000C67A0000}"/>
    <cellStyle name="Normal 3 7 20 14 2" xfId="35079" xr:uid="{00000000-0005-0000-0000-0000C77A0000}"/>
    <cellStyle name="Normal 3 7 20 15" xfId="35074" xr:uid="{00000000-0005-0000-0000-0000C87A0000}"/>
    <cellStyle name="Normal 3 7 20 2" xfId="17646" xr:uid="{00000000-0005-0000-0000-0000C97A0000}"/>
    <cellStyle name="Normal 3 7 20 2 2" xfId="35080" xr:uid="{00000000-0005-0000-0000-0000CA7A0000}"/>
    <cellStyle name="Normal 3 7 20 3" xfId="17647" xr:uid="{00000000-0005-0000-0000-0000CB7A0000}"/>
    <cellStyle name="Normal 3 7 20 3 2" xfId="35081" xr:uid="{00000000-0005-0000-0000-0000CC7A0000}"/>
    <cellStyle name="Normal 3 7 20 4" xfId="17648" xr:uid="{00000000-0005-0000-0000-0000CD7A0000}"/>
    <cellStyle name="Normal 3 7 20 4 2" xfId="35082" xr:uid="{00000000-0005-0000-0000-0000CE7A0000}"/>
    <cellStyle name="Normal 3 7 20 5" xfId="17649" xr:uid="{00000000-0005-0000-0000-0000CF7A0000}"/>
    <cellStyle name="Normal 3 7 20 5 2" xfId="35083" xr:uid="{00000000-0005-0000-0000-0000D07A0000}"/>
    <cellStyle name="Normal 3 7 20 6" xfId="17650" xr:uid="{00000000-0005-0000-0000-0000D17A0000}"/>
    <cellStyle name="Normal 3 7 20 6 2" xfId="35084" xr:uid="{00000000-0005-0000-0000-0000D27A0000}"/>
    <cellStyle name="Normal 3 7 20 7" xfId="17651" xr:uid="{00000000-0005-0000-0000-0000D37A0000}"/>
    <cellStyle name="Normal 3 7 20 7 2" xfId="35085" xr:uid="{00000000-0005-0000-0000-0000D47A0000}"/>
    <cellStyle name="Normal 3 7 20 8" xfId="17652" xr:uid="{00000000-0005-0000-0000-0000D57A0000}"/>
    <cellStyle name="Normal 3 7 20 8 2" xfId="35086" xr:uid="{00000000-0005-0000-0000-0000D67A0000}"/>
    <cellStyle name="Normal 3 7 20 9" xfId="17653" xr:uid="{00000000-0005-0000-0000-0000D77A0000}"/>
    <cellStyle name="Normal 3 7 20 9 2" xfId="35087" xr:uid="{00000000-0005-0000-0000-0000D87A0000}"/>
    <cellStyle name="Normal 3 7 21" xfId="17654" xr:uid="{00000000-0005-0000-0000-0000D97A0000}"/>
    <cellStyle name="Normal 3 7 21 10" xfId="17655" xr:uid="{00000000-0005-0000-0000-0000DA7A0000}"/>
    <cellStyle name="Normal 3 7 21 10 2" xfId="35089" xr:uid="{00000000-0005-0000-0000-0000DB7A0000}"/>
    <cellStyle name="Normal 3 7 21 11" xfId="17656" xr:uid="{00000000-0005-0000-0000-0000DC7A0000}"/>
    <cellStyle name="Normal 3 7 21 11 2" xfId="35090" xr:uid="{00000000-0005-0000-0000-0000DD7A0000}"/>
    <cellStyle name="Normal 3 7 21 12" xfId="17657" xr:uid="{00000000-0005-0000-0000-0000DE7A0000}"/>
    <cellStyle name="Normal 3 7 21 12 2" xfId="35091" xr:uid="{00000000-0005-0000-0000-0000DF7A0000}"/>
    <cellStyle name="Normal 3 7 21 13" xfId="17658" xr:uid="{00000000-0005-0000-0000-0000E07A0000}"/>
    <cellStyle name="Normal 3 7 21 13 2" xfId="35092" xr:uid="{00000000-0005-0000-0000-0000E17A0000}"/>
    <cellStyle name="Normal 3 7 21 14" xfId="17659" xr:uid="{00000000-0005-0000-0000-0000E27A0000}"/>
    <cellStyle name="Normal 3 7 21 14 2" xfId="35093" xr:uid="{00000000-0005-0000-0000-0000E37A0000}"/>
    <cellStyle name="Normal 3 7 21 15" xfId="35088" xr:uid="{00000000-0005-0000-0000-0000E47A0000}"/>
    <cellStyle name="Normal 3 7 21 2" xfId="17660" xr:uid="{00000000-0005-0000-0000-0000E57A0000}"/>
    <cellStyle name="Normal 3 7 21 2 2" xfId="35094" xr:uid="{00000000-0005-0000-0000-0000E67A0000}"/>
    <cellStyle name="Normal 3 7 21 3" xfId="17661" xr:uid="{00000000-0005-0000-0000-0000E77A0000}"/>
    <cellStyle name="Normal 3 7 21 3 2" xfId="35095" xr:uid="{00000000-0005-0000-0000-0000E87A0000}"/>
    <cellStyle name="Normal 3 7 21 4" xfId="17662" xr:uid="{00000000-0005-0000-0000-0000E97A0000}"/>
    <cellStyle name="Normal 3 7 21 4 2" xfId="35096" xr:uid="{00000000-0005-0000-0000-0000EA7A0000}"/>
    <cellStyle name="Normal 3 7 21 5" xfId="17663" xr:uid="{00000000-0005-0000-0000-0000EB7A0000}"/>
    <cellStyle name="Normal 3 7 21 5 2" xfId="35097" xr:uid="{00000000-0005-0000-0000-0000EC7A0000}"/>
    <cellStyle name="Normal 3 7 21 6" xfId="17664" xr:uid="{00000000-0005-0000-0000-0000ED7A0000}"/>
    <cellStyle name="Normal 3 7 21 6 2" xfId="35098" xr:uid="{00000000-0005-0000-0000-0000EE7A0000}"/>
    <cellStyle name="Normal 3 7 21 7" xfId="17665" xr:uid="{00000000-0005-0000-0000-0000EF7A0000}"/>
    <cellStyle name="Normal 3 7 21 7 2" xfId="35099" xr:uid="{00000000-0005-0000-0000-0000F07A0000}"/>
    <cellStyle name="Normal 3 7 21 8" xfId="17666" xr:uid="{00000000-0005-0000-0000-0000F17A0000}"/>
    <cellStyle name="Normal 3 7 21 8 2" xfId="35100" xr:uid="{00000000-0005-0000-0000-0000F27A0000}"/>
    <cellStyle name="Normal 3 7 21 9" xfId="17667" xr:uid="{00000000-0005-0000-0000-0000F37A0000}"/>
    <cellStyle name="Normal 3 7 21 9 2" xfId="35101" xr:uid="{00000000-0005-0000-0000-0000F47A0000}"/>
    <cellStyle name="Normal 3 7 22" xfId="17668" xr:uid="{00000000-0005-0000-0000-0000F57A0000}"/>
    <cellStyle name="Normal 3 7 22 10" xfId="17669" xr:uid="{00000000-0005-0000-0000-0000F67A0000}"/>
    <cellStyle name="Normal 3 7 22 10 2" xfId="35103" xr:uid="{00000000-0005-0000-0000-0000F77A0000}"/>
    <cellStyle name="Normal 3 7 22 11" xfId="17670" xr:uid="{00000000-0005-0000-0000-0000F87A0000}"/>
    <cellStyle name="Normal 3 7 22 11 2" xfId="35104" xr:uid="{00000000-0005-0000-0000-0000F97A0000}"/>
    <cellStyle name="Normal 3 7 22 12" xfId="17671" xr:uid="{00000000-0005-0000-0000-0000FA7A0000}"/>
    <cellStyle name="Normal 3 7 22 12 2" xfId="35105" xr:uid="{00000000-0005-0000-0000-0000FB7A0000}"/>
    <cellStyle name="Normal 3 7 22 13" xfId="17672" xr:uid="{00000000-0005-0000-0000-0000FC7A0000}"/>
    <cellStyle name="Normal 3 7 22 13 2" xfId="35106" xr:uid="{00000000-0005-0000-0000-0000FD7A0000}"/>
    <cellStyle name="Normal 3 7 22 14" xfId="17673" xr:uid="{00000000-0005-0000-0000-0000FE7A0000}"/>
    <cellStyle name="Normal 3 7 22 14 2" xfId="35107" xr:uid="{00000000-0005-0000-0000-0000FF7A0000}"/>
    <cellStyle name="Normal 3 7 22 15" xfId="35102" xr:uid="{00000000-0005-0000-0000-0000007B0000}"/>
    <cellStyle name="Normal 3 7 22 2" xfId="17674" xr:uid="{00000000-0005-0000-0000-0000017B0000}"/>
    <cellStyle name="Normal 3 7 22 2 2" xfId="35108" xr:uid="{00000000-0005-0000-0000-0000027B0000}"/>
    <cellStyle name="Normal 3 7 22 3" xfId="17675" xr:uid="{00000000-0005-0000-0000-0000037B0000}"/>
    <cellStyle name="Normal 3 7 22 3 2" xfId="35109" xr:uid="{00000000-0005-0000-0000-0000047B0000}"/>
    <cellStyle name="Normal 3 7 22 4" xfId="17676" xr:uid="{00000000-0005-0000-0000-0000057B0000}"/>
    <cellStyle name="Normal 3 7 22 4 2" xfId="35110" xr:uid="{00000000-0005-0000-0000-0000067B0000}"/>
    <cellStyle name="Normal 3 7 22 5" xfId="17677" xr:uid="{00000000-0005-0000-0000-0000077B0000}"/>
    <cellStyle name="Normal 3 7 22 5 2" xfId="35111" xr:uid="{00000000-0005-0000-0000-0000087B0000}"/>
    <cellStyle name="Normal 3 7 22 6" xfId="17678" xr:uid="{00000000-0005-0000-0000-0000097B0000}"/>
    <cellStyle name="Normal 3 7 22 6 2" xfId="35112" xr:uid="{00000000-0005-0000-0000-00000A7B0000}"/>
    <cellStyle name="Normal 3 7 22 7" xfId="17679" xr:uid="{00000000-0005-0000-0000-00000B7B0000}"/>
    <cellStyle name="Normal 3 7 22 7 2" xfId="35113" xr:uid="{00000000-0005-0000-0000-00000C7B0000}"/>
    <cellStyle name="Normal 3 7 22 8" xfId="17680" xr:uid="{00000000-0005-0000-0000-00000D7B0000}"/>
    <cellStyle name="Normal 3 7 22 8 2" xfId="35114" xr:uid="{00000000-0005-0000-0000-00000E7B0000}"/>
    <cellStyle name="Normal 3 7 22 9" xfId="17681" xr:uid="{00000000-0005-0000-0000-00000F7B0000}"/>
    <cellStyle name="Normal 3 7 22 9 2" xfId="35115" xr:uid="{00000000-0005-0000-0000-0000107B0000}"/>
    <cellStyle name="Normal 3 7 23" xfId="17682" xr:uid="{00000000-0005-0000-0000-0000117B0000}"/>
    <cellStyle name="Normal 3 7 24" xfId="17683" xr:uid="{00000000-0005-0000-0000-0000127B0000}"/>
    <cellStyle name="Normal 3 7 25" xfId="17684" xr:uid="{00000000-0005-0000-0000-0000137B0000}"/>
    <cellStyle name="Normal 3 7 25 10" xfId="17685" xr:uid="{00000000-0005-0000-0000-0000147B0000}"/>
    <cellStyle name="Normal 3 7 25 10 2" xfId="35117" xr:uid="{00000000-0005-0000-0000-0000157B0000}"/>
    <cellStyle name="Normal 3 7 25 11" xfId="17686" xr:uid="{00000000-0005-0000-0000-0000167B0000}"/>
    <cellStyle name="Normal 3 7 25 11 2" xfId="35118" xr:uid="{00000000-0005-0000-0000-0000177B0000}"/>
    <cellStyle name="Normal 3 7 25 12" xfId="17687" xr:uid="{00000000-0005-0000-0000-0000187B0000}"/>
    <cellStyle name="Normal 3 7 25 12 2" xfId="35119" xr:uid="{00000000-0005-0000-0000-0000197B0000}"/>
    <cellStyle name="Normal 3 7 25 13" xfId="17688" xr:uid="{00000000-0005-0000-0000-00001A7B0000}"/>
    <cellStyle name="Normal 3 7 25 13 2" xfId="35120" xr:uid="{00000000-0005-0000-0000-00001B7B0000}"/>
    <cellStyle name="Normal 3 7 25 14" xfId="17689" xr:uid="{00000000-0005-0000-0000-00001C7B0000}"/>
    <cellStyle name="Normal 3 7 25 14 2" xfId="35121" xr:uid="{00000000-0005-0000-0000-00001D7B0000}"/>
    <cellStyle name="Normal 3 7 25 15" xfId="35116" xr:uid="{00000000-0005-0000-0000-00001E7B0000}"/>
    <cellStyle name="Normal 3 7 25 2" xfId="17690" xr:uid="{00000000-0005-0000-0000-00001F7B0000}"/>
    <cellStyle name="Normal 3 7 25 2 2" xfId="35122" xr:uid="{00000000-0005-0000-0000-0000207B0000}"/>
    <cellStyle name="Normal 3 7 25 3" xfId="17691" xr:uid="{00000000-0005-0000-0000-0000217B0000}"/>
    <cellStyle name="Normal 3 7 25 3 2" xfId="35123" xr:uid="{00000000-0005-0000-0000-0000227B0000}"/>
    <cellStyle name="Normal 3 7 25 4" xfId="17692" xr:uid="{00000000-0005-0000-0000-0000237B0000}"/>
    <cellStyle name="Normal 3 7 25 4 2" xfId="35124" xr:uid="{00000000-0005-0000-0000-0000247B0000}"/>
    <cellStyle name="Normal 3 7 25 5" xfId="17693" xr:uid="{00000000-0005-0000-0000-0000257B0000}"/>
    <cellStyle name="Normal 3 7 25 5 2" xfId="35125" xr:uid="{00000000-0005-0000-0000-0000267B0000}"/>
    <cellStyle name="Normal 3 7 25 6" xfId="17694" xr:uid="{00000000-0005-0000-0000-0000277B0000}"/>
    <cellStyle name="Normal 3 7 25 6 2" xfId="35126" xr:uid="{00000000-0005-0000-0000-0000287B0000}"/>
    <cellStyle name="Normal 3 7 25 7" xfId="17695" xr:uid="{00000000-0005-0000-0000-0000297B0000}"/>
    <cellStyle name="Normal 3 7 25 7 2" xfId="35127" xr:uid="{00000000-0005-0000-0000-00002A7B0000}"/>
    <cellStyle name="Normal 3 7 25 8" xfId="17696" xr:uid="{00000000-0005-0000-0000-00002B7B0000}"/>
    <cellStyle name="Normal 3 7 25 8 2" xfId="35128" xr:uid="{00000000-0005-0000-0000-00002C7B0000}"/>
    <cellStyle name="Normal 3 7 25 9" xfId="17697" xr:uid="{00000000-0005-0000-0000-00002D7B0000}"/>
    <cellStyle name="Normal 3 7 25 9 2" xfId="35129" xr:uid="{00000000-0005-0000-0000-00002E7B0000}"/>
    <cellStyle name="Normal 3 7 26" xfId="17698" xr:uid="{00000000-0005-0000-0000-00002F7B0000}"/>
    <cellStyle name="Normal 3 7 26 10" xfId="17699" xr:uid="{00000000-0005-0000-0000-0000307B0000}"/>
    <cellStyle name="Normal 3 7 26 10 2" xfId="35131" xr:uid="{00000000-0005-0000-0000-0000317B0000}"/>
    <cellStyle name="Normal 3 7 26 11" xfId="17700" xr:uid="{00000000-0005-0000-0000-0000327B0000}"/>
    <cellStyle name="Normal 3 7 26 11 2" xfId="35132" xr:uid="{00000000-0005-0000-0000-0000337B0000}"/>
    <cellStyle name="Normal 3 7 26 12" xfId="17701" xr:uid="{00000000-0005-0000-0000-0000347B0000}"/>
    <cellStyle name="Normal 3 7 26 12 2" xfId="35133" xr:uid="{00000000-0005-0000-0000-0000357B0000}"/>
    <cellStyle name="Normal 3 7 26 13" xfId="17702" xr:uid="{00000000-0005-0000-0000-0000367B0000}"/>
    <cellStyle name="Normal 3 7 26 13 2" xfId="35134" xr:uid="{00000000-0005-0000-0000-0000377B0000}"/>
    <cellStyle name="Normal 3 7 26 14" xfId="17703" xr:uid="{00000000-0005-0000-0000-0000387B0000}"/>
    <cellStyle name="Normal 3 7 26 14 2" xfId="35135" xr:uid="{00000000-0005-0000-0000-0000397B0000}"/>
    <cellStyle name="Normal 3 7 26 15" xfId="35130" xr:uid="{00000000-0005-0000-0000-00003A7B0000}"/>
    <cellStyle name="Normal 3 7 26 2" xfId="17704" xr:uid="{00000000-0005-0000-0000-00003B7B0000}"/>
    <cellStyle name="Normal 3 7 26 2 2" xfId="35136" xr:uid="{00000000-0005-0000-0000-00003C7B0000}"/>
    <cellStyle name="Normal 3 7 26 3" xfId="17705" xr:uid="{00000000-0005-0000-0000-00003D7B0000}"/>
    <cellStyle name="Normal 3 7 26 3 2" xfId="35137" xr:uid="{00000000-0005-0000-0000-00003E7B0000}"/>
    <cellStyle name="Normal 3 7 26 4" xfId="17706" xr:uid="{00000000-0005-0000-0000-00003F7B0000}"/>
    <cellStyle name="Normal 3 7 26 4 2" xfId="35138" xr:uid="{00000000-0005-0000-0000-0000407B0000}"/>
    <cellStyle name="Normal 3 7 26 5" xfId="17707" xr:uid="{00000000-0005-0000-0000-0000417B0000}"/>
    <cellStyle name="Normal 3 7 26 5 2" xfId="35139" xr:uid="{00000000-0005-0000-0000-0000427B0000}"/>
    <cellStyle name="Normal 3 7 26 6" xfId="17708" xr:uid="{00000000-0005-0000-0000-0000437B0000}"/>
    <cellStyle name="Normal 3 7 26 6 2" xfId="35140" xr:uid="{00000000-0005-0000-0000-0000447B0000}"/>
    <cellStyle name="Normal 3 7 26 7" xfId="17709" xr:uid="{00000000-0005-0000-0000-0000457B0000}"/>
    <cellStyle name="Normal 3 7 26 7 2" xfId="35141" xr:uid="{00000000-0005-0000-0000-0000467B0000}"/>
    <cellStyle name="Normal 3 7 26 8" xfId="17710" xr:uid="{00000000-0005-0000-0000-0000477B0000}"/>
    <cellStyle name="Normal 3 7 26 8 2" xfId="35142" xr:uid="{00000000-0005-0000-0000-0000487B0000}"/>
    <cellStyle name="Normal 3 7 26 9" xfId="17711" xr:uid="{00000000-0005-0000-0000-0000497B0000}"/>
    <cellStyle name="Normal 3 7 26 9 2" xfId="35143" xr:uid="{00000000-0005-0000-0000-00004A7B0000}"/>
    <cellStyle name="Normal 3 7 3" xfId="17712" xr:uid="{00000000-0005-0000-0000-00004B7B0000}"/>
    <cellStyle name="Normal 3 7 4" xfId="17713" xr:uid="{00000000-0005-0000-0000-00004C7B0000}"/>
    <cellStyle name="Normal 3 7 5" xfId="17714" xr:uid="{00000000-0005-0000-0000-00004D7B0000}"/>
    <cellStyle name="Normal 3 7 6" xfId="17715" xr:uid="{00000000-0005-0000-0000-00004E7B0000}"/>
    <cellStyle name="Normal 3 7 7" xfId="17716" xr:uid="{00000000-0005-0000-0000-00004F7B0000}"/>
    <cellStyle name="Normal 3 7 8" xfId="17717" xr:uid="{00000000-0005-0000-0000-0000507B0000}"/>
    <cellStyle name="Normal 3 7 9" xfId="17718" xr:uid="{00000000-0005-0000-0000-0000517B0000}"/>
    <cellStyle name="Normal 3 8" xfId="17719" xr:uid="{00000000-0005-0000-0000-0000527B0000}"/>
    <cellStyle name="Normal 3 8 10" xfId="17720" xr:uid="{00000000-0005-0000-0000-0000537B0000}"/>
    <cellStyle name="Normal 3 8 11" xfId="17721" xr:uid="{00000000-0005-0000-0000-0000547B0000}"/>
    <cellStyle name="Normal 3 8 11 10" xfId="17722" xr:uid="{00000000-0005-0000-0000-0000557B0000}"/>
    <cellStyle name="Normal 3 8 11 10 2" xfId="35145" xr:uid="{00000000-0005-0000-0000-0000567B0000}"/>
    <cellStyle name="Normal 3 8 11 11" xfId="17723" xr:uid="{00000000-0005-0000-0000-0000577B0000}"/>
    <cellStyle name="Normal 3 8 11 11 2" xfId="35146" xr:uid="{00000000-0005-0000-0000-0000587B0000}"/>
    <cellStyle name="Normal 3 8 11 12" xfId="17724" xr:uid="{00000000-0005-0000-0000-0000597B0000}"/>
    <cellStyle name="Normal 3 8 11 12 2" xfId="35147" xr:uid="{00000000-0005-0000-0000-00005A7B0000}"/>
    <cellStyle name="Normal 3 8 11 13" xfId="17725" xr:uid="{00000000-0005-0000-0000-00005B7B0000}"/>
    <cellStyle name="Normal 3 8 11 13 2" xfId="35148" xr:uid="{00000000-0005-0000-0000-00005C7B0000}"/>
    <cellStyle name="Normal 3 8 11 14" xfId="17726" xr:uid="{00000000-0005-0000-0000-00005D7B0000}"/>
    <cellStyle name="Normal 3 8 11 14 2" xfId="35149" xr:uid="{00000000-0005-0000-0000-00005E7B0000}"/>
    <cellStyle name="Normal 3 8 11 15" xfId="17727" xr:uid="{00000000-0005-0000-0000-00005F7B0000}"/>
    <cellStyle name="Normal 3 8 11 15 2" xfId="35150" xr:uid="{00000000-0005-0000-0000-0000607B0000}"/>
    <cellStyle name="Normal 3 8 11 16" xfId="17728" xr:uid="{00000000-0005-0000-0000-0000617B0000}"/>
    <cellStyle name="Normal 3 8 11 16 2" xfId="35151" xr:uid="{00000000-0005-0000-0000-0000627B0000}"/>
    <cellStyle name="Normal 3 8 11 17" xfId="17729" xr:uid="{00000000-0005-0000-0000-0000637B0000}"/>
    <cellStyle name="Normal 3 8 11 17 2" xfId="35152" xr:uid="{00000000-0005-0000-0000-0000647B0000}"/>
    <cellStyle name="Normal 3 8 11 18" xfId="35144" xr:uid="{00000000-0005-0000-0000-0000657B0000}"/>
    <cellStyle name="Normal 3 8 11 2" xfId="17730" xr:uid="{00000000-0005-0000-0000-0000667B0000}"/>
    <cellStyle name="Normal 3 8 11 3" xfId="17731" xr:uid="{00000000-0005-0000-0000-0000677B0000}"/>
    <cellStyle name="Normal 3 8 11 4" xfId="17732" xr:uid="{00000000-0005-0000-0000-0000687B0000}"/>
    <cellStyle name="Normal 3 8 11 5" xfId="17733" xr:uid="{00000000-0005-0000-0000-0000697B0000}"/>
    <cellStyle name="Normal 3 8 11 5 2" xfId="35153" xr:uid="{00000000-0005-0000-0000-00006A7B0000}"/>
    <cellStyle name="Normal 3 8 11 6" xfId="17734" xr:uid="{00000000-0005-0000-0000-00006B7B0000}"/>
    <cellStyle name="Normal 3 8 11 6 2" xfId="35154" xr:uid="{00000000-0005-0000-0000-00006C7B0000}"/>
    <cellStyle name="Normal 3 8 11 7" xfId="17735" xr:uid="{00000000-0005-0000-0000-00006D7B0000}"/>
    <cellStyle name="Normal 3 8 11 7 2" xfId="35155" xr:uid="{00000000-0005-0000-0000-00006E7B0000}"/>
    <cellStyle name="Normal 3 8 11 8" xfId="17736" xr:uid="{00000000-0005-0000-0000-00006F7B0000}"/>
    <cellStyle name="Normal 3 8 11 8 2" xfId="35156" xr:uid="{00000000-0005-0000-0000-0000707B0000}"/>
    <cellStyle name="Normal 3 8 11 9" xfId="17737" xr:uid="{00000000-0005-0000-0000-0000717B0000}"/>
    <cellStyle name="Normal 3 8 11 9 2" xfId="35157" xr:uid="{00000000-0005-0000-0000-0000727B0000}"/>
    <cellStyle name="Normal 3 8 12" xfId="17738" xr:uid="{00000000-0005-0000-0000-0000737B0000}"/>
    <cellStyle name="Normal 3 8 13" xfId="17739" xr:uid="{00000000-0005-0000-0000-0000747B0000}"/>
    <cellStyle name="Normal 3 8 14" xfId="17740" xr:uid="{00000000-0005-0000-0000-0000757B0000}"/>
    <cellStyle name="Normal 3 8 14 10" xfId="17741" xr:uid="{00000000-0005-0000-0000-0000767B0000}"/>
    <cellStyle name="Normal 3 8 14 10 2" xfId="35159" xr:uid="{00000000-0005-0000-0000-0000777B0000}"/>
    <cellStyle name="Normal 3 8 14 11" xfId="17742" xr:uid="{00000000-0005-0000-0000-0000787B0000}"/>
    <cellStyle name="Normal 3 8 14 11 2" xfId="35160" xr:uid="{00000000-0005-0000-0000-0000797B0000}"/>
    <cellStyle name="Normal 3 8 14 12" xfId="17743" xr:uid="{00000000-0005-0000-0000-00007A7B0000}"/>
    <cellStyle name="Normal 3 8 14 12 2" xfId="35161" xr:uid="{00000000-0005-0000-0000-00007B7B0000}"/>
    <cellStyle name="Normal 3 8 14 13" xfId="17744" xr:uid="{00000000-0005-0000-0000-00007C7B0000}"/>
    <cellStyle name="Normal 3 8 14 13 2" xfId="35162" xr:uid="{00000000-0005-0000-0000-00007D7B0000}"/>
    <cellStyle name="Normal 3 8 14 14" xfId="17745" xr:uid="{00000000-0005-0000-0000-00007E7B0000}"/>
    <cellStyle name="Normal 3 8 14 14 2" xfId="35163" xr:uid="{00000000-0005-0000-0000-00007F7B0000}"/>
    <cellStyle name="Normal 3 8 14 15" xfId="17746" xr:uid="{00000000-0005-0000-0000-0000807B0000}"/>
    <cellStyle name="Normal 3 8 14 15 2" xfId="35164" xr:uid="{00000000-0005-0000-0000-0000817B0000}"/>
    <cellStyle name="Normal 3 8 14 16" xfId="35158" xr:uid="{00000000-0005-0000-0000-0000827B0000}"/>
    <cellStyle name="Normal 3 8 14 2" xfId="17747" xr:uid="{00000000-0005-0000-0000-0000837B0000}"/>
    <cellStyle name="Normal 3 8 14 2 10" xfId="17748" xr:uid="{00000000-0005-0000-0000-0000847B0000}"/>
    <cellStyle name="Normal 3 8 14 2 10 2" xfId="35166" xr:uid="{00000000-0005-0000-0000-0000857B0000}"/>
    <cellStyle name="Normal 3 8 14 2 11" xfId="17749" xr:uid="{00000000-0005-0000-0000-0000867B0000}"/>
    <cellStyle name="Normal 3 8 14 2 11 2" xfId="35167" xr:uid="{00000000-0005-0000-0000-0000877B0000}"/>
    <cellStyle name="Normal 3 8 14 2 12" xfId="17750" xr:uid="{00000000-0005-0000-0000-0000887B0000}"/>
    <cellStyle name="Normal 3 8 14 2 12 2" xfId="35168" xr:uid="{00000000-0005-0000-0000-0000897B0000}"/>
    <cellStyle name="Normal 3 8 14 2 13" xfId="17751" xr:uid="{00000000-0005-0000-0000-00008A7B0000}"/>
    <cellStyle name="Normal 3 8 14 2 13 2" xfId="35169" xr:uid="{00000000-0005-0000-0000-00008B7B0000}"/>
    <cellStyle name="Normal 3 8 14 2 14" xfId="17752" xr:uid="{00000000-0005-0000-0000-00008C7B0000}"/>
    <cellStyle name="Normal 3 8 14 2 14 2" xfId="35170" xr:uid="{00000000-0005-0000-0000-00008D7B0000}"/>
    <cellStyle name="Normal 3 8 14 2 15" xfId="35165" xr:uid="{00000000-0005-0000-0000-00008E7B0000}"/>
    <cellStyle name="Normal 3 8 14 2 2" xfId="17753" xr:uid="{00000000-0005-0000-0000-00008F7B0000}"/>
    <cellStyle name="Normal 3 8 14 2 2 2" xfId="35171" xr:uid="{00000000-0005-0000-0000-0000907B0000}"/>
    <cellStyle name="Normal 3 8 14 2 3" xfId="17754" xr:uid="{00000000-0005-0000-0000-0000917B0000}"/>
    <cellStyle name="Normal 3 8 14 2 3 2" xfId="35172" xr:uid="{00000000-0005-0000-0000-0000927B0000}"/>
    <cellStyle name="Normal 3 8 14 2 4" xfId="17755" xr:uid="{00000000-0005-0000-0000-0000937B0000}"/>
    <cellStyle name="Normal 3 8 14 2 4 2" xfId="35173" xr:uid="{00000000-0005-0000-0000-0000947B0000}"/>
    <cellStyle name="Normal 3 8 14 2 5" xfId="17756" xr:uid="{00000000-0005-0000-0000-0000957B0000}"/>
    <cellStyle name="Normal 3 8 14 2 5 2" xfId="35174" xr:uid="{00000000-0005-0000-0000-0000967B0000}"/>
    <cellStyle name="Normal 3 8 14 2 6" xfId="17757" xr:uid="{00000000-0005-0000-0000-0000977B0000}"/>
    <cellStyle name="Normal 3 8 14 2 6 2" xfId="35175" xr:uid="{00000000-0005-0000-0000-0000987B0000}"/>
    <cellStyle name="Normal 3 8 14 2 7" xfId="17758" xr:uid="{00000000-0005-0000-0000-0000997B0000}"/>
    <cellStyle name="Normal 3 8 14 2 7 2" xfId="35176" xr:uid="{00000000-0005-0000-0000-00009A7B0000}"/>
    <cellStyle name="Normal 3 8 14 2 8" xfId="17759" xr:uid="{00000000-0005-0000-0000-00009B7B0000}"/>
    <cellStyle name="Normal 3 8 14 2 8 2" xfId="35177" xr:uid="{00000000-0005-0000-0000-00009C7B0000}"/>
    <cellStyle name="Normal 3 8 14 2 9" xfId="17760" xr:uid="{00000000-0005-0000-0000-00009D7B0000}"/>
    <cellStyle name="Normal 3 8 14 2 9 2" xfId="35178" xr:uid="{00000000-0005-0000-0000-00009E7B0000}"/>
    <cellStyle name="Normal 3 8 14 3" xfId="17761" xr:uid="{00000000-0005-0000-0000-00009F7B0000}"/>
    <cellStyle name="Normal 3 8 14 3 2" xfId="35179" xr:uid="{00000000-0005-0000-0000-0000A07B0000}"/>
    <cellStyle name="Normal 3 8 14 4" xfId="17762" xr:uid="{00000000-0005-0000-0000-0000A17B0000}"/>
    <cellStyle name="Normal 3 8 14 4 2" xfId="35180" xr:uid="{00000000-0005-0000-0000-0000A27B0000}"/>
    <cellStyle name="Normal 3 8 14 5" xfId="17763" xr:uid="{00000000-0005-0000-0000-0000A37B0000}"/>
    <cellStyle name="Normal 3 8 14 5 2" xfId="35181" xr:uid="{00000000-0005-0000-0000-0000A47B0000}"/>
    <cellStyle name="Normal 3 8 14 6" xfId="17764" xr:uid="{00000000-0005-0000-0000-0000A57B0000}"/>
    <cellStyle name="Normal 3 8 14 6 2" xfId="35182" xr:uid="{00000000-0005-0000-0000-0000A67B0000}"/>
    <cellStyle name="Normal 3 8 14 7" xfId="17765" xr:uid="{00000000-0005-0000-0000-0000A77B0000}"/>
    <cellStyle name="Normal 3 8 14 7 2" xfId="35183" xr:uid="{00000000-0005-0000-0000-0000A87B0000}"/>
    <cellStyle name="Normal 3 8 14 8" xfId="17766" xr:uid="{00000000-0005-0000-0000-0000A97B0000}"/>
    <cellStyle name="Normal 3 8 14 8 2" xfId="35184" xr:uid="{00000000-0005-0000-0000-0000AA7B0000}"/>
    <cellStyle name="Normal 3 8 14 9" xfId="17767" xr:uid="{00000000-0005-0000-0000-0000AB7B0000}"/>
    <cellStyle name="Normal 3 8 14 9 2" xfId="35185" xr:uid="{00000000-0005-0000-0000-0000AC7B0000}"/>
    <cellStyle name="Normal 3 8 15" xfId="17768" xr:uid="{00000000-0005-0000-0000-0000AD7B0000}"/>
    <cellStyle name="Normal 3 8 15 10" xfId="17769" xr:uid="{00000000-0005-0000-0000-0000AE7B0000}"/>
    <cellStyle name="Normal 3 8 15 10 2" xfId="35187" xr:uid="{00000000-0005-0000-0000-0000AF7B0000}"/>
    <cellStyle name="Normal 3 8 15 11" xfId="17770" xr:uid="{00000000-0005-0000-0000-0000B07B0000}"/>
    <cellStyle name="Normal 3 8 15 11 2" xfId="35188" xr:uid="{00000000-0005-0000-0000-0000B17B0000}"/>
    <cellStyle name="Normal 3 8 15 12" xfId="17771" xr:uid="{00000000-0005-0000-0000-0000B27B0000}"/>
    <cellStyle name="Normal 3 8 15 12 2" xfId="35189" xr:uid="{00000000-0005-0000-0000-0000B37B0000}"/>
    <cellStyle name="Normal 3 8 15 13" xfId="17772" xr:uid="{00000000-0005-0000-0000-0000B47B0000}"/>
    <cellStyle name="Normal 3 8 15 13 2" xfId="35190" xr:uid="{00000000-0005-0000-0000-0000B57B0000}"/>
    <cellStyle name="Normal 3 8 15 14" xfId="17773" xr:uid="{00000000-0005-0000-0000-0000B67B0000}"/>
    <cellStyle name="Normal 3 8 15 14 2" xfId="35191" xr:uid="{00000000-0005-0000-0000-0000B77B0000}"/>
    <cellStyle name="Normal 3 8 15 15" xfId="17774" xr:uid="{00000000-0005-0000-0000-0000B87B0000}"/>
    <cellStyle name="Normal 3 8 15 15 2" xfId="35192" xr:uid="{00000000-0005-0000-0000-0000B97B0000}"/>
    <cellStyle name="Normal 3 8 15 16" xfId="35186" xr:uid="{00000000-0005-0000-0000-0000BA7B0000}"/>
    <cellStyle name="Normal 3 8 15 2" xfId="17775" xr:uid="{00000000-0005-0000-0000-0000BB7B0000}"/>
    <cellStyle name="Normal 3 8 15 2 10" xfId="17776" xr:uid="{00000000-0005-0000-0000-0000BC7B0000}"/>
    <cellStyle name="Normal 3 8 15 2 10 2" xfId="35194" xr:uid="{00000000-0005-0000-0000-0000BD7B0000}"/>
    <cellStyle name="Normal 3 8 15 2 11" xfId="17777" xr:uid="{00000000-0005-0000-0000-0000BE7B0000}"/>
    <cellStyle name="Normal 3 8 15 2 11 2" xfId="35195" xr:uid="{00000000-0005-0000-0000-0000BF7B0000}"/>
    <cellStyle name="Normal 3 8 15 2 12" xfId="17778" xr:uid="{00000000-0005-0000-0000-0000C07B0000}"/>
    <cellStyle name="Normal 3 8 15 2 12 2" xfId="35196" xr:uid="{00000000-0005-0000-0000-0000C17B0000}"/>
    <cellStyle name="Normal 3 8 15 2 13" xfId="17779" xr:uid="{00000000-0005-0000-0000-0000C27B0000}"/>
    <cellStyle name="Normal 3 8 15 2 13 2" xfId="35197" xr:uid="{00000000-0005-0000-0000-0000C37B0000}"/>
    <cellStyle name="Normal 3 8 15 2 14" xfId="17780" xr:uid="{00000000-0005-0000-0000-0000C47B0000}"/>
    <cellStyle name="Normal 3 8 15 2 14 2" xfId="35198" xr:uid="{00000000-0005-0000-0000-0000C57B0000}"/>
    <cellStyle name="Normal 3 8 15 2 15" xfId="35193" xr:uid="{00000000-0005-0000-0000-0000C67B0000}"/>
    <cellStyle name="Normal 3 8 15 2 2" xfId="17781" xr:uid="{00000000-0005-0000-0000-0000C77B0000}"/>
    <cellStyle name="Normal 3 8 15 2 2 2" xfId="35199" xr:uid="{00000000-0005-0000-0000-0000C87B0000}"/>
    <cellStyle name="Normal 3 8 15 2 3" xfId="17782" xr:uid="{00000000-0005-0000-0000-0000C97B0000}"/>
    <cellStyle name="Normal 3 8 15 2 3 2" xfId="35200" xr:uid="{00000000-0005-0000-0000-0000CA7B0000}"/>
    <cellStyle name="Normal 3 8 15 2 4" xfId="17783" xr:uid="{00000000-0005-0000-0000-0000CB7B0000}"/>
    <cellStyle name="Normal 3 8 15 2 4 2" xfId="35201" xr:uid="{00000000-0005-0000-0000-0000CC7B0000}"/>
    <cellStyle name="Normal 3 8 15 2 5" xfId="17784" xr:uid="{00000000-0005-0000-0000-0000CD7B0000}"/>
    <cellStyle name="Normal 3 8 15 2 5 2" xfId="35202" xr:uid="{00000000-0005-0000-0000-0000CE7B0000}"/>
    <cellStyle name="Normal 3 8 15 2 6" xfId="17785" xr:uid="{00000000-0005-0000-0000-0000CF7B0000}"/>
    <cellStyle name="Normal 3 8 15 2 6 2" xfId="35203" xr:uid="{00000000-0005-0000-0000-0000D07B0000}"/>
    <cellStyle name="Normal 3 8 15 2 7" xfId="17786" xr:uid="{00000000-0005-0000-0000-0000D17B0000}"/>
    <cellStyle name="Normal 3 8 15 2 7 2" xfId="35204" xr:uid="{00000000-0005-0000-0000-0000D27B0000}"/>
    <cellStyle name="Normal 3 8 15 2 8" xfId="17787" xr:uid="{00000000-0005-0000-0000-0000D37B0000}"/>
    <cellStyle name="Normal 3 8 15 2 8 2" xfId="35205" xr:uid="{00000000-0005-0000-0000-0000D47B0000}"/>
    <cellStyle name="Normal 3 8 15 2 9" xfId="17788" xr:uid="{00000000-0005-0000-0000-0000D57B0000}"/>
    <cellStyle name="Normal 3 8 15 2 9 2" xfId="35206" xr:uid="{00000000-0005-0000-0000-0000D67B0000}"/>
    <cellStyle name="Normal 3 8 15 3" xfId="17789" xr:uid="{00000000-0005-0000-0000-0000D77B0000}"/>
    <cellStyle name="Normal 3 8 15 3 2" xfId="35207" xr:uid="{00000000-0005-0000-0000-0000D87B0000}"/>
    <cellStyle name="Normal 3 8 15 4" xfId="17790" xr:uid="{00000000-0005-0000-0000-0000D97B0000}"/>
    <cellStyle name="Normal 3 8 15 4 2" xfId="35208" xr:uid="{00000000-0005-0000-0000-0000DA7B0000}"/>
    <cellStyle name="Normal 3 8 15 5" xfId="17791" xr:uid="{00000000-0005-0000-0000-0000DB7B0000}"/>
    <cellStyle name="Normal 3 8 15 5 2" xfId="35209" xr:uid="{00000000-0005-0000-0000-0000DC7B0000}"/>
    <cellStyle name="Normal 3 8 15 6" xfId="17792" xr:uid="{00000000-0005-0000-0000-0000DD7B0000}"/>
    <cellStyle name="Normal 3 8 15 6 2" xfId="35210" xr:uid="{00000000-0005-0000-0000-0000DE7B0000}"/>
    <cellStyle name="Normal 3 8 15 7" xfId="17793" xr:uid="{00000000-0005-0000-0000-0000DF7B0000}"/>
    <cellStyle name="Normal 3 8 15 7 2" xfId="35211" xr:uid="{00000000-0005-0000-0000-0000E07B0000}"/>
    <cellStyle name="Normal 3 8 15 8" xfId="17794" xr:uid="{00000000-0005-0000-0000-0000E17B0000}"/>
    <cellStyle name="Normal 3 8 15 8 2" xfId="35212" xr:uid="{00000000-0005-0000-0000-0000E27B0000}"/>
    <cellStyle name="Normal 3 8 15 9" xfId="17795" xr:uid="{00000000-0005-0000-0000-0000E37B0000}"/>
    <cellStyle name="Normal 3 8 15 9 2" xfId="35213" xr:uid="{00000000-0005-0000-0000-0000E47B0000}"/>
    <cellStyle name="Normal 3 8 16" xfId="17796" xr:uid="{00000000-0005-0000-0000-0000E57B0000}"/>
    <cellStyle name="Normal 3 8 16 10" xfId="17797" xr:uid="{00000000-0005-0000-0000-0000E67B0000}"/>
    <cellStyle name="Normal 3 8 16 10 2" xfId="35215" xr:uid="{00000000-0005-0000-0000-0000E77B0000}"/>
    <cellStyle name="Normal 3 8 16 11" xfId="17798" xr:uid="{00000000-0005-0000-0000-0000E87B0000}"/>
    <cellStyle name="Normal 3 8 16 11 2" xfId="35216" xr:uid="{00000000-0005-0000-0000-0000E97B0000}"/>
    <cellStyle name="Normal 3 8 16 12" xfId="17799" xr:uid="{00000000-0005-0000-0000-0000EA7B0000}"/>
    <cellStyle name="Normal 3 8 16 12 2" xfId="35217" xr:uid="{00000000-0005-0000-0000-0000EB7B0000}"/>
    <cellStyle name="Normal 3 8 16 13" xfId="17800" xr:uid="{00000000-0005-0000-0000-0000EC7B0000}"/>
    <cellStyle name="Normal 3 8 16 13 2" xfId="35218" xr:uid="{00000000-0005-0000-0000-0000ED7B0000}"/>
    <cellStyle name="Normal 3 8 16 14" xfId="17801" xr:uid="{00000000-0005-0000-0000-0000EE7B0000}"/>
    <cellStyle name="Normal 3 8 16 14 2" xfId="35219" xr:uid="{00000000-0005-0000-0000-0000EF7B0000}"/>
    <cellStyle name="Normal 3 8 16 15" xfId="17802" xr:uid="{00000000-0005-0000-0000-0000F07B0000}"/>
    <cellStyle name="Normal 3 8 16 15 2" xfId="35220" xr:uid="{00000000-0005-0000-0000-0000F17B0000}"/>
    <cellStyle name="Normal 3 8 16 16" xfId="35214" xr:uid="{00000000-0005-0000-0000-0000F27B0000}"/>
    <cellStyle name="Normal 3 8 16 2" xfId="17803" xr:uid="{00000000-0005-0000-0000-0000F37B0000}"/>
    <cellStyle name="Normal 3 8 16 2 10" xfId="17804" xr:uid="{00000000-0005-0000-0000-0000F47B0000}"/>
    <cellStyle name="Normal 3 8 16 2 10 2" xfId="35222" xr:uid="{00000000-0005-0000-0000-0000F57B0000}"/>
    <cellStyle name="Normal 3 8 16 2 11" xfId="17805" xr:uid="{00000000-0005-0000-0000-0000F67B0000}"/>
    <cellStyle name="Normal 3 8 16 2 11 2" xfId="35223" xr:uid="{00000000-0005-0000-0000-0000F77B0000}"/>
    <cellStyle name="Normal 3 8 16 2 12" xfId="17806" xr:uid="{00000000-0005-0000-0000-0000F87B0000}"/>
    <cellStyle name="Normal 3 8 16 2 12 2" xfId="35224" xr:uid="{00000000-0005-0000-0000-0000F97B0000}"/>
    <cellStyle name="Normal 3 8 16 2 13" xfId="17807" xr:uid="{00000000-0005-0000-0000-0000FA7B0000}"/>
    <cellStyle name="Normal 3 8 16 2 13 2" xfId="35225" xr:uid="{00000000-0005-0000-0000-0000FB7B0000}"/>
    <cellStyle name="Normal 3 8 16 2 14" xfId="17808" xr:uid="{00000000-0005-0000-0000-0000FC7B0000}"/>
    <cellStyle name="Normal 3 8 16 2 14 2" xfId="35226" xr:uid="{00000000-0005-0000-0000-0000FD7B0000}"/>
    <cellStyle name="Normal 3 8 16 2 15" xfId="35221" xr:uid="{00000000-0005-0000-0000-0000FE7B0000}"/>
    <cellStyle name="Normal 3 8 16 2 2" xfId="17809" xr:uid="{00000000-0005-0000-0000-0000FF7B0000}"/>
    <cellStyle name="Normal 3 8 16 2 2 2" xfId="35227" xr:uid="{00000000-0005-0000-0000-0000007C0000}"/>
    <cellStyle name="Normal 3 8 16 2 3" xfId="17810" xr:uid="{00000000-0005-0000-0000-0000017C0000}"/>
    <cellStyle name="Normal 3 8 16 2 3 2" xfId="35228" xr:uid="{00000000-0005-0000-0000-0000027C0000}"/>
    <cellStyle name="Normal 3 8 16 2 4" xfId="17811" xr:uid="{00000000-0005-0000-0000-0000037C0000}"/>
    <cellStyle name="Normal 3 8 16 2 4 2" xfId="35229" xr:uid="{00000000-0005-0000-0000-0000047C0000}"/>
    <cellStyle name="Normal 3 8 16 2 5" xfId="17812" xr:uid="{00000000-0005-0000-0000-0000057C0000}"/>
    <cellStyle name="Normal 3 8 16 2 5 2" xfId="35230" xr:uid="{00000000-0005-0000-0000-0000067C0000}"/>
    <cellStyle name="Normal 3 8 16 2 6" xfId="17813" xr:uid="{00000000-0005-0000-0000-0000077C0000}"/>
    <cellStyle name="Normal 3 8 16 2 6 2" xfId="35231" xr:uid="{00000000-0005-0000-0000-0000087C0000}"/>
    <cellStyle name="Normal 3 8 16 2 7" xfId="17814" xr:uid="{00000000-0005-0000-0000-0000097C0000}"/>
    <cellStyle name="Normal 3 8 16 2 7 2" xfId="35232" xr:uid="{00000000-0005-0000-0000-00000A7C0000}"/>
    <cellStyle name="Normal 3 8 16 2 8" xfId="17815" xr:uid="{00000000-0005-0000-0000-00000B7C0000}"/>
    <cellStyle name="Normal 3 8 16 2 8 2" xfId="35233" xr:uid="{00000000-0005-0000-0000-00000C7C0000}"/>
    <cellStyle name="Normal 3 8 16 2 9" xfId="17816" xr:uid="{00000000-0005-0000-0000-00000D7C0000}"/>
    <cellStyle name="Normal 3 8 16 2 9 2" xfId="35234" xr:uid="{00000000-0005-0000-0000-00000E7C0000}"/>
    <cellStyle name="Normal 3 8 16 3" xfId="17817" xr:uid="{00000000-0005-0000-0000-00000F7C0000}"/>
    <cellStyle name="Normal 3 8 16 3 2" xfId="35235" xr:uid="{00000000-0005-0000-0000-0000107C0000}"/>
    <cellStyle name="Normal 3 8 16 4" xfId="17818" xr:uid="{00000000-0005-0000-0000-0000117C0000}"/>
    <cellStyle name="Normal 3 8 16 4 2" xfId="35236" xr:uid="{00000000-0005-0000-0000-0000127C0000}"/>
    <cellStyle name="Normal 3 8 16 5" xfId="17819" xr:uid="{00000000-0005-0000-0000-0000137C0000}"/>
    <cellStyle name="Normal 3 8 16 5 2" xfId="35237" xr:uid="{00000000-0005-0000-0000-0000147C0000}"/>
    <cellStyle name="Normal 3 8 16 6" xfId="17820" xr:uid="{00000000-0005-0000-0000-0000157C0000}"/>
    <cellStyle name="Normal 3 8 16 6 2" xfId="35238" xr:uid="{00000000-0005-0000-0000-0000167C0000}"/>
    <cellStyle name="Normal 3 8 16 7" xfId="17821" xr:uid="{00000000-0005-0000-0000-0000177C0000}"/>
    <cellStyle name="Normal 3 8 16 7 2" xfId="35239" xr:uid="{00000000-0005-0000-0000-0000187C0000}"/>
    <cellStyle name="Normal 3 8 16 8" xfId="17822" xr:uid="{00000000-0005-0000-0000-0000197C0000}"/>
    <cellStyle name="Normal 3 8 16 8 2" xfId="35240" xr:uid="{00000000-0005-0000-0000-00001A7C0000}"/>
    <cellStyle name="Normal 3 8 16 9" xfId="17823" xr:uid="{00000000-0005-0000-0000-00001B7C0000}"/>
    <cellStyle name="Normal 3 8 16 9 2" xfId="35241" xr:uid="{00000000-0005-0000-0000-00001C7C0000}"/>
    <cellStyle name="Normal 3 8 17" xfId="17824" xr:uid="{00000000-0005-0000-0000-00001D7C0000}"/>
    <cellStyle name="Normal 3 8 17 10" xfId="17825" xr:uid="{00000000-0005-0000-0000-00001E7C0000}"/>
    <cellStyle name="Normal 3 8 17 10 2" xfId="35243" xr:uid="{00000000-0005-0000-0000-00001F7C0000}"/>
    <cellStyle name="Normal 3 8 17 11" xfId="17826" xr:uid="{00000000-0005-0000-0000-0000207C0000}"/>
    <cellStyle name="Normal 3 8 17 11 2" xfId="35244" xr:uid="{00000000-0005-0000-0000-0000217C0000}"/>
    <cellStyle name="Normal 3 8 17 12" xfId="17827" xr:uid="{00000000-0005-0000-0000-0000227C0000}"/>
    <cellStyle name="Normal 3 8 17 12 2" xfId="35245" xr:uid="{00000000-0005-0000-0000-0000237C0000}"/>
    <cellStyle name="Normal 3 8 17 13" xfId="17828" xr:uid="{00000000-0005-0000-0000-0000247C0000}"/>
    <cellStyle name="Normal 3 8 17 13 2" xfId="35246" xr:uid="{00000000-0005-0000-0000-0000257C0000}"/>
    <cellStyle name="Normal 3 8 17 14" xfId="17829" xr:uid="{00000000-0005-0000-0000-0000267C0000}"/>
    <cellStyle name="Normal 3 8 17 14 2" xfId="35247" xr:uid="{00000000-0005-0000-0000-0000277C0000}"/>
    <cellStyle name="Normal 3 8 17 15" xfId="35242" xr:uid="{00000000-0005-0000-0000-0000287C0000}"/>
    <cellStyle name="Normal 3 8 17 2" xfId="17830" xr:uid="{00000000-0005-0000-0000-0000297C0000}"/>
    <cellStyle name="Normal 3 8 17 2 2" xfId="35248" xr:uid="{00000000-0005-0000-0000-00002A7C0000}"/>
    <cellStyle name="Normal 3 8 17 3" xfId="17831" xr:uid="{00000000-0005-0000-0000-00002B7C0000}"/>
    <cellStyle name="Normal 3 8 17 3 2" xfId="35249" xr:uid="{00000000-0005-0000-0000-00002C7C0000}"/>
    <cellStyle name="Normal 3 8 17 4" xfId="17832" xr:uid="{00000000-0005-0000-0000-00002D7C0000}"/>
    <cellStyle name="Normal 3 8 17 4 2" xfId="35250" xr:uid="{00000000-0005-0000-0000-00002E7C0000}"/>
    <cellStyle name="Normal 3 8 17 5" xfId="17833" xr:uid="{00000000-0005-0000-0000-00002F7C0000}"/>
    <cellStyle name="Normal 3 8 17 5 2" xfId="35251" xr:uid="{00000000-0005-0000-0000-0000307C0000}"/>
    <cellStyle name="Normal 3 8 17 6" xfId="17834" xr:uid="{00000000-0005-0000-0000-0000317C0000}"/>
    <cellStyle name="Normal 3 8 17 6 2" xfId="35252" xr:uid="{00000000-0005-0000-0000-0000327C0000}"/>
    <cellStyle name="Normal 3 8 17 7" xfId="17835" xr:uid="{00000000-0005-0000-0000-0000337C0000}"/>
    <cellStyle name="Normal 3 8 17 7 2" xfId="35253" xr:uid="{00000000-0005-0000-0000-0000347C0000}"/>
    <cellStyle name="Normal 3 8 17 8" xfId="17836" xr:uid="{00000000-0005-0000-0000-0000357C0000}"/>
    <cellStyle name="Normal 3 8 17 8 2" xfId="35254" xr:uid="{00000000-0005-0000-0000-0000367C0000}"/>
    <cellStyle name="Normal 3 8 17 9" xfId="17837" xr:uid="{00000000-0005-0000-0000-0000377C0000}"/>
    <cellStyle name="Normal 3 8 17 9 2" xfId="35255" xr:uid="{00000000-0005-0000-0000-0000387C0000}"/>
    <cellStyle name="Normal 3 8 18" xfId="17838" xr:uid="{00000000-0005-0000-0000-0000397C0000}"/>
    <cellStyle name="Normal 3 8 18 10" xfId="17839" xr:uid="{00000000-0005-0000-0000-00003A7C0000}"/>
    <cellStyle name="Normal 3 8 18 10 2" xfId="35257" xr:uid="{00000000-0005-0000-0000-00003B7C0000}"/>
    <cellStyle name="Normal 3 8 18 11" xfId="17840" xr:uid="{00000000-0005-0000-0000-00003C7C0000}"/>
    <cellStyle name="Normal 3 8 18 11 2" xfId="35258" xr:uid="{00000000-0005-0000-0000-00003D7C0000}"/>
    <cellStyle name="Normal 3 8 18 12" xfId="17841" xr:uid="{00000000-0005-0000-0000-00003E7C0000}"/>
    <cellStyle name="Normal 3 8 18 12 2" xfId="35259" xr:uid="{00000000-0005-0000-0000-00003F7C0000}"/>
    <cellStyle name="Normal 3 8 18 13" xfId="17842" xr:uid="{00000000-0005-0000-0000-0000407C0000}"/>
    <cellStyle name="Normal 3 8 18 13 2" xfId="35260" xr:uid="{00000000-0005-0000-0000-0000417C0000}"/>
    <cellStyle name="Normal 3 8 18 14" xfId="17843" xr:uid="{00000000-0005-0000-0000-0000427C0000}"/>
    <cellStyle name="Normal 3 8 18 14 2" xfId="35261" xr:uid="{00000000-0005-0000-0000-0000437C0000}"/>
    <cellStyle name="Normal 3 8 18 15" xfId="35256" xr:uid="{00000000-0005-0000-0000-0000447C0000}"/>
    <cellStyle name="Normal 3 8 18 2" xfId="17844" xr:uid="{00000000-0005-0000-0000-0000457C0000}"/>
    <cellStyle name="Normal 3 8 18 2 2" xfId="35262" xr:uid="{00000000-0005-0000-0000-0000467C0000}"/>
    <cellStyle name="Normal 3 8 18 3" xfId="17845" xr:uid="{00000000-0005-0000-0000-0000477C0000}"/>
    <cellStyle name="Normal 3 8 18 3 2" xfId="35263" xr:uid="{00000000-0005-0000-0000-0000487C0000}"/>
    <cellStyle name="Normal 3 8 18 4" xfId="17846" xr:uid="{00000000-0005-0000-0000-0000497C0000}"/>
    <cellStyle name="Normal 3 8 18 4 2" xfId="35264" xr:uid="{00000000-0005-0000-0000-00004A7C0000}"/>
    <cellStyle name="Normal 3 8 18 5" xfId="17847" xr:uid="{00000000-0005-0000-0000-00004B7C0000}"/>
    <cellStyle name="Normal 3 8 18 5 2" xfId="35265" xr:uid="{00000000-0005-0000-0000-00004C7C0000}"/>
    <cellStyle name="Normal 3 8 18 6" xfId="17848" xr:uid="{00000000-0005-0000-0000-00004D7C0000}"/>
    <cellStyle name="Normal 3 8 18 6 2" xfId="35266" xr:uid="{00000000-0005-0000-0000-00004E7C0000}"/>
    <cellStyle name="Normal 3 8 18 7" xfId="17849" xr:uid="{00000000-0005-0000-0000-00004F7C0000}"/>
    <cellStyle name="Normal 3 8 18 7 2" xfId="35267" xr:uid="{00000000-0005-0000-0000-0000507C0000}"/>
    <cellStyle name="Normal 3 8 18 8" xfId="17850" xr:uid="{00000000-0005-0000-0000-0000517C0000}"/>
    <cellStyle name="Normal 3 8 18 8 2" xfId="35268" xr:uid="{00000000-0005-0000-0000-0000527C0000}"/>
    <cellStyle name="Normal 3 8 18 9" xfId="17851" xr:uid="{00000000-0005-0000-0000-0000537C0000}"/>
    <cellStyle name="Normal 3 8 18 9 2" xfId="35269" xr:uid="{00000000-0005-0000-0000-0000547C0000}"/>
    <cellStyle name="Normal 3 8 19" xfId="17852" xr:uid="{00000000-0005-0000-0000-0000557C0000}"/>
    <cellStyle name="Normal 3 8 19 10" xfId="17853" xr:uid="{00000000-0005-0000-0000-0000567C0000}"/>
    <cellStyle name="Normal 3 8 19 10 2" xfId="35271" xr:uid="{00000000-0005-0000-0000-0000577C0000}"/>
    <cellStyle name="Normal 3 8 19 11" xfId="17854" xr:uid="{00000000-0005-0000-0000-0000587C0000}"/>
    <cellStyle name="Normal 3 8 19 11 2" xfId="35272" xr:uid="{00000000-0005-0000-0000-0000597C0000}"/>
    <cellStyle name="Normal 3 8 19 12" xfId="17855" xr:uid="{00000000-0005-0000-0000-00005A7C0000}"/>
    <cellStyle name="Normal 3 8 19 12 2" xfId="35273" xr:uid="{00000000-0005-0000-0000-00005B7C0000}"/>
    <cellStyle name="Normal 3 8 19 13" xfId="17856" xr:uid="{00000000-0005-0000-0000-00005C7C0000}"/>
    <cellStyle name="Normal 3 8 19 13 2" xfId="35274" xr:uid="{00000000-0005-0000-0000-00005D7C0000}"/>
    <cellStyle name="Normal 3 8 19 14" xfId="17857" xr:uid="{00000000-0005-0000-0000-00005E7C0000}"/>
    <cellStyle name="Normal 3 8 19 14 2" xfId="35275" xr:uid="{00000000-0005-0000-0000-00005F7C0000}"/>
    <cellStyle name="Normal 3 8 19 15" xfId="35270" xr:uid="{00000000-0005-0000-0000-0000607C0000}"/>
    <cellStyle name="Normal 3 8 19 2" xfId="17858" xr:uid="{00000000-0005-0000-0000-0000617C0000}"/>
    <cellStyle name="Normal 3 8 19 2 2" xfId="35276" xr:uid="{00000000-0005-0000-0000-0000627C0000}"/>
    <cellStyle name="Normal 3 8 19 3" xfId="17859" xr:uid="{00000000-0005-0000-0000-0000637C0000}"/>
    <cellStyle name="Normal 3 8 19 3 2" xfId="35277" xr:uid="{00000000-0005-0000-0000-0000647C0000}"/>
    <cellStyle name="Normal 3 8 19 4" xfId="17860" xr:uid="{00000000-0005-0000-0000-0000657C0000}"/>
    <cellStyle name="Normal 3 8 19 4 2" xfId="35278" xr:uid="{00000000-0005-0000-0000-0000667C0000}"/>
    <cellStyle name="Normal 3 8 19 5" xfId="17861" xr:uid="{00000000-0005-0000-0000-0000677C0000}"/>
    <cellStyle name="Normal 3 8 19 5 2" xfId="35279" xr:uid="{00000000-0005-0000-0000-0000687C0000}"/>
    <cellStyle name="Normal 3 8 19 6" xfId="17862" xr:uid="{00000000-0005-0000-0000-0000697C0000}"/>
    <cellStyle name="Normal 3 8 19 6 2" xfId="35280" xr:uid="{00000000-0005-0000-0000-00006A7C0000}"/>
    <cellStyle name="Normal 3 8 19 7" xfId="17863" xr:uid="{00000000-0005-0000-0000-00006B7C0000}"/>
    <cellStyle name="Normal 3 8 19 7 2" xfId="35281" xr:uid="{00000000-0005-0000-0000-00006C7C0000}"/>
    <cellStyle name="Normal 3 8 19 8" xfId="17864" xr:uid="{00000000-0005-0000-0000-00006D7C0000}"/>
    <cellStyle name="Normal 3 8 19 8 2" xfId="35282" xr:uid="{00000000-0005-0000-0000-00006E7C0000}"/>
    <cellStyle name="Normal 3 8 19 9" xfId="17865" xr:uid="{00000000-0005-0000-0000-00006F7C0000}"/>
    <cellStyle name="Normal 3 8 19 9 2" xfId="35283" xr:uid="{00000000-0005-0000-0000-0000707C0000}"/>
    <cellStyle name="Normal 3 8 2" xfId="17866" xr:uid="{00000000-0005-0000-0000-0000717C0000}"/>
    <cellStyle name="Normal 3 8 20" xfId="17867" xr:uid="{00000000-0005-0000-0000-0000727C0000}"/>
    <cellStyle name="Normal 3 8 20 10" xfId="17868" xr:uid="{00000000-0005-0000-0000-0000737C0000}"/>
    <cellStyle name="Normal 3 8 20 10 2" xfId="35285" xr:uid="{00000000-0005-0000-0000-0000747C0000}"/>
    <cellStyle name="Normal 3 8 20 11" xfId="17869" xr:uid="{00000000-0005-0000-0000-0000757C0000}"/>
    <cellStyle name="Normal 3 8 20 11 2" xfId="35286" xr:uid="{00000000-0005-0000-0000-0000767C0000}"/>
    <cellStyle name="Normal 3 8 20 12" xfId="17870" xr:uid="{00000000-0005-0000-0000-0000777C0000}"/>
    <cellStyle name="Normal 3 8 20 12 2" xfId="35287" xr:uid="{00000000-0005-0000-0000-0000787C0000}"/>
    <cellStyle name="Normal 3 8 20 13" xfId="17871" xr:uid="{00000000-0005-0000-0000-0000797C0000}"/>
    <cellStyle name="Normal 3 8 20 13 2" xfId="35288" xr:uid="{00000000-0005-0000-0000-00007A7C0000}"/>
    <cellStyle name="Normal 3 8 20 14" xfId="17872" xr:uid="{00000000-0005-0000-0000-00007B7C0000}"/>
    <cellStyle name="Normal 3 8 20 14 2" xfId="35289" xr:uid="{00000000-0005-0000-0000-00007C7C0000}"/>
    <cellStyle name="Normal 3 8 20 15" xfId="35284" xr:uid="{00000000-0005-0000-0000-00007D7C0000}"/>
    <cellStyle name="Normal 3 8 20 2" xfId="17873" xr:uid="{00000000-0005-0000-0000-00007E7C0000}"/>
    <cellStyle name="Normal 3 8 20 2 2" xfId="35290" xr:uid="{00000000-0005-0000-0000-00007F7C0000}"/>
    <cellStyle name="Normal 3 8 20 3" xfId="17874" xr:uid="{00000000-0005-0000-0000-0000807C0000}"/>
    <cellStyle name="Normal 3 8 20 3 2" xfId="35291" xr:uid="{00000000-0005-0000-0000-0000817C0000}"/>
    <cellStyle name="Normal 3 8 20 4" xfId="17875" xr:uid="{00000000-0005-0000-0000-0000827C0000}"/>
    <cellStyle name="Normal 3 8 20 4 2" xfId="35292" xr:uid="{00000000-0005-0000-0000-0000837C0000}"/>
    <cellStyle name="Normal 3 8 20 5" xfId="17876" xr:uid="{00000000-0005-0000-0000-0000847C0000}"/>
    <cellStyle name="Normal 3 8 20 5 2" xfId="35293" xr:uid="{00000000-0005-0000-0000-0000857C0000}"/>
    <cellStyle name="Normal 3 8 20 6" xfId="17877" xr:uid="{00000000-0005-0000-0000-0000867C0000}"/>
    <cellStyle name="Normal 3 8 20 6 2" xfId="35294" xr:uid="{00000000-0005-0000-0000-0000877C0000}"/>
    <cellStyle name="Normal 3 8 20 7" xfId="17878" xr:uid="{00000000-0005-0000-0000-0000887C0000}"/>
    <cellStyle name="Normal 3 8 20 7 2" xfId="35295" xr:uid="{00000000-0005-0000-0000-0000897C0000}"/>
    <cellStyle name="Normal 3 8 20 8" xfId="17879" xr:uid="{00000000-0005-0000-0000-00008A7C0000}"/>
    <cellStyle name="Normal 3 8 20 8 2" xfId="35296" xr:uid="{00000000-0005-0000-0000-00008B7C0000}"/>
    <cellStyle name="Normal 3 8 20 9" xfId="17880" xr:uid="{00000000-0005-0000-0000-00008C7C0000}"/>
    <cellStyle name="Normal 3 8 20 9 2" xfId="35297" xr:uid="{00000000-0005-0000-0000-00008D7C0000}"/>
    <cellStyle name="Normal 3 8 21" xfId="17881" xr:uid="{00000000-0005-0000-0000-00008E7C0000}"/>
    <cellStyle name="Normal 3 8 21 10" xfId="17882" xr:uid="{00000000-0005-0000-0000-00008F7C0000}"/>
    <cellStyle name="Normal 3 8 21 10 2" xfId="35299" xr:uid="{00000000-0005-0000-0000-0000907C0000}"/>
    <cellStyle name="Normal 3 8 21 11" xfId="17883" xr:uid="{00000000-0005-0000-0000-0000917C0000}"/>
    <cellStyle name="Normal 3 8 21 11 2" xfId="35300" xr:uid="{00000000-0005-0000-0000-0000927C0000}"/>
    <cellStyle name="Normal 3 8 21 12" xfId="17884" xr:uid="{00000000-0005-0000-0000-0000937C0000}"/>
    <cellStyle name="Normal 3 8 21 12 2" xfId="35301" xr:uid="{00000000-0005-0000-0000-0000947C0000}"/>
    <cellStyle name="Normal 3 8 21 13" xfId="17885" xr:uid="{00000000-0005-0000-0000-0000957C0000}"/>
    <cellStyle name="Normal 3 8 21 13 2" xfId="35302" xr:uid="{00000000-0005-0000-0000-0000967C0000}"/>
    <cellStyle name="Normal 3 8 21 14" xfId="17886" xr:uid="{00000000-0005-0000-0000-0000977C0000}"/>
    <cellStyle name="Normal 3 8 21 14 2" xfId="35303" xr:uid="{00000000-0005-0000-0000-0000987C0000}"/>
    <cellStyle name="Normal 3 8 21 15" xfId="35298" xr:uid="{00000000-0005-0000-0000-0000997C0000}"/>
    <cellStyle name="Normal 3 8 21 2" xfId="17887" xr:uid="{00000000-0005-0000-0000-00009A7C0000}"/>
    <cellStyle name="Normal 3 8 21 2 2" xfId="35304" xr:uid="{00000000-0005-0000-0000-00009B7C0000}"/>
    <cellStyle name="Normal 3 8 21 3" xfId="17888" xr:uid="{00000000-0005-0000-0000-00009C7C0000}"/>
    <cellStyle name="Normal 3 8 21 3 2" xfId="35305" xr:uid="{00000000-0005-0000-0000-00009D7C0000}"/>
    <cellStyle name="Normal 3 8 21 4" xfId="17889" xr:uid="{00000000-0005-0000-0000-00009E7C0000}"/>
    <cellStyle name="Normal 3 8 21 4 2" xfId="35306" xr:uid="{00000000-0005-0000-0000-00009F7C0000}"/>
    <cellStyle name="Normal 3 8 21 5" xfId="17890" xr:uid="{00000000-0005-0000-0000-0000A07C0000}"/>
    <cellStyle name="Normal 3 8 21 5 2" xfId="35307" xr:uid="{00000000-0005-0000-0000-0000A17C0000}"/>
    <cellStyle name="Normal 3 8 21 6" xfId="17891" xr:uid="{00000000-0005-0000-0000-0000A27C0000}"/>
    <cellStyle name="Normal 3 8 21 6 2" xfId="35308" xr:uid="{00000000-0005-0000-0000-0000A37C0000}"/>
    <cellStyle name="Normal 3 8 21 7" xfId="17892" xr:uid="{00000000-0005-0000-0000-0000A47C0000}"/>
    <cellStyle name="Normal 3 8 21 7 2" xfId="35309" xr:uid="{00000000-0005-0000-0000-0000A57C0000}"/>
    <cellStyle name="Normal 3 8 21 8" xfId="17893" xr:uid="{00000000-0005-0000-0000-0000A67C0000}"/>
    <cellStyle name="Normal 3 8 21 8 2" xfId="35310" xr:uid="{00000000-0005-0000-0000-0000A77C0000}"/>
    <cellStyle name="Normal 3 8 21 9" xfId="17894" xr:uid="{00000000-0005-0000-0000-0000A87C0000}"/>
    <cellStyle name="Normal 3 8 21 9 2" xfId="35311" xr:uid="{00000000-0005-0000-0000-0000A97C0000}"/>
    <cellStyle name="Normal 3 8 22" xfId="17895" xr:uid="{00000000-0005-0000-0000-0000AA7C0000}"/>
    <cellStyle name="Normal 3 8 22 10" xfId="17896" xr:uid="{00000000-0005-0000-0000-0000AB7C0000}"/>
    <cellStyle name="Normal 3 8 22 10 2" xfId="35313" xr:uid="{00000000-0005-0000-0000-0000AC7C0000}"/>
    <cellStyle name="Normal 3 8 22 11" xfId="17897" xr:uid="{00000000-0005-0000-0000-0000AD7C0000}"/>
    <cellStyle name="Normal 3 8 22 11 2" xfId="35314" xr:uid="{00000000-0005-0000-0000-0000AE7C0000}"/>
    <cellStyle name="Normal 3 8 22 12" xfId="17898" xr:uid="{00000000-0005-0000-0000-0000AF7C0000}"/>
    <cellStyle name="Normal 3 8 22 12 2" xfId="35315" xr:uid="{00000000-0005-0000-0000-0000B07C0000}"/>
    <cellStyle name="Normal 3 8 22 13" xfId="17899" xr:uid="{00000000-0005-0000-0000-0000B17C0000}"/>
    <cellStyle name="Normal 3 8 22 13 2" xfId="35316" xr:uid="{00000000-0005-0000-0000-0000B27C0000}"/>
    <cellStyle name="Normal 3 8 22 14" xfId="17900" xr:uid="{00000000-0005-0000-0000-0000B37C0000}"/>
    <cellStyle name="Normal 3 8 22 14 2" xfId="35317" xr:uid="{00000000-0005-0000-0000-0000B47C0000}"/>
    <cellStyle name="Normal 3 8 22 15" xfId="35312" xr:uid="{00000000-0005-0000-0000-0000B57C0000}"/>
    <cellStyle name="Normal 3 8 22 2" xfId="17901" xr:uid="{00000000-0005-0000-0000-0000B67C0000}"/>
    <cellStyle name="Normal 3 8 22 2 2" xfId="35318" xr:uid="{00000000-0005-0000-0000-0000B77C0000}"/>
    <cellStyle name="Normal 3 8 22 3" xfId="17902" xr:uid="{00000000-0005-0000-0000-0000B87C0000}"/>
    <cellStyle name="Normal 3 8 22 3 2" xfId="35319" xr:uid="{00000000-0005-0000-0000-0000B97C0000}"/>
    <cellStyle name="Normal 3 8 22 4" xfId="17903" xr:uid="{00000000-0005-0000-0000-0000BA7C0000}"/>
    <cellStyle name="Normal 3 8 22 4 2" xfId="35320" xr:uid="{00000000-0005-0000-0000-0000BB7C0000}"/>
    <cellStyle name="Normal 3 8 22 5" xfId="17904" xr:uid="{00000000-0005-0000-0000-0000BC7C0000}"/>
    <cellStyle name="Normal 3 8 22 5 2" xfId="35321" xr:uid="{00000000-0005-0000-0000-0000BD7C0000}"/>
    <cellStyle name="Normal 3 8 22 6" xfId="17905" xr:uid="{00000000-0005-0000-0000-0000BE7C0000}"/>
    <cellStyle name="Normal 3 8 22 6 2" xfId="35322" xr:uid="{00000000-0005-0000-0000-0000BF7C0000}"/>
    <cellStyle name="Normal 3 8 22 7" xfId="17906" xr:uid="{00000000-0005-0000-0000-0000C07C0000}"/>
    <cellStyle name="Normal 3 8 22 7 2" xfId="35323" xr:uid="{00000000-0005-0000-0000-0000C17C0000}"/>
    <cellStyle name="Normal 3 8 22 8" xfId="17907" xr:uid="{00000000-0005-0000-0000-0000C27C0000}"/>
    <cellStyle name="Normal 3 8 22 8 2" xfId="35324" xr:uid="{00000000-0005-0000-0000-0000C37C0000}"/>
    <cellStyle name="Normal 3 8 22 9" xfId="17908" xr:uid="{00000000-0005-0000-0000-0000C47C0000}"/>
    <cellStyle name="Normal 3 8 22 9 2" xfId="35325" xr:uid="{00000000-0005-0000-0000-0000C57C0000}"/>
    <cellStyle name="Normal 3 8 23" xfId="17909" xr:uid="{00000000-0005-0000-0000-0000C67C0000}"/>
    <cellStyle name="Normal 3 8 24" xfId="17910" xr:uid="{00000000-0005-0000-0000-0000C77C0000}"/>
    <cellStyle name="Normal 3 8 25" xfId="17911" xr:uid="{00000000-0005-0000-0000-0000C87C0000}"/>
    <cellStyle name="Normal 3 8 25 10" xfId="17912" xr:uid="{00000000-0005-0000-0000-0000C97C0000}"/>
    <cellStyle name="Normal 3 8 25 10 2" xfId="35327" xr:uid="{00000000-0005-0000-0000-0000CA7C0000}"/>
    <cellStyle name="Normal 3 8 25 11" xfId="17913" xr:uid="{00000000-0005-0000-0000-0000CB7C0000}"/>
    <cellStyle name="Normal 3 8 25 11 2" xfId="35328" xr:uid="{00000000-0005-0000-0000-0000CC7C0000}"/>
    <cellStyle name="Normal 3 8 25 12" xfId="17914" xr:uid="{00000000-0005-0000-0000-0000CD7C0000}"/>
    <cellStyle name="Normal 3 8 25 12 2" xfId="35329" xr:uid="{00000000-0005-0000-0000-0000CE7C0000}"/>
    <cellStyle name="Normal 3 8 25 13" xfId="17915" xr:uid="{00000000-0005-0000-0000-0000CF7C0000}"/>
    <cellStyle name="Normal 3 8 25 13 2" xfId="35330" xr:uid="{00000000-0005-0000-0000-0000D07C0000}"/>
    <cellStyle name="Normal 3 8 25 14" xfId="17916" xr:uid="{00000000-0005-0000-0000-0000D17C0000}"/>
    <cellStyle name="Normal 3 8 25 14 2" xfId="35331" xr:uid="{00000000-0005-0000-0000-0000D27C0000}"/>
    <cellStyle name="Normal 3 8 25 15" xfId="35326" xr:uid="{00000000-0005-0000-0000-0000D37C0000}"/>
    <cellStyle name="Normal 3 8 25 2" xfId="17917" xr:uid="{00000000-0005-0000-0000-0000D47C0000}"/>
    <cellStyle name="Normal 3 8 25 2 2" xfId="35332" xr:uid="{00000000-0005-0000-0000-0000D57C0000}"/>
    <cellStyle name="Normal 3 8 25 3" xfId="17918" xr:uid="{00000000-0005-0000-0000-0000D67C0000}"/>
    <cellStyle name="Normal 3 8 25 3 2" xfId="35333" xr:uid="{00000000-0005-0000-0000-0000D77C0000}"/>
    <cellStyle name="Normal 3 8 25 4" xfId="17919" xr:uid="{00000000-0005-0000-0000-0000D87C0000}"/>
    <cellStyle name="Normal 3 8 25 4 2" xfId="35334" xr:uid="{00000000-0005-0000-0000-0000D97C0000}"/>
    <cellStyle name="Normal 3 8 25 5" xfId="17920" xr:uid="{00000000-0005-0000-0000-0000DA7C0000}"/>
    <cellStyle name="Normal 3 8 25 5 2" xfId="35335" xr:uid="{00000000-0005-0000-0000-0000DB7C0000}"/>
    <cellStyle name="Normal 3 8 25 6" xfId="17921" xr:uid="{00000000-0005-0000-0000-0000DC7C0000}"/>
    <cellStyle name="Normal 3 8 25 6 2" xfId="35336" xr:uid="{00000000-0005-0000-0000-0000DD7C0000}"/>
    <cellStyle name="Normal 3 8 25 7" xfId="17922" xr:uid="{00000000-0005-0000-0000-0000DE7C0000}"/>
    <cellStyle name="Normal 3 8 25 7 2" xfId="35337" xr:uid="{00000000-0005-0000-0000-0000DF7C0000}"/>
    <cellStyle name="Normal 3 8 25 8" xfId="17923" xr:uid="{00000000-0005-0000-0000-0000E07C0000}"/>
    <cellStyle name="Normal 3 8 25 8 2" xfId="35338" xr:uid="{00000000-0005-0000-0000-0000E17C0000}"/>
    <cellStyle name="Normal 3 8 25 9" xfId="17924" xr:uid="{00000000-0005-0000-0000-0000E27C0000}"/>
    <cellStyle name="Normal 3 8 25 9 2" xfId="35339" xr:uid="{00000000-0005-0000-0000-0000E37C0000}"/>
    <cellStyle name="Normal 3 8 26" xfId="17925" xr:uid="{00000000-0005-0000-0000-0000E47C0000}"/>
    <cellStyle name="Normal 3 8 26 10" xfId="17926" xr:uid="{00000000-0005-0000-0000-0000E57C0000}"/>
    <cellStyle name="Normal 3 8 26 10 2" xfId="35341" xr:uid="{00000000-0005-0000-0000-0000E67C0000}"/>
    <cellStyle name="Normal 3 8 26 11" xfId="17927" xr:uid="{00000000-0005-0000-0000-0000E77C0000}"/>
    <cellStyle name="Normal 3 8 26 11 2" xfId="35342" xr:uid="{00000000-0005-0000-0000-0000E87C0000}"/>
    <cellStyle name="Normal 3 8 26 12" xfId="17928" xr:uid="{00000000-0005-0000-0000-0000E97C0000}"/>
    <cellStyle name="Normal 3 8 26 12 2" xfId="35343" xr:uid="{00000000-0005-0000-0000-0000EA7C0000}"/>
    <cellStyle name="Normal 3 8 26 13" xfId="17929" xr:uid="{00000000-0005-0000-0000-0000EB7C0000}"/>
    <cellStyle name="Normal 3 8 26 13 2" xfId="35344" xr:uid="{00000000-0005-0000-0000-0000EC7C0000}"/>
    <cellStyle name="Normal 3 8 26 14" xfId="17930" xr:uid="{00000000-0005-0000-0000-0000ED7C0000}"/>
    <cellStyle name="Normal 3 8 26 14 2" xfId="35345" xr:uid="{00000000-0005-0000-0000-0000EE7C0000}"/>
    <cellStyle name="Normal 3 8 26 15" xfId="35340" xr:uid="{00000000-0005-0000-0000-0000EF7C0000}"/>
    <cellStyle name="Normal 3 8 26 2" xfId="17931" xr:uid="{00000000-0005-0000-0000-0000F07C0000}"/>
    <cellStyle name="Normal 3 8 26 2 2" xfId="35346" xr:uid="{00000000-0005-0000-0000-0000F17C0000}"/>
    <cellStyle name="Normal 3 8 26 3" xfId="17932" xr:uid="{00000000-0005-0000-0000-0000F27C0000}"/>
    <cellStyle name="Normal 3 8 26 3 2" xfId="35347" xr:uid="{00000000-0005-0000-0000-0000F37C0000}"/>
    <cellStyle name="Normal 3 8 26 4" xfId="17933" xr:uid="{00000000-0005-0000-0000-0000F47C0000}"/>
    <cellStyle name="Normal 3 8 26 4 2" xfId="35348" xr:uid="{00000000-0005-0000-0000-0000F57C0000}"/>
    <cellStyle name="Normal 3 8 26 5" xfId="17934" xr:uid="{00000000-0005-0000-0000-0000F67C0000}"/>
    <cellStyle name="Normal 3 8 26 5 2" xfId="35349" xr:uid="{00000000-0005-0000-0000-0000F77C0000}"/>
    <cellStyle name="Normal 3 8 26 6" xfId="17935" xr:uid="{00000000-0005-0000-0000-0000F87C0000}"/>
    <cellStyle name="Normal 3 8 26 6 2" xfId="35350" xr:uid="{00000000-0005-0000-0000-0000F97C0000}"/>
    <cellStyle name="Normal 3 8 26 7" xfId="17936" xr:uid="{00000000-0005-0000-0000-0000FA7C0000}"/>
    <cellStyle name="Normal 3 8 26 7 2" xfId="35351" xr:uid="{00000000-0005-0000-0000-0000FB7C0000}"/>
    <cellStyle name="Normal 3 8 26 8" xfId="17937" xr:uid="{00000000-0005-0000-0000-0000FC7C0000}"/>
    <cellStyle name="Normal 3 8 26 8 2" xfId="35352" xr:uid="{00000000-0005-0000-0000-0000FD7C0000}"/>
    <cellStyle name="Normal 3 8 26 9" xfId="17938" xr:uid="{00000000-0005-0000-0000-0000FE7C0000}"/>
    <cellStyle name="Normal 3 8 26 9 2" xfId="35353" xr:uid="{00000000-0005-0000-0000-0000FF7C0000}"/>
    <cellStyle name="Normal 3 8 3" xfId="17939" xr:uid="{00000000-0005-0000-0000-0000007D0000}"/>
    <cellStyle name="Normal 3 8 4" xfId="17940" xr:uid="{00000000-0005-0000-0000-0000017D0000}"/>
    <cellStyle name="Normal 3 8 5" xfId="17941" xr:uid="{00000000-0005-0000-0000-0000027D0000}"/>
    <cellStyle name="Normal 3 8 6" xfId="17942" xr:uid="{00000000-0005-0000-0000-0000037D0000}"/>
    <cellStyle name="Normal 3 8 7" xfId="17943" xr:uid="{00000000-0005-0000-0000-0000047D0000}"/>
    <cellStyle name="Normal 3 8 8" xfId="17944" xr:uid="{00000000-0005-0000-0000-0000057D0000}"/>
    <cellStyle name="Normal 3 8 9" xfId="17945" xr:uid="{00000000-0005-0000-0000-0000067D0000}"/>
    <cellStyle name="Normal 3 9" xfId="17946" xr:uid="{00000000-0005-0000-0000-0000077D0000}"/>
    <cellStyle name="Normal 3 9 10" xfId="17947" xr:uid="{00000000-0005-0000-0000-0000087D0000}"/>
    <cellStyle name="Normal 3 9 11" xfId="17948" xr:uid="{00000000-0005-0000-0000-0000097D0000}"/>
    <cellStyle name="Normal 3 9 11 10" xfId="17949" xr:uid="{00000000-0005-0000-0000-00000A7D0000}"/>
    <cellStyle name="Normal 3 9 11 10 2" xfId="35355" xr:uid="{00000000-0005-0000-0000-00000B7D0000}"/>
    <cellStyle name="Normal 3 9 11 11" xfId="17950" xr:uid="{00000000-0005-0000-0000-00000C7D0000}"/>
    <cellStyle name="Normal 3 9 11 11 2" xfId="35356" xr:uid="{00000000-0005-0000-0000-00000D7D0000}"/>
    <cellStyle name="Normal 3 9 11 12" xfId="17951" xr:uid="{00000000-0005-0000-0000-00000E7D0000}"/>
    <cellStyle name="Normal 3 9 11 12 2" xfId="35357" xr:uid="{00000000-0005-0000-0000-00000F7D0000}"/>
    <cellStyle name="Normal 3 9 11 13" xfId="17952" xr:uid="{00000000-0005-0000-0000-0000107D0000}"/>
    <cellStyle name="Normal 3 9 11 13 2" xfId="35358" xr:uid="{00000000-0005-0000-0000-0000117D0000}"/>
    <cellStyle name="Normal 3 9 11 14" xfId="17953" xr:uid="{00000000-0005-0000-0000-0000127D0000}"/>
    <cellStyle name="Normal 3 9 11 14 2" xfId="35359" xr:uid="{00000000-0005-0000-0000-0000137D0000}"/>
    <cellStyle name="Normal 3 9 11 15" xfId="17954" xr:uid="{00000000-0005-0000-0000-0000147D0000}"/>
    <cellStyle name="Normal 3 9 11 15 2" xfId="35360" xr:uid="{00000000-0005-0000-0000-0000157D0000}"/>
    <cellStyle name="Normal 3 9 11 16" xfId="17955" xr:uid="{00000000-0005-0000-0000-0000167D0000}"/>
    <cellStyle name="Normal 3 9 11 16 2" xfId="35361" xr:uid="{00000000-0005-0000-0000-0000177D0000}"/>
    <cellStyle name="Normal 3 9 11 17" xfId="17956" xr:uid="{00000000-0005-0000-0000-0000187D0000}"/>
    <cellStyle name="Normal 3 9 11 17 2" xfId="35362" xr:uid="{00000000-0005-0000-0000-0000197D0000}"/>
    <cellStyle name="Normal 3 9 11 18" xfId="35354" xr:uid="{00000000-0005-0000-0000-00001A7D0000}"/>
    <cellStyle name="Normal 3 9 11 2" xfId="17957" xr:uid="{00000000-0005-0000-0000-00001B7D0000}"/>
    <cellStyle name="Normal 3 9 11 3" xfId="17958" xr:uid="{00000000-0005-0000-0000-00001C7D0000}"/>
    <cellStyle name="Normal 3 9 11 4" xfId="17959" xr:uid="{00000000-0005-0000-0000-00001D7D0000}"/>
    <cellStyle name="Normal 3 9 11 5" xfId="17960" xr:uid="{00000000-0005-0000-0000-00001E7D0000}"/>
    <cellStyle name="Normal 3 9 11 5 2" xfId="35363" xr:uid="{00000000-0005-0000-0000-00001F7D0000}"/>
    <cellStyle name="Normal 3 9 11 6" xfId="17961" xr:uid="{00000000-0005-0000-0000-0000207D0000}"/>
    <cellStyle name="Normal 3 9 11 6 2" xfId="35364" xr:uid="{00000000-0005-0000-0000-0000217D0000}"/>
    <cellStyle name="Normal 3 9 11 7" xfId="17962" xr:uid="{00000000-0005-0000-0000-0000227D0000}"/>
    <cellStyle name="Normal 3 9 11 7 2" xfId="35365" xr:uid="{00000000-0005-0000-0000-0000237D0000}"/>
    <cellStyle name="Normal 3 9 11 8" xfId="17963" xr:uid="{00000000-0005-0000-0000-0000247D0000}"/>
    <cellStyle name="Normal 3 9 11 8 2" xfId="35366" xr:uid="{00000000-0005-0000-0000-0000257D0000}"/>
    <cellStyle name="Normal 3 9 11 9" xfId="17964" xr:uid="{00000000-0005-0000-0000-0000267D0000}"/>
    <cellStyle name="Normal 3 9 11 9 2" xfId="35367" xr:uid="{00000000-0005-0000-0000-0000277D0000}"/>
    <cellStyle name="Normal 3 9 12" xfId="17965" xr:uid="{00000000-0005-0000-0000-0000287D0000}"/>
    <cellStyle name="Normal 3 9 13" xfId="17966" xr:uid="{00000000-0005-0000-0000-0000297D0000}"/>
    <cellStyle name="Normal 3 9 14" xfId="17967" xr:uid="{00000000-0005-0000-0000-00002A7D0000}"/>
    <cellStyle name="Normal 3 9 14 10" xfId="17968" xr:uid="{00000000-0005-0000-0000-00002B7D0000}"/>
    <cellStyle name="Normal 3 9 14 10 2" xfId="35369" xr:uid="{00000000-0005-0000-0000-00002C7D0000}"/>
    <cellStyle name="Normal 3 9 14 11" xfId="17969" xr:uid="{00000000-0005-0000-0000-00002D7D0000}"/>
    <cellStyle name="Normal 3 9 14 11 2" xfId="35370" xr:uid="{00000000-0005-0000-0000-00002E7D0000}"/>
    <cellStyle name="Normal 3 9 14 12" xfId="17970" xr:uid="{00000000-0005-0000-0000-00002F7D0000}"/>
    <cellStyle name="Normal 3 9 14 12 2" xfId="35371" xr:uid="{00000000-0005-0000-0000-0000307D0000}"/>
    <cellStyle name="Normal 3 9 14 13" xfId="17971" xr:uid="{00000000-0005-0000-0000-0000317D0000}"/>
    <cellStyle name="Normal 3 9 14 13 2" xfId="35372" xr:uid="{00000000-0005-0000-0000-0000327D0000}"/>
    <cellStyle name="Normal 3 9 14 14" xfId="17972" xr:uid="{00000000-0005-0000-0000-0000337D0000}"/>
    <cellStyle name="Normal 3 9 14 14 2" xfId="35373" xr:uid="{00000000-0005-0000-0000-0000347D0000}"/>
    <cellStyle name="Normal 3 9 14 15" xfId="17973" xr:uid="{00000000-0005-0000-0000-0000357D0000}"/>
    <cellStyle name="Normal 3 9 14 15 2" xfId="35374" xr:uid="{00000000-0005-0000-0000-0000367D0000}"/>
    <cellStyle name="Normal 3 9 14 16" xfId="35368" xr:uid="{00000000-0005-0000-0000-0000377D0000}"/>
    <cellStyle name="Normal 3 9 14 2" xfId="17974" xr:uid="{00000000-0005-0000-0000-0000387D0000}"/>
    <cellStyle name="Normal 3 9 14 2 10" xfId="17975" xr:uid="{00000000-0005-0000-0000-0000397D0000}"/>
    <cellStyle name="Normal 3 9 14 2 10 2" xfId="35376" xr:uid="{00000000-0005-0000-0000-00003A7D0000}"/>
    <cellStyle name="Normal 3 9 14 2 11" xfId="17976" xr:uid="{00000000-0005-0000-0000-00003B7D0000}"/>
    <cellStyle name="Normal 3 9 14 2 11 2" xfId="35377" xr:uid="{00000000-0005-0000-0000-00003C7D0000}"/>
    <cellStyle name="Normal 3 9 14 2 12" xfId="17977" xr:uid="{00000000-0005-0000-0000-00003D7D0000}"/>
    <cellStyle name="Normal 3 9 14 2 12 2" xfId="35378" xr:uid="{00000000-0005-0000-0000-00003E7D0000}"/>
    <cellStyle name="Normal 3 9 14 2 13" xfId="17978" xr:uid="{00000000-0005-0000-0000-00003F7D0000}"/>
    <cellStyle name="Normal 3 9 14 2 13 2" xfId="35379" xr:uid="{00000000-0005-0000-0000-0000407D0000}"/>
    <cellStyle name="Normal 3 9 14 2 14" xfId="17979" xr:uid="{00000000-0005-0000-0000-0000417D0000}"/>
    <cellStyle name="Normal 3 9 14 2 14 2" xfId="35380" xr:uid="{00000000-0005-0000-0000-0000427D0000}"/>
    <cellStyle name="Normal 3 9 14 2 15" xfId="35375" xr:uid="{00000000-0005-0000-0000-0000437D0000}"/>
    <cellStyle name="Normal 3 9 14 2 2" xfId="17980" xr:uid="{00000000-0005-0000-0000-0000447D0000}"/>
    <cellStyle name="Normal 3 9 14 2 2 2" xfId="35381" xr:uid="{00000000-0005-0000-0000-0000457D0000}"/>
    <cellStyle name="Normal 3 9 14 2 3" xfId="17981" xr:uid="{00000000-0005-0000-0000-0000467D0000}"/>
    <cellStyle name="Normal 3 9 14 2 3 2" xfId="35382" xr:uid="{00000000-0005-0000-0000-0000477D0000}"/>
    <cellStyle name="Normal 3 9 14 2 4" xfId="17982" xr:uid="{00000000-0005-0000-0000-0000487D0000}"/>
    <cellStyle name="Normal 3 9 14 2 4 2" xfId="35383" xr:uid="{00000000-0005-0000-0000-0000497D0000}"/>
    <cellStyle name="Normal 3 9 14 2 5" xfId="17983" xr:uid="{00000000-0005-0000-0000-00004A7D0000}"/>
    <cellStyle name="Normal 3 9 14 2 5 2" xfId="35384" xr:uid="{00000000-0005-0000-0000-00004B7D0000}"/>
    <cellStyle name="Normal 3 9 14 2 6" xfId="17984" xr:uid="{00000000-0005-0000-0000-00004C7D0000}"/>
    <cellStyle name="Normal 3 9 14 2 6 2" xfId="35385" xr:uid="{00000000-0005-0000-0000-00004D7D0000}"/>
    <cellStyle name="Normal 3 9 14 2 7" xfId="17985" xr:uid="{00000000-0005-0000-0000-00004E7D0000}"/>
    <cellStyle name="Normal 3 9 14 2 7 2" xfId="35386" xr:uid="{00000000-0005-0000-0000-00004F7D0000}"/>
    <cellStyle name="Normal 3 9 14 2 8" xfId="17986" xr:uid="{00000000-0005-0000-0000-0000507D0000}"/>
    <cellStyle name="Normal 3 9 14 2 8 2" xfId="35387" xr:uid="{00000000-0005-0000-0000-0000517D0000}"/>
    <cellStyle name="Normal 3 9 14 2 9" xfId="17987" xr:uid="{00000000-0005-0000-0000-0000527D0000}"/>
    <cellStyle name="Normal 3 9 14 2 9 2" xfId="35388" xr:uid="{00000000-0005-0000-0000-0000537D0000}"/>
    <cellStyle name="Normal 3 9 14 3" xfId="17988" xr:uid="{00000000-0005-0000-0000-0000547D0000}"/>
    <cellStyle name="Normal 3 9 14 3 2" xfId="35389" xr:uid="{00000000-0005-0000-0000-0000557D0000}"/>
    <cellStyle name="Normal 3 9 14 4" xfId="17989" xr:uid="{00000000-0005-0000-0000-0000567D0000}"/>
    <cellStyle name="Normal 3 9 14 4 2" xfId="35390" xr:uid="{00000000-0005-0000-0000-0000577D0000}"/>
    <cellStyle name="Normal 3 9 14 5" xfId="17990" xr:uid="{00000000-0005-0000-0000-0000587D0000}"/>
    <cellStyle name="Normal 3 9 14 5 2" xfId="35391" xr:uid="{00000000-0005-0000-0000-0000597D0000}"/>
    <cellStyle name="Normal 3 9 14 6" xfId="17991" xr:uid="{00000000-0005-0000-0000-00005A7D0000}"/>
    <cellStyle name="Normal 3 9 14 6 2" xfId="35392" xr:uid="{00000000-0005-0000-0000-00005B7D0000}"/>
    <cellStyle name="Normal 3 9 14 7" xfId="17992" xr:uid="{00000000-0005-0000-0000-00005C7D0000}"/>
    <cellStyle name="Normal 3 9 14 7 2" xfId="35393" xr:uid="{00000000-0005-0000-0000-00005D7D0000}"/>
    <cellStyle name="Normal 3 9 14 8" xfId="17993" xr:uid="{00000000-0005-0000-0000-00005E7D0000}"/>
    <cellStyle name="Normal 3 9 14 8 2" xfId="35394" xr:uid="{00000000-0005-0000-0000-00005F7D0000}"/>
    <cellStyle name="Normal 3 9 14 9" xfId="17994" xr:uid="{00000000-0005-0000-0000-0000607D0000}"/>
    <cellStyle name="Normal 3 9 14 9 2" xfId="35395" xr:uid="{00000000-0005-0000-0000-0000617D0000}"/>
    <cellStyle name="Normal 3 9 15" xfId="17995" xr:uid="{00000000-0005-0000-0000-0000627D0000}"/>
    <cellStyle name="Normal 3 9 15 10" xfId="17996" xr:uid="{00000000-0005-0000-0000-0000637D0000}"/>
    <cellStyle name="Normal 3 9 15 10 2" xfId="35397" xr:uid="{00000000-0005-0000-0000-0000647D0000}"/>
    <cellStyle name="Normal 3 9 15 11" xfId="17997" xr:uid="{00000000-0005-0000-0000-0000657D0000}"/>
    <cellStyle name="Normal 3 9 15 11 2" xfId="35398" xr:uid="{00000000-0005-0000-0000-0000667D0000}"/>
    <cellStyle name="Normal 3 9 15 12" xfId="17998" xr:uid="{00000000-0005-0000-0000-0000677D0000}"/>
    <cellStyle name="Normal 3 9 15 12 2" xfId="35399" xr:uid="{00000000-0005-0000-0000-0000687D0000}"/>
    <cellStyle name="Normal 3 9 15 13" xfId="17999" xr:uid="{00000000-0005-0000-0000-0000697D0000}"/>
    <cellStyle name="Normal 3 9 15 13 2" xfId="35400" xr:uid="{00000000-0005-0000-0000-00006A7D0000}"/>
    <cellStyle name="Normal 3 9 15 14" xfId="18000" xr:uid="{00000000-0005-0000-0000-00006B7D0000}"/>
    <cellStyle name="Normal 3 9 15 14 2" xfId="35401" xr:uid="{00000000-0005-0000-0000-00006C7D0000}"/>
    <cellStyle name="Normal 3 9 15 15" xfId="18001" xr:uid="{00000000-0005-0000-0000-00006D7D0000}"/>
    <cellStyle name="Normal 3 9 15 15 2" xfId="35402" xr:uid="{00000000-0005-0000-0000-00006E7D0000}"/>
    <cellStyle name="Normal 3 9 15 16" xfId="35396" xr:uid="{00000000-0005-0000-0000-00006F7D0000}"/>
    <cellStyle name="Normal 3 9 15 2" xfId="18002" xr:uid="{00000000-0005-0000-0000-0000707D0000}"/>
    <cellStyle name="Normal 3 9 15 2 10" xfId="18003" xr:uid="{00000000-0005-0000-0000-0000717D0000}"/>
    <cellStyle name="Normal 3 9 15 2 10 2" xfId="35404" xr:uid="{00000000-0005-0000-0000-0000727D0000}"/>
    <cellStyle name="Normal 3 9 15 2 11" xfId="18004" xr:uid="{00000000-0005-0000-0000-0000737D0000}"/>
    <cellStyle name="Normal 3 9 15 2 11 2" xfId="35405" xr:uid="{00000000-0005-0000-0000-0000747D0000}"/>
    <cellStyle name="Normal 3 9 15 2 12" xfId="18005" xr:uid="{00000000-0005-0000-0000-0000757D0000}"/>
    <cellStyle name="Normal 3 9 15 2 12 2" xfId="35406" xr:uid="{00000000-0005-0000-0000-0000767D0000}"/>
    <cellStyle name="Normal 3 9 15 2 13" xfId="18006" xr:uid="{00000000-0005-0000-0000-0000777D0000}"/>
    <cellStyle name="Normal 3 9 15 2 13 2" xfId="35407" xr:uid="{00000000-0005-0000-0000-0000787D0000}"/>
    <cellStyle name="Normal 3 9 15 2 14" xfId="18007" xr:uid="{00000000-0005-0000-0000-0000797D0000}"/>
    <cellStyle name="Normal 3 9 15 2 14 2" xfId="35408" xr:uid="{00000000-0005-0000-0000-00007A7D0000}"/>
    <cellStyle name="Normal 3 9 15 2 15" xfId="35403" xr:uid="{00000000-0005-0000-0000-00007B7D0000}"/>
    <cellStyle name="Normal 3 9 15 2 2" xfId="18008" xr:uid="{00000000-0005-0000-0000-00007C7D0000}"/>
    <cellStyle name="Normal 3 9 15 2 2 2" xfId="35409" xr:uid="{00000000-0005-0000-0000-00007D7D0000}"/>
    <cellStyle name="Normal 3 9 15 2 3" xfId="18009" xr:uid="{00000000-0005-0000-0000-00007E7D0000}"/>
    <cellStyle name="Normal 3 9 15 2 3 2" xfId="35410" xr:uid="{00000000-0005-0000-0000-00007F7D0000}"/>
    <cellStyle name="Normal 3 9 15 2 4" xfId="18010" xr:uid="{00000000-0005-0000-0000-0000807D0000}"/>
    <cellStyle name="Normal 3 9 15 2 4 2" xfId="35411" xr:uid="{00000000-0005-0000-0000-0000817D0000}"/>
    <cellStyle name="Normal 3 9 15 2 5" xfId="18011" xr:uid="{00000000-0005-0000-0000-0000827D0000}"/>
    <cellStyle name="Normal 3 9 15 2 5 2" xfId="35412" xr:uid="{00000000-0005-0000-0000-0000837D0000}"/>
    <cellStyle name="Normal 3 9 15 2 6" xfId="18012" xr:uid="{00000000-0005-0000-0000-0000847D0000}"/>
    <cellStyle name="Normal 3 9 15 2 6 2" xfId="35413" xr:uid="{00000000-0005-0000-0000-0000857D0000}"/>
    <cellStyle name="Normal 3 9 15 2 7" xfId="18013" xr:uid="{00000000-0005-0000-0000-0000867D0000}"/>
    <cellStyle name="Normal 3 9 15 2 7 2" xfId="35414" xr:uid="{00000000-0005-0000-0000-0000877D0000}"/>
    <cellStyle name="Normal 3 9 15 2 8" xfId="18014" xr:uid="{00000000-0005-0000-0000-0000887D0000}"/>
    <cellStyle name="Normal 3 9 15 2 8 2" xfId="35415" xr:uid="{00000000-0005-0000-0000-0000897D0000}"/>
    <cellStyle name="Normal 3 9 15 2 9" xfId="18015" xr:uid="{00000000-0005-0000-0000-00008A7D0000}"/>
    <cellStyle name="Normal 3 9 15 2 9 2" xfId="35416" xr:uid="{00000000-0005-0000-0000-00008B7D0000}"/>
    <cellStyle name="Normal 3 9 15 3" xfId="18016" xr:uid="{00000000-0005-0000-0000-00008C7D0000}"/>
    <cellStyle name="Normal 3 9 15 3 2" xfId="35417" xr:uid="{00000000-0005-0000-0000-00008D7D0000}"/>
    <cellStyle name="Normal 3 9 15 4" xfId="18017" xr:uid="{00000000-0005-0000-0000-00008E7D0000}"/>
    <cellStyle name="Normal 3 9 15 4 2" xfId="35418" xr:uid="{00000000-0005-0000-0000-00008F7D0000}"/>
    <cellStyle name="Normal 3 9 15 5" xfId="18018" xr:uid="{00000000-0005-0000-0000-0000907D0000}"/>
    <cellStyle name="Normal 3 9 15 5 2" xfId="35419" xr:uid="{00000000-0005-0000-0000-0000917D0000}"/>
    <cellStyle name="Normal 3 9 15 6" xfId="18019" xr:uid="{00000000-0005-0000-0000-0000927D0000}"/>
    <cellStyle name="Normal 3 9 15 6 2" xfId="35420" xr:uid="{00000000-0005-0000-0000-0000937D0000}"/>
    <cellStyle name="Normal 3 9 15 7" xfId="18020" xr:uid="{00000000-0005-0000-0000-0000947D0000}"/>
    <cellStyle name="Normal 3 9 15 7 2" xfId="35421" xr:uid="{00000000-0005-0000-0000-0000957D0000}"/>
    <cellStyle name="Normal 3 9 15 8" xfId="18021" xr:uid="{00000000-0005-0000-0000-0000967D0000}"/>
    <cellStyle name="Normal 3 9 15 8 2" xfId="35422" xr:uid="{00000000-0005-0000-0000-0000977D0000}"/>
    <cellStyle name="Normal 3 9 15 9" xfId="18022" xr:uid="{00000000-0005-0000-0000-0000987D0000}"/>
    <cellStyle name="Normal 3 9 15 9 2" xfId="35423" xr:uid="{00000000-0005-0000-0000-0000997D0000}"/>
    <cellStyle name="Normal 3 9 16" xfId="18023" xr:uid="{00000000-0005-0000-0000-00009A7D0000}"/>
    <cellStyle name="Normal 3 9 16 10" xfId="18024" xr:uid="{00000000-0005-0000-0000-00009B7D0000}"/>
    <cellStyle name="Normal 3 9 16 10 2" xfId="35425" xr:uid="{00000000-0005-0000-0000-00009C7D0000}"/>
    <cellStyle name="Normal 3 9 16 11" xfId="18025" xr:uid="{00000000-0005-0000-0000-00009D7D0000}"/>
    <cellStyle name="Normal 3 9 16 11 2" xfId="35426" xr:uid="{00000000-0005-0000-0000-00009E7D0000}"/>
    <cellStyle name="Normal 3 9 16 12" xfId="18026" xr:uid="{00000000-0005-0000-0000-00009F7D0000}"/>
    <cellStyle name="Normal 3 9 16 12 2" xfId="35427" xr:uid="{00000000-0005-0000-0000-0000A07D0000}"/>
    <cellStyle name="Normal 3 9 16 13" xfId="18027" xr:uid="{00000000-0005-0000-0000-0000A17D0000}"/>
    <cellStyle name="Normal 3 9 16 13 2" xfId="35428" xr:uid="{00000000-0005-0000-0000-0000A27D0000}"/>
    <cellStyle name="Normal 3 9 16 14" xfId="18028" xr:uid="{00000000-0005-0000-0000-0000A37D0000}"/>
    <cellStyle name="Normal 3 9 16 14 2" xfId="35429" xr:uid="{00000000-0005-0000-0000-0000A47D0000}"/>
    <cellStyle name="Normal 3 9 16 15" xfId="18029" xr:uid="{00000000-0005-0000-0000-0000A57D0000}"/>
    <cellStyle name="Normal 3 9 16 15 2" xfId="35430" xr:uid="{00000000-0005-0000-0000-0000A67D0000}"/>
    <cellStyle name="Normal 3 9 16 16" xfId="35424" xr:uid="{00000000-0005-0000-0000-0000A77D0000}"/>
    <cellStyle name="Normal 3 9 16 2" xfId="18030" xr:uid="{00000000-0005-0000-0000-0000A87D0000}"/>
    <cellStyle name="Normal 3 9 16 2 10" xfId="18031" xr:uid="{00000000-0005-0000-0000-0000A97D0000}"/>
    <cellStyle name="Normal 3 9 16 2 10 2" xfId="35432" xr:uid="{00000000-0005-0000-0000-0000AA7D0000}"/>
    <cellStyle name="Normal 3 9 16 2 11" xfId="18032" xr:uid="{00000000-0005-0000-0000-0000AB7D0000}"/>
    <cellStyle name="Normal 3 9 16 2 11 2" xfId="35433" xr:uid="{00000000-0005-0000-0000-0000AC7D0000}"/>
    <cellStyle name="Normal 3 9 16 2 12" xfId="18033" xr:uid="{00000000-0005-0000-0000-0000AD7D0000}"/>
    <cellStyle name="Normal 3 9 16 2 12 2" xfId="35434" xr:uid="{00000000-0005-0000-0000-0000AE7D0000}"/>
    <cellStyle name="Normal 3 9 16 2 13" xfId="18034" xr:uid="{00000000-0005-0000-0000-0000AF7D0000}"/>
    <cellStyle name="Normal 3 9 16 2 13 2" xfId="35435" xr:uid="{00000000-0005-0000-0000-0000B07D0000}"/>
    <cellStyle name="Normal 3 9 16 2 14" xfId="18035" xr:uid="{00000000-0005-0000-0000-0000B17D0000}"/>
    <cellStyle name="Normal 3 9 16 2 14 2" xfId="35436" xr:uid="{00000000-0005-0000-0000-0000B27D0000}"/>
    <cellStyle name="Normal 3 9 16 2 15" xfId="35431" xr:uid="{00000000-0005-0000-0000-0000B37D0000}"/>
    <cellStyle name="Normal 3 9 16 2 2" xfId="18036" xr:uid="{00000000-0005-0000-0000-0000B47D0000}"/>
    <cellStyle name="Normal 3 9 16 2 2 2" xfId="35437" xr:uid="{00000000-0005-0000-0000-0000B57D0000}"/>
    <cellStyle name="Normal 3 9 16 2 3" xfId="18037" xr:uid="{00000000-0005-0000-0000-0000B67D0000}"/>
    <cellStyle name="Normal 3 9 16 2 3 2" xfId="35438" xr:uid="{00000000-0005-0000-0000-0000B77D0000}"/>
    <cellStyle name="Normal 3 9 16 2 4" xfId="18038" xr:uid="{00000000-0005-0000-0000-0000B87D0000}"/>
    <cellStyle name="Normal 3 9 16 2 4 2" xfId="35439" xr:uid="{00000000-0005-0000-0000-0000B97D0000}"/>
    <cellStyle name="Normal 3 9 16 2 5" xfId="18039" xr:uid="{00000000-0005-0000-0000-0000BA7D0000}"/>
    <cellStyle name="Normal 3 9 16 2 5 2" xfId="35440" xr:uid="{00000000-0005-0000-0000-0000BB7D0000}"/>
    <cellStyle name="Normal 3 9 16 2 6" xfId="18040" xr:uid="{00000000-0005-0000-0000-0000BC7D0000}"/>
    <cellStyle name="Normal 3 9 16 2 6 2" xfId="35441" xr:uid="{00000000-0005-0000-0000-0000BD7D0000}"/>
    <cellStyle name="Normal 3 9 16 2 7" xfId="18041" xr:uid="{00000000-0005-0000-0000-0000BE7D0000}"/>
    <cellStyle name="Normal 3 9 16 2 7 2" xfId="35442" xr:uid="{00000000-0005-0000-0000-0000BF7D0000}"/>
    <cellStyle name="Normal 3 9 16 2 8" xfId="18042" xr:uid="{00000000-0005-0000-0000-0000C07D0000}"/>
    <cellStyle name="Normal 3 9 16 2 8 2" xfId="35443" xr:uid="{00000000-0005-0000-0000-0000C17D0000}"/>
    <cellStyle name="Normal 3 9 16 2 9" xfId="18043" xr:uid="{00000000-0005-0000-0000-0000C27D0000}"/>
    <cellStyle name="Normal 3 9 16 2 9 2" xfId="35444" xr:uid="{00000000-0005-0000-0000-0000C37D0000}"/>
    <cellStyle name="Normal 3 9 16 3" xfId="18044" xr:uid="{00000000-0005-0000-0000-0000C47D0000}"/>
    <cellStyle name="Normal 3 9 16 3 2" xfId="35445" xr:uid="{00000000-0005-0000-0000-0000C57D0000}"/>
    <cellStyle name="Normal 3 9 16 4" xfId="18045" xr:uid="{00000000-0005-0000-0000-0000C67D0000}"/>
    <cellStyle name="Normal 3 9 16 4 2" xfId="35446" xr:uid="{00000000-0005-0000-0000-0000C77D0000}"/>
    <cellStyle name="Normal 3 9 16 5" xfId="18046" xr:uid="{00000000-0005-0000-0000-0000C87D0000}"/>
    <cellStyle name="Normal 3 9 16 5 2" xfId="35447" xr:uid="{00000000-0005-0000-0000-0000C97D0000}"/>
    <cellStyle name="Normal 3 9 16 6" xfId="18047" xr:uid="{00000000-0005-0000-0000-0000CA7D0000}"/>
    <cellStyle name="Normal 3 9 16 6 2" xfId="35448" xr:uid="{00000000-0005-0000-0000-0000CB7D0000}"/>
    <cellStyle name="Normal 3 9 16 7" xfId="18048" xr:uid="{00000000-0005-0000-0000-0000CC7D0000}"/>
    <cellStyle name="Normal 3 9 16 7 2" xfId="35449" xr:uid="{00000000-0005-0000-0000-0000CD7D0000}"/>
    <cellStyle name="Normal 3 9 16 8" xfId="18049" xr:uid="{00000000-0005-0000-0000-0000CE7D0000}"/>
    <cellStyle name="Normal 3 9 16 8 2" xfId="35450" xr:uid="{00000000-0005-0000-0000-0000CF7D0000}"/>
    <cellStyle name="Normal 3 9 16 9" xfId="18050" xr:uid="{00000000-0005-0000-0000-0000D07D0000}"/>
    <cellStyle name="Normal 3 9 16 9 2" xfId="35451" xr:uid="{00000000-0005-0000-0000-0000D17D0000}"/>
    <cellStyle name="Normal 3 9 17" xfId="18051" xr:uid="{00000000-0005-0000-0000-0000D27D0000}"/>
    <cellStyle name="Normal 3 9 17 10" xfId="18052" xr:uid="{00000000-0005-0000-0000-0000D37D0000}"/>
    <cellStyle name="Normal 3 9 17 10 2" xfId="35453" xr:uid="{00000000-0005-0000-0000-0000D47D0000}"/>
    <cellStyle name="Normal 3 9 17 11" xfId="18053" xr:uid="{00000000-0005-0000-0000-0000D57D0000}"/>
    <cellStyle name="Normal 3 9 17 11 2" xfId="35454" xr:uid="{00000000-0005-0000-0000-0000D67D0000}"/>
    <cellStyle name="Normal 3 9 17 12" xfId="18054" xr:uid="{00000000-0005-0000-0000-0000D77D0000}"/>
    <cellStyle name="Normal 3 9 17 12 2" xfId="35455" xr:uid="{00000000-0005-0000-0000-0000D87D0000}"/>
    <cellStyle name="Normal 3 9 17 13" xfId="18055" xr:uid="{00000000-0005-0000-0000-0000D97D0000}"/>
    <cellStyle name="Normal 3 9 17 13 2" xfId="35456" xr:uid="{00000000-0005-0000-0000-0000DA7D0000}"/>
    <cellStyle name="Normal 3 9 17 14" xfId="18056" xr:uid="{00000000-0005-0000-0000-0000DB7D0000}"/>
    <cellStyle name="Normal 3 9 17 14 2" xfId="35457" xr:uid="{00000000-0005-0000-0000-0000DC7D0000}"/>
    <cellStyle name="Normal 3 9 17 15" xfId="35452" xr:uid="{00000000-0005-0000-0000-0000DD7D0000}"/>
    <cellStyle name="Normal 3 9 17 2" xfId="18057" xr:uid="{00000000-0005-0000-0000-0000DE7D0000}"/>
    <cellStyle name="Normal 3 9 17 2 2" xfId="35458" xr:uid="{00000000-0005-0000-0000-0000DF7D0000}"/>
    <cellStyle name="Normal 3 9 17 3" xfId="18058" xr:uid="{00000000-0005-0000-0000-0000E07D0000}"/>
    <cellStyle name="Normal 3 9 17 3 2" xfId="35459" xr:uid="{00000000-0005-0000-0000-0000E17D0000}"/>
    <cellStyle name="Normal 3 9 17 4" xfId="18059" xr:uid="{00000000-0005-0000-0000-0000E27D0000}"/>
    <cellStyle name="Normal 3 9 17 4 2" xfId="35460" xr:uid="{00000000-0005-0000-0000-0000E37D0000}"/>
    <cellStyle name="Normal 3 9 17 5" xfId="18060" xr:uid="{00000000-0005-0000-0000-0000E47D0000}"/>
    <cellStyle name="Normal 3 9 17 5 2" xfId="35461" xr:uid="{00000000-0005-0000-0000-0000E57D0000}"/>
    <cellStyle name="Normal 3 9 17 6" xfId="18061" xr:uid="{00000000-0005-0000-0000-0000E67D0000}"/>
    <cellStyle name="Normal 3 9 17 6 2" xfId="35462" xr:uid="{00000000-0005-0000-0000-0000E77D0000}"/>
    <cellStyle name="Normal 3 9 17 7" xfId="18062" xr:uid="{00000000-0005-0000-0000-0000E87D0000}"/>
    <cellStyle name="Normal 3 9 17 7 2" xfId="35463" xr:uid="{00000000-0005-0000-0000-0000E97D0000}"/>
    <cellStyle name="Normal 3 9 17 8" xfId="18063" xr:uid="{00000000-0005-0000-0000-0000EA7D0000}"/>
    <cellStyle name="Normal 3 9 17 8 2" xfId="35464" xr:uid="{00000000-0005-0000-0000-0000EB7D0000}"/>
    <cellStyle name="Normal 3 9 17 9" xfId="18064" xr:uid="{00000000-0005-0000-0000-0000EC7D0000}"/>
    <cellStyle name="Normal 3 9 17 9 2" xfId="35465" xr:uid="{00000000-0005-0000-0000-0000ED7D0000}"/>
    <cellStyle name="Normal 3 9 18" xfId="18065" xr:uid="{00000000-0005-0000-0000-0000EE7D0000}"/>
    <cellStyle name="Normal 3 9 18 10" xfId="18066" xr:uid="{00000000-0005-0000-0000-0000EF7D0000}"/>
    <cellStyle name="Normal 3 9 18 10 2" xfId="35467" xr:uid="{00000000-0005-0000-0000-0000F07D0000}"/>
    <cellStyle name="Normal 3 9 18 11" xfId="18067" xr:uid="{00000000-0005-0000-0000-0000F17D0000}"/>
    <cellStyle name="Normal 3 9 18 11 2" xfId="35468" xr:uid="{00000000-0005-0000-0000-0000F27D0000}"/>
    <cellStyle name="Normal 3 9 18 12" xfId="18068" xr:uid="{00000000-0005-0000-0000-0000F37D0000}"/>
    <cellStyle name="Normal 3 9 18 12 2" xfId="35469" xr:uid="{00000000-0005-0000-0000-0000F47D0000}"/>
    <cellStyle name="Normal 3 9 18 13" xfId="18069" xr:uid="{00000000-0005-0000-0000-0000F57D0000}"/>
    <cellStyle name="Normal 3 9 18 13 2" xfId="35470" xr:uid="{00000000-0005-0000-0000-0000F67D0000}"/>
    <cellStyle name="Normal 3 9 18 14" xfId="18070" xr:uid="{00000000-0005-0000-0000-0000F77D0000}"/>
    <cellStyle name="Normal 3 9 18 14 2" xfId="35471" xr:uid="{00000000-0005-0000-0000-0000F87D0000}"/>
    <cellStyle name="Normal 3 9 18 15" xfId="35466" xr:uid="{00000000-0005-0000-0000-0000F97D0000}"/>
    <cellStyle name="Normal 3 9 18 2" xfId="18071" xr:uid="{00000000-0005-0000-0000-0000FA7D0000}"/>
    <cellStyle name="Normal 3 9 18 2 2" xfId="35472" xr:uid="{00000000-0005-0000-0000-0000FB7D0000}"/>
    <cellStyle name="Normal 3 9 18 3" xfId="18072" xr:uid="{00000000-0005-0000-0000-0000FC7D0000}"/>
    <cellStyle name="Normal 3 9 18 3 2" xfId="35473" xr:uid="{00000000-0005-0000-0000-0000FD7D0000}"/>
    <cellStyle name="Normal 3 9 18 4" xfId="18073" xr:uid="{00000000-0005-0000-0000-0000FE7D0000}"/>
    <cellStyle name="Normal 3 9 18 4 2" xfId="35474" xr:uid="{00000000-0005-0000-0000-0000FF7D0000}"/>
    <cellStyle name="Normal 3 9 18 5" xfId="18074" xr:uid="{00000000-0005-0000-0000-0000007E0000}"/>
    <cellStyle name="Normal 3 9 18 5 2" xfId="35475" xr:uid="{00000000-0005-0000-0000-0000017E0000}"/>
    <cellStyle name="Normal 3 9 18 6" xfId="18075" xr:uid="{00000000-0005-0000-0000-0000027E0000}"/>
    <cellStyle name="Normal 3 9 18 6 2" xfId="35476" xr:uid="{00000000-0005-0000-0000-0000037E0000}"/>
    <cellStyle name="Normal 3 9 18 7" xfId="18076" xr:uid="{00000000-0005-0000-0000-0000047E0000}"/>
    <cellStyle name="Normal 3 9 18 7 2" xfId="35477" xr:uid="{00000000-0005-0000-0000-0000057E0000}"/>
    <cellStyle name="Normal 3 9 18 8" xfId="18077" xr:uid="{00000000-0005-0000-0000-0000067E0000}"/>
    <cellStyle name="Normal 3 9 18 8 2" xfId="35478" xr:uid="{00000000-0005-0000-0000-0000077E0000}"/>
    <cellStyle name="Normal 3 9 18 9" xfId="18078" xr:uid="{00000000-0005-0000-0000-0000087E0000}"/>
    <cellStyle name="Normal 3 9 18 9 2" xfId="35479" xr:uid="{00000000-0005-0000-0000-0000097E0000}"/>
    <cellStyle name="Normal 3 9 19" xfId="18079" xr:uid="{00000000-0005-0000-0000-00000A7E0000}"/>
    <cellStyle name="Normal 3 9 19 10" xfId="18080" xr:uid="{00000000-0005-0000-0000-00000B7E0000}"/>
    <cellStyle name="Normal 3 9 19 10 2" xfId="35481" xr:uid="{00000000-0005-0000-0000-00000C7E0000}"/>
    <cellStyle name="Normal 3 9 19 11" xfId="18081" xr:uid="{00000000-0005-0000-0000-00000D7E0000}"/>
    <cellStyle name="Normal 3 9 19 11 2" xfId="35482" xr:uid="{00000000-0005-0000-0000-00000E7E0000}"/>
    <cellStyle name="Normal 3 9 19 12" xfId="18082" xr:uid="{00000000-0005-0000-0000-00000F7E0000}"/>
    <cellStyle name="Normal 3 9 19 12 2" xfId="35483" xr:uid="{00000000-0005-0000-0000-0000107E0000}"/>
    <cellStyle name="Normal 3 9 19 13" xfId="18083" xr:uid="{00000000-0005-0000-0000-0000117E0000}"/>
    <cellStyle name="Normal 3 9 19 13 2" xfId="35484" xr:uid="{00000000-0005-0000-0000-0000127E0000}"/>
    <cellStyle name="Normal 3 9 19 14" xfId="18084" xr:uid="{00000000-0005-0000-0000-0000137E0000}"/>
    <cellStyle name="Normal 3 9 19 14 2" xfId="35485" xr:uid="{00000000-0005-0000-0000-0000147E0000}"/>
    <cellStyle name="Normal 3 9 19 15" xfId="35480" xr:uid="{00000000-0005-0000-0000-0000157E0000}"/>
    <cellStyle name="Normal 3 9 19 2" xfId="18085" xr:uid="{00000000-0005-0000-0000-0000167E0000}"/>
    <cellStyle name="Normal 3 9 19 2 2" xfId="35486" xr:uid="{00000000-0005-0000-0000-0000177E0000}"/>
    <cellStyle name="Normal 3 9 19 3" xfId="18086" xr:uid="{00000000-0005-0000-0000-0000187E0000}"/>
    <cellStyle name="Normal 3 9 19 3 2" xfId="35487" xr:uid="{00000000-0005-0000-0000-0000197E0000}"/>
    <cellStyle name="Normal 3 9 19 4" xfId="18087" xr:uid="{00000000-0005-0000-0000-00001A7E0000}"/>
    <cellStyle name="Normal 3 9 19 4 2" xfId="35488" xr:uid="{00000000-0005-0000-0000-00001B7E0000}"/>
    <cellStyle name="Normal 3 9 19 5" xfId="18088" xr:uid="{00000000-0005-0000-0000-00001C7E0000}"/>
    <cellStyle name="Normal 3 9 19 5 2" xfId="35489" xr:uid="{00000000-0005-0000-0000-00001D7E0000}"/>
    <cellStyle name="Normal 3 9 19 6" xfId="18089" xr:uid="{00000000-0005-0000-0000-00001E7E0000}"/>
    <cellStyle name="Normal 3 9 19 6 2" xfId="35490" xr:uid="{00000000-0005-0000-0000-00001F7E0000}"/>
    <cellStyle name="Normal 3 9 19 7" xfId="18090" xr:uid="{00000000-0005-0000-0000-0000207E0000}"/>
    <cellStyle name="Normal 3 9 19 7 2" xfId="35491" xr:uid="{00000000-0005-0000-0000-0000217E0000}"/>
    <cellStyle name="Normal 3 9 19 8" xfId="18091" xr:uid="{00000000-0005-0000-0000-0000227E0000}"/>
    <cellStyle name="Normal 3 9 19 8 2" xfId="35492" xr:uid="{00000000-0005-0000-0000-0000237E0000}"/>
    <cellStyle name="Normal 3 9 19 9" xfId="18092" xr:uid="{00000000-0005-0000-0000-0000247E0000}"/>
    <cellStyle name="Normal 3 9 19 9 2" xfId="35493" xr:uid="{00000000-0005-0000-0000-0000257E0000}"/>
    <cellStyle name="Normal 3 9 2" xfId="18093" xr:uid="{00000000-0005-0000-0000-0000267E0000}"/>
    <cellStyle name="Normal 3 9 20" xfId="18094" xr:uid="{00000000-0005-0000-0000-0000277E0000}"/>
    <cellStyle name="Normal 3 9 20 10" xfId="18095" xr:uid="{00000000-0005-0000-0000-0000287E0000}"/>
    <cellStyle name="Normal 3 9 20 10 2" xfId="35495" xr:uid="{00000000-0005-0000-0000-0000297E0000}"/>
    <cellStyle name="Normal 3 9 20 11" xfId="18096" xr:uid="{00000000-0005-0000-0000-00002A7E0000}"/>
    <cellStyle name="Normal 3 9 20 11 2" xfId="35496" xr:uid="{00000000-0005-0000-0000-00002B7E0000}"/>
    <cellStyle name="Normal 3 9 20 12" xfId="18097" xr:uid="{00000000-0005-0000-0000-00002C7E0000}"/>
    <cellStyle name="Normal 3 9 20 12 2" xfId="35497" xr:uid="{00000000-0005-0000-0000-00002D7E0000}"/>
    <cellStyle name="Normal 3 9 20 13" xfId="18098" xr:uid="{00000000-0005-0000-0000-00002E7E0000}"/>
    <cellStyle name="Normal 3 9 20 13 2" xfId="35498" xr:uid="{00000000-0005-0000-0000-00002F7E0000}"/>
    <cellStyle name="Normal 3 9 20 14" xfId="18099" xr:uid="{00000000-0005-0000-0000-0000307E0000}"/>
    <cellStyle name="Normal 3 9 20 14 2" xfId="35499" xr:uid="{00000000-0005-0000-0000-0000317E0000}"/>
    <cellStyle name="Normal 3 9 20 15" xfId="35494" xr:uid="{00000000-0005-0000-0000-0000327E0000}"/>
    <cellStyle name="Normal 3 9 20 2" xfId="18100" xr:uid="{00000000-0005-0000-0000-0000337E0000}"/>
    <cellStyle name="Normal 3 9 20 2 2" xfId="35500" xr:uid="{00000000-0005-0000-0000-0000347E0000}"/>
    <cellStyle name="Normal 3 9 20 3" xfId="18101" xr:uid="{00000000-0005-0000-0000-0000357E0000}"/>
    <cellStyle name="Normal 3 9 20 3 2" xfId="35501" xr:uid="{00000000-0005-0000-0000-0000367E0000}"/>
    <cellStyle name="Normal 3 9 20 4" xfId="18102" xr:uid="{00000000-0005-0000-0000-0000377E0000}"/>
    <cellStyle name="Normal 3 9 20 4 2" xfId="35502" xr:uid="{00000000-0005-0000-0000-0000387E0000}"/>
    <cellStyle name="Normal 3 9 20 5" xfId="18103" xr:uid="{00000000-0005-0000-0000-0000397E0000}"/>
    <cellStyle name="Normal 3 9 20 5 2" xfId="35503" xr:uid="{00000000-0005-0000-0000-00003A7E0000}"/>
    <cellStyle name="Normal 3 9 20 6" xfId="18104" xr:uid="{00000000-0005-0000-0000-00003B7E0000}"/>
    <cellStyle name="Normal 3 9 20 6 2" xfId="35504" xr:uid="{00000000-0005-0000-0000-00003C7E0000}"/>
    <cellStyle name="Normal 3 9 20 7" xfId="18105" xr:uid="{00000000-0005-0000-0000-00003D7E0000}"/>
    <cellStyle name="Normal 3 9 20 7 2" xfId="35505" xr:uid="{00000000-0005-0000-0000-00003E7E0000}"/>
    <cellStyle name="Normal 3 9 20 8" xfId="18106" xr:uid="{00000000-0005-0000-0000-00003F7E0000}"/>
    <cellStyle name="Normal 3 9 20 8 2" xfId="35506" xr:uid="{00000000-0005-0000-0000-0000407E0000}"/>
    <cellStyle name="Normal 3 9 20 9" xfId="18107" xr:uid="{00000000-0005-0000-0000-0000417E0000}"/>
    <cellStyle name="Normal 3 9 20 9 2" xfId="35507" xr:uid="{00000000-0005-0000-0000-0000427E0000}"/>
    <cellStyle name="Normal 3 9 21" xfId="18108" xr:uid="{00000000-0005-0000-0000-0000437E0000}"/>
    <cellStyle name="Normal 3 9 21 10" xfId="18109" xr:uid="{00000000-0005-0000-0000-0000447E0000}"/>
    <cellStyle name="Normal 3 9 21 10 2" xfId="35509" xr:uid="{00000000-0005-0000-0000-0000457E0000}"/>
    <cellStyle name="Normal 3 9 21 11" xfId="18110" xr:uid="{00000000-0005-0000-0000-0000467E0000}"/>
    <cellStyle name="Normal 3 9 21 11 2" xfId="35510" xr:uid="{00000000-0005-0000-0000-0000477E0000}"/>
    <cellStyle name="Normal 3 9 21 12" xfId="18111" xr:uid="{00000000-0005-0000-0000-0000487E0000}"/>
    <cellStyle name="Normal 3 9 21 12 2" xfId="35511" xr:uid="{00000000-0005-0000-0000-0000497E0000}"/>
    <cellStyle name="Normal 3 9 21 13" xfId="18112" xr:uid="{00000000-0005-0000-0000-00004A7E0000}"/>
    <cellStyle name="Normal 3 9 21 13 2" xfId="35512" xr:uid="{00000000-0005-0000-0000-00004B7E0000}"/>
    <cellStyle name="Normal 3 9 21 14" xfId="18113" xr:uid="{00000000-0005-0000-0000-00004C7E0000}"/>
    <cellStyle name="Normal 3 9 21 14 2" xfId="35513" xr:uid="{00000000-0005-0000-0000-00004D7E0000}"/>
    <cellStyle name="Normal 3 9 21 15" xfId="35508" xr:uid="{00000000-0005-0000-0000-00004E7E0000}"/>
    <cellStyle name="Normal 3 9 21 2" xfId="18114" xr:uid="{00000000-0005-0000-0000-00004F7E0000}"/>
    <cellStyle name="Normal 3 9 21 2 2" xfId="35514" xr:uid="{00000000-0005-0000-0000-0000507E0000}"/>
    <cellStyle name="Normal 3 9 21 3" xfId="18115" xr:uid="{00000000-0005-0000-0000-0000517E0000}"/>
    <cellStyle name="Normal 3 9 21 3 2" xfId="35515" xr:uid="{00000000-0005-0000-0000-0000527E0000}"/>
    <cellStyle name="Normal 3 9 21 4" xfId="18116" xr:uid="{00000000-0005-0000-0000-0000537E0000}"/>
    <cellStyle name="Normal 3 9 21 4 2" xfId="35516" xr:uid="{00000000-0005-0000-0000-0000547E0000}"/>
    <cellStyle name="Normal 3 9 21 5" xfId="18117" xr:uid="{00000000-0005-0000-0000-0000557E0000}"/>
    <cellStyle name="Normal 3 9 21 5 2" xfId="35517" xr:uid="{00000000-0005-0000-0000-0000567E0000}"/>
    <cellStyle name="Normal 3 9 21 6" xfId="18118" xr:uid="{00000000-0005-0000-0000-0000577E0000}"/>
    <cellStyle name="Normal 3 9 21 6 2" xfId="35518" xr:uid="{00000000-0005-0000-0000-0000587E0000}"/>
    <cellStyle name="Normal 3 9 21 7" xfId="18119" xr:uid="{00000000-0005-0000-0000-0000597E0000}"/>
    <cellStyle name="Normal 3 9 21 7 2" xfId="35519" xr:uid="{00000000-0005-0000-0000-00005A7E0000}"/>
    <cellStyle name="Normal 3 9 21 8" xfId="18120" xr:uid="{00000000-0005-0000-0000-00005B7E0000}"/>
    <cellStyle name="Normal 3 9 21 8 2" xfId="35520" xr:uid="{00000000-0005-0000-0000-00005C7E0000}"/>
    <cellStyle name="Normal 3 9 21 9" xfId="18121" xr:uid="{00000000-0005-0000-0000-00005D7E0000}"/>
    <cellStyle name="Normal 3 9 21 9 2" xfId="35521" xr:uid="{00000000-0005-0000-0000-00005E7E0000}"/>
    <cellStyle name="Normal 3 9 22" xfId="18122" xr:uid="{00000000-0005-0000-0000-00005F7E0000}"/>
    <cellStyle name="Normal 3 9 22 10" xfId="18123" xr:uid="{00000000-0005-0000-0000-0000607E0000}"/>
    <cellStyle name="Normal 3 9 22 10 2" xfId="35523" xr:uid="{00000000-0005-0000-0000-0000617E0000}"/>
    <cellStyle name="Normal 3 9 22 11" xfId="18124" xr:uid="{00000000-0005-0000-0000-0000627E0000}"/>
    <cellStyle name="Normal 3 9 22 11 2" xfId="35524" xr:uid="{00000000-0005-0000-0000-0000637E0000}"/>
    <cellStyle name="Normal 3 9 22 12" xfId="18125" xr:uid="{00000000-0005-0000-0000-0000647E0000}"/>
    <cellStyle name="Normal 3 9 22 12 2" xfId="35525" xr:uid="{00000000-0005-0000-0000-0000657E0000}"/>
    <cellStyle name="Normal 3 9 22 13" xfId="18126" xr:uid="{00000000-0005-0000-0000-0000667E0000}"/>
    <cellStyle name="Normal 3 9 22 13 2" xfId="35526" xr:uid="{00000000-0005-0000-0000-0000677E0000}"/>
    <cellStyle name="Normal 3 9 22 14" xfId="18127" xr:uid="{00000000-0005-0000-0000-0000687E0000}"/>
    <cellStyle name="Normal 3 9 22 14 2" xfId="35527" xr:uid="{00000000-0005-0000-0000-0000697E0000}"/>
    <cellStyle name="Normal 3 9 22 15" xfId="35522" xr:uid="{00000000-0005-0000-0000-00006A7E0000}"/>
    <cellStyle name="Normal 3 9 22 2" xfId="18128" xr:uid="{00000000-0005-0000-0000-00006B7E0000}"/>
    <cellStyle name="Normal 3 9 22 2 2" xfId="35528" xr:uid="{00000000-0005-0000-0000-00006C7E0000}"/>
    <cellStyle name="Normal 3 9 22 3" xfId="18129" xr:uid="{00000000-0005-0000-0000-00006D7E0000}"/>
    <cellStyle name="Normal 3 9 22 3 2" xfId="35529" xr:uid="{00000000-0005-0000-0000-00006E7E0000}"/>
    <cellStyle name="Normal 3 9 22 4" xfId="18130" xr:uid="{00000000-0005-0000-0000-00006F7E0000}"/>
    <cellStyle name="Normal 3 9 22 4 2" xfId="35530" xr:uid="{00000000-0005-0000-0000-0000707E0000}"/>
    <cellStyle name="Normal 3 9 22 5" xfId="18131" xr:uid="{00000000-0005-0000-0000-0000717E0000}"/>
    <cellStyle name="Normal 3 9 22 5 2" xfId="35531" xr:uid="{00000000-0005-0000-0000-0000727E0000}"/>
    <cellStyle name="Normal 3 9 22 6" xfId="18132" xr:uid="{00000000-0005-0000-0000-0000737E0000}"/>
    <cellStyle name="Normal 3 9 22 6 2" xfId="35532" xr:uid="{00000000-0005-0000-0000-0000747E0000}"/>
    <cellStyle name="Normal 3 9 22 7" xfId="18133" xr:uid="{00000000-0005-0000-0000-0000757E0000}"/>
    <cellStyle name="Normal 3 9 22 7 2" xfId="35533" xr:uid="{00000000-0005-0000-0000-0000767E0000}"/>
    <cellStyle name="Normal 3 9 22 8" xfId="18134" xr:uid="{00000000-0005-0000-0000-0000777E0000}"/>
    <cellStyle name="Normal 3 9 22 8 2" xfId="35534" xr:uid="{00000000-0005-0000-0000-0000787E0000}"/>
    <cellStyle name="Normal 3 9 22 9" xfId="18135" xr:uid="{00000000-0005-0000-0000-0000797E0000}"/>
    <cellStyle name="Normal 3 9 22 9 2" xfId="35535" xr:uid="{00000000-0005-0000-0000-00007A7E0000}"/>
    <cellStyle name="Normal 3 9 23" xfId="18136" xr:uid="{00000000-0005-0000-0000-00007B7E0000}"/>
    <cellStyle name="Normal 3 9 24" xfId="18137" xr:uid="{00000000-0005-0000-0000-00007C7E0000}"/>
    <cellStyle name="Normal 3 9 25" xfId="18138" xr:uid="{00000000-0005-0000-0000-00007D7E0000}"/>
    <cellStyle name="Normal 3 9 25 10" xfId="18139" xr:uid="{00000000-0005-0000-0000-00007E7E0000}"/>
    <cellStyle name="Normal 3 9 25 10 2" xfId="35537" xr:uid="{00000000-0005-0000-0000-00007F7E0000}"/>
    <cellStyle name="Normal 3 9 25 11" xfId="18140" xr:uid="{00000000-0005-0000-0000-0000807E0000}"/>
    <cellStyle name="Normal 3 9 25 11 2" xfId="35538" xr:uid="{00000000-0005-0000-0000-0000817E0000}"/>
    <cellStyle name="Normal 3 9 25 12" xfId="18141" xr:uid="{00000000-0005-0000-0000-0000827E0000}"/>
    <cellStyle name="Normal 3 9 25 12 2" xfId="35539" xr:uid="{00000000-0005-0000-0000-0000837E0000}"/>
    <cellStyle name="Normal 3 9 25 13" xfId="18142" xr:uid="{00000000-0005-0000-0000-0000847E0000}"/>
    <cellStyle name="Normal 3 9 25 13 2" xfId="35540" xr:uid="{00000000-0005-0000-0000-0000857E0000}"/>
    <cellStyle name="Normal 3 9 25 14" xfId="18143" xr:uid="{00000000-0005-0000-0000-0000867E0000}"/>
    <cellStyle name="Normal 3 9 25 14 2" xfId="35541" xr:uid="{00000000-0005-0000-0000-0000877E0000}"/>
    <cellStyle name="Normal 3 9 25 15" xfId="35536" xr:uid="{00000000-0005-0000-0000-0000887E0000}"/>
    <cellStyle name="Normal 3 9 25 2" xfId="18144" xr:uid="{00000000-0005-0000-0000-0000897E0000}"/>
    <cellStyle name="Normal 3 9 25 2 2" xfId="35542" xr:uid="{00000000-0005-0000-0000-00008A7E0000}"/>
    <cellStyle name="Normal 3 9 25 3" xfId="18145" xr:uid="{00000000-0005-0000-0000-00008B7E0000}"/>
    <cellStyle name="Normal 3 9 25 3 2" xfId="35543" xr:uid="{00000000-0005-0000-0000-00008C7E0000}"/>
    <cellStyle name="Normal 3 9 25 4" xfId="18146" xr:uid="{00000000-0005-0000-0000-00008D7E0000}"/>
    <cellStyle name="Normal 3 9 25 4 2" xfId="35544" xr:uid="{00000000-0005-0000-0000-00008E7E0000}"/>
    <cellStyle name="Normal 3 9 25 5" xfId="18147" xr:uid="{00000000-0005-0000-0000-00008F7E0000}"/>
    <cellStyle name="Normal 3 9 25 5 2" xfId="35545" xr:uid="{00000000-0005-0000-0000-0000907E0000}"/>
    <cellStyle name="Normal 3 9 25 6" xfId="18148" xr:uid="{00000000-0005-0000-0000-0000917E0000}"/>
    <cellStyle name="Normal 3 9 25 6 2" xfId="35546" xr:uid="{00000000-0005-0000-0000-0000927E0000}"/>
    <cellStyle name="Normal 3 9 25 7" xfId="18149" xr:uid="{00000000-0005-0000-0000-0000937E0000}"/>
    <cellStyle name="Normal 3 9 25 7 2" xfId="35547" xr:uid="{00000000-0005-0000-0000-0000947E0000}"/>
    <cellStyle name="Normal 3 9 25 8" xfId="18150" xr:uid="{00000000-0005-0000-0000-0000957E0000}"/>
    <cellStyle name="Normal 3 9 25 8 2" xfId="35548" xr:uid="{00000000-0005-0000-0000-0000967E0000}"/>
    <cellStyle name="Normal 3 9 25 9" xfId="18151" xr:uid="{00000000-0005-0000-0000-0000977E0000}"/>
    <cellStyle name="Normal 3 9 25 9 2" xfId="35549" xr:uid="{00000000-0005-0000-0000-0000987E0000}"/>
    <cellStyle name="Normal 3 9 26" xfId="18152" xr:uid="{00000000-0005-0000-0000-0000997E0000}"/>
    <cellStyle name="Normal 3 9 26 10" xfId="18153" xr:uid="{00000000-0005-0000-0000-00009A7E0000}"/>
    <cellStyle name="Normal 3 9 26 10 2" xfId="35551" xr:uid="{00000000-0005-0000-0000-00009B7E0000}"/>
    <cellStyle name="Normal 3 9 26 11" xfId="18154" xr:uid="{00000000-0005-0000-0000-00009C7E0000}"/>
    <cellStyle name="Normal 3 9 26 11 2" xfId="35552" xr:uid="{00000000-0005-0000-0000-00009D7E0000}"/>
    <cellStyle name="Normal 3 9 26 12" xfId="18155" xr:uid="{00000000-0005-0000-0000-00009E7E0000}"/>
    <cellStyle name="Normal 3 9 26 12 2" xfId="35553" xr:uid="{00000000-0005-0000-0000-00009F7E0000}"/>
    <cellStyle name="Normal 3 9 26 13" xfId="18156" xr:uid="{00000000-0005-0000-0000-0000A07E0000}"/>
    <cellStyle name="Normal 3 9 26 13 2" xfId="35554" xr:uid="{00000000-0005-0000-0000-0000A17E0000}"/>
    <cellStyle name="Normal 3 9 26 14" xfId="18157" xr:uid="{00000000-0005-0000-0000-0000A27E0000}"/>
    <cellStyle name="Normal 3 9 26 14 2" xfId="35555" xr:uid="{00000000-0005-0000-0000-0000A37E0000}"/>
    <cellStyle name="Normal 3 9 26 15" xfId="35550" xr:uid="{00000000-0005-0000-0000-0000A47E0000}"/>
    <cellStyle name="Normal 3 9 26 2" xfId="18158" xr:uid="{00000000-0005-0000-0000-0000A57E0000}"/>
    <cellStyle name="Normal 3 9 26 2 2" xfId="35556" xr:uid="{00000000-0005-0000-0000-0000A67E0000}"/>
    <cellStyle name="Normal 3 9 26 3" xfId="18159" xr:uid="{00000000-0005-0000-0000-0000A77E0000}"/>
    <cellStyle name="Normal 3 9 26 3 2" xfId="35557" xr:uid="{00000000-0005-0000-0000-0000A87E0000}"/>
    <cellStyle name="Normal 3 9 26 4" xfId="18160" xr:uid="{00000000-0005-0000-0000-0000A97E0000}"/>
    <cellStyle name="Normal 3 9 26 4 2" xfId="35558" xr:uid="{00000000-0005-0000-0000-0000AA7E0000}"/>
    <cellStyle name="Normal 3 9 26 5" xfId="18161" xr:uid="{00000000-0005-0000-0000-0000AB7E0000}"/>
    <cellStyle name="Normal 3 9 26 5 2" xfId="35559" xr:uid="{00000000-0005-0000-0000-0000AC7E0000}"/>
    <cellStyle name="Normal 3 9 26 6" xfId="18162" xr:uid="{00000000-0005-0000-0000-0000AD7E0000}"/>
    <cellStyle name="Normal 3 9 26 6 2" xfId="35560" xr:uid="{00000000-0005-0000-0000-0000AE7E0000}"/>
    <cellStyle name="Normal 3 9 26 7" xfId="18163" xr:uid="{00000000-0005-0000-0000-0000AF7E0000}"/>
    <cellStyle name="Normal 3 9 26 7 2" xfId="35561" xr:uid="{00000000-0005-0000-0000-0000B07E0000}"/>
    <cellStyle name="Normal 3 9 26 8" xfId="18164" xr:uid="{00000000-0005-0000-0000-0000B17E0000}"/>
    <cellStyle name="Normal 3 9 26 8 2" xfId="35562" xr:uid="{00000000-0005-0000-0000-0000B27E0000}"/>
    <cellStyle name="Normal 3 9 26 9" xfId="18165" xr:uid="{00000000-0005-0000-0000-0000B37E0000}"/>
    <cellStyle name="Normal 3 9 26 9 2" xfId="35563" xr:uid="{00000000-0005-0000-0000-0000B47E0000}"/>
    <cellStyle name="Normal 3 9 3" xfId="18166" xr:uid="{00000000-0005-0000-0000-0000B57E0000}"/>
    <cellStyle name="Normal 3 9 4" xfId="18167" xr:uid="{00000000-0005-0000-0000-0000B67E0000}"/>
    <cellStyle name="Normal 3 9 5" xfId="18168" xr:uid="{00000000-0005-0000-0000-0000B77E0000}"/>
    <cellStyle name="Normal 3 9 6" xfId="18169" xr:uid="{00000000-0005-0000-0000-0000B87E0000}"/>
    <cellStyle name="Normal 3 9 7" xfId="18170" xr:uid="{00000000-0005-0000-0000-0000B97E0000}"/>
    <cellStyle name="Normal 3 9 8" xfId="18171" xr:uid="{00000000-0005-0000-0000-0000BA7E0000}"/>
    <cellStyle name="Normal 3 9 9" xfId="18172" xr:uid="{00000000-0005-0000-0000-0000BB7E0000}"/>
    <cellStyle name="Normal 3_01_ResLighting" xfId="499" xr:uid="{00000000-0005-0000-0000-0000BC7E0000}"/>
    <cellStyle name="Normal 30" xfId="438" xr:uid="{00000000-0005-0000-0000-0000BD7E0000}"/>
    <cellStyle name="Normal 30 2" xfId="18174" xr:uid="{00000000-0005-0000-0000-0000BE7E0000}"/>
    <cellStyle name="Normal 30 2 10" xfId="18175" xr:uid="{00000000-0005-0000-0000-0000BF7E0000}"/>
    <cellStyle name="Normal 30 2 10 10" xfId="18176" xr:uid="{00000000-0005-0000-0000-0000C07E0000}"/>
    <cellStyle name="Normal 30 2 10 10 2" xfId="35566" xr:uid="{00000000-0005-0000-0000-0000C17E0000}"/>
    <cellStyle name="Normal 30 2 10 11" xfId="18177" xr:uid="{00000000-0005-0000-0000-0000C27E0000}"/>
    <cellStyle name="Normal 30 2 10 11 2" xfId="35567" xr:uid="{00000000-0005-0000-0000-0000C37E0000}"/>
    <cellStyle name="Normal 30 2 10 12" xfId="18178" xr:uid="{00000000-0005-0000-0000-0000C47E0000}"/>
    <cellStyle name="Normal 30 2 10 12 2" xfId="35568" xr:uid="{00000000-0005-0000-0000-0000C57E0000}"/>
    <cellStyle name="Normal 30 2 10 13" xfId="18179" xr:uid="{00000000-0005-0000-0000-0000C67E0000}"/>
    <cellStyle name="Normal 30 2 10 13 2" xfId="35569" xr:uid="{00000000-0005-0000-0000-0000C77E0000}"/>
    <cellStyle name="Normal 30 2 10 14" xfId="18180" xr:uid="{00000000-0005-0000-0000-0000C87E0000}"/>
    <cellStyle name="Normal 30 2 10 14 2" xfId="35570" xr:uid="{00000000-0005-0000-0000-0000C97E0000}"/>
    <cellStyle name="Normal 30 2 10 15" xfId="35565" xr:uid="{00000000-0005-0000-0000-0000CA7E0000}"/>
    <cellStyle name="Normal 30 2 10 2" xfId="18181" xr:uid="{00000000-0005-0000-0000-0000CB7E0000}"/>
    <cellStyle name="Normal 30 2 10 2 2" xfId="35571" xr:uid="{00000000-0005-0000-0000-0000CC7E0000}"/>
    <cellStyle name="Normal 30 2 10 3" xfId="18182" xr:uid="{00000000-0005-0000-0000-0000CD7E0000}"/>
    <cellStyle name="Normal 30 2 10 3 2" xfId="35572" xr:uid="{00000000-0005-0000-0000-0000CE7E0000}"/>
    <cellStyle name="Normal 30 2 10 4" xfId="18183" xr:uid="{00000000-0005-0000-0000-0000CF7E0000}"/>
    <cellStyle name="Normal 30 2 10 4 2" xfId="35573" xr:uid="{00000000-0005-0000-0000-0000D07E0000}"/>
    <cellStyle name="Normal 30 2 10 5" xfId="18184" xr:uid="{00000000-0005-0000-0000-0000D17E0000}"/>
    <cellStyle name="Normal 30 2 10 5 2" xfId="35574" xr:uid="{00000000-0005-0000-0000-0000D27E0000}"/>
    <cellStyle name="Normal 30 2 10 6" xfId="18185" xr:uid="{00000000-0005-0000-0000-0000D37E0000}"/>
    <cellStyle name="Normal 30 2 10 6 2" xfId="35575" xr:uid="{00000000-0005-0000-0000-0000D47E0000}"/>
    <cellStyle name="Normal 30 2 10 7" xfId="18186" xr:uid="{00000000-0005-0000-0000-0000D57E0000}"/>
    <cellStyle name="Normal 30 2 10 7 2" xfId="35576" xr:uid="{00000000-0005-0000-0000-0000D67E0000}"/>
    <cellStyle name="Normal 30 2 10 8" xfId="18187" xr:uid="{00000000-0005-0000-0000-0000D77E0000}"/>
    <cellStyle name="Normal 30 2 10 8 2" xfId="35577" xr:uid="{00000000-0005-0000-0000-0000D87E0000}"/>
    <cellStyle name="Normal 30 2 10 9" xfId="18188" xr:uid="{00000000-0005-0000-0000-0000D97E0000}"/>
    <cellStyle name="Normal 30 2 10 9 2" xfId="35578" xr:uid="{00000000-0005-0000-0000-0000DA7E0000}"/>
    <cellStyle name="Normal 30 2 11" xfId="18189" xr:uid="{00000000-0005-0000-0000-0000DB7E0000}"/>
    <cellStyle name="Normal 30 2 11 10" xfId="18190" xr:uid="{00000000-0005-0000-0000-0000DC7E0000}"/>
    <cellStyle name="Normal 30 2 11 10 2" xfId="35580" xr:uid="{00000000-0005-0000-0000-0000DD7E0000}"/>
    <cellStyle name="Normal 30 2 11 11" xfId="18191" xr:uid="{00000000-0005-0000-0000-0000DE7E0000}"/>
    <cellStyle name="Normal 30 2 11 11 2" xfId="35581" xr:uid="{00000000-0005-0000-0000-0000DF7E0000}"/>
    <cellStyle name="Normal 30 2 11 12" xfId="18192" xr:uid="{00000000-0005-0000-0000-0000E07E0000}"/>
    <cellStyle name="Normal 30 2 11 12 2" xfId="35582" xr:uid="{00000000-0005-0000-0000-0000E17E0000}"/>
    <cellStyle name="Normal 30 2 11 13" xfId="18193" xr:uid="{00000000-0005-0000-0000-0000E27E0000}"/>
    <cellStyle name="Normal 30 2 11 13 2" xfId="35583" xr:uid="{00000000-0005-0000-0000-0000E37E0000}"/>
    <cellStyle name="Normal 30 2 11 14" xfId="18194" xr:uid="{00000000-0005-0000-0000-0000E47E0000}"/>
    <cellStyle name="Normal 30 2 11 14 2" xfId="35584" xr:uid="{00000000-0005-0000-0000-0000E57E0000}"/>
    <cellStyle name="Normal 30 2 11 15" xfId="35579" xr:uid="{00000000-0005-0000-0000-0000E67E0000}"/>
    <cellStyle name="Normal 30 2 11 2" xfId="18195" xr:uid="{00000000-0005-0000-0000-0000E77E0000}"/>
    <cellStyle name="Normal 30 2 11 2 2" xfId="35585" xr:uid="{00000000-0005-0000-0000-0000E87E0000}"/>
    <cellStyle name="Normal 30 2 11 3" xfId="18196" xr:uid="{00000000-0005-0000-0000-0000E97E0000}"/>
    <cellStyle name="Normal 30 2 11 3 2" xfId="35586" xr:uid="{00000000-0005-0000-0000-0000EA7E0000}"/>
    <cellStyle name="Normal 30 2 11 4" xfId="18197" xr:uid="{00000000-0005-0000-0000-0000EB7E0000}"/>
    <cellStyle name="Normal 30 2 11 4 2" xfId="35587" xr:uid="{00000000-0005-0000-0000-0000EC7E0000}"/>
    <cellStyle name="Normal 30 2 11 5" xfId="18198" xr:uid="{00000000-0005-0000-0000-0000ED7E0000}"/>
    <cellStyle name="Normal 30 2 11 5 2" xfId="35588" xr:uid="{00000000-0005-0000-0000-0000EE7E0000}"/>
    <cellStyle name="Normal 30 2 11 6" xfId="18199" xr:uid="{00000000-0005-0000-0000-0000EF7E0000}"/>
    <cellStyle name="Normal 30 2 11 6 2" xfId="35589" xr:uid="{00000000-0005-0000-0000-0000F07E0000}"/>
    <cellStyle name="Normal 30 2 11 7" xfId="18200" xr:uid="{00000000-0005-0000-0000-0000F17E0000}"/>
    <cellStyle name="Normal 30 2 11 7 2" xfId="35590" xr:uid="{00000000-0005-0000-0000-0000F27E0000}"/>
    <cellStyle name="Normal 30 2 11 8" xfId="18201" xr:uid="{00000000-0005-0000-0000-0000F37E0000}"/>
    <cellStyle name="Normal 30 2 11 8 2" xfId="35591" xr:uid="{00000000-0005-0000-0000-0000F47E0000}"/>
    <cellStyle name="Normal 30 2 11 9" xfId="18202" xr:uid="{00000000-0005-0000-0000-0000F57E0000}"/>
    <cellStyle name="Normal 30 2 11 9 2" xfId="35592" xr:uid="{00000000-0005-0000-0000-0000F67E0000}"/>
    <cellStyle name="Normal 30 2 12" xfId="18203" xr:uid="{00000000-0005-0000-0000-0000F77E0000}"/>
    <cellStyle name="Normal 30 2 12 10" xfId="18204" xr:uid="{00000000-0005-0000-0000-0000F87E0000}"/>
    <cellStyle name="Normal 30 2 12 10 2" xfId="35594" xr:uid="{00000000-0005-0000-0000-0000F97E0000}"/>
    <cellStyle name="Normal 30 2 12 11" xfId="18205" xr:uid="{00000000-0005-0000-0000-0000FA7E0000}"/>
    <cellStyle name="Normal 30 2 12 11 2" xfId="35595" xr:uid="{00000000-0005-0000-0000-0000FB7E0000}"/>
    <cellStyle name="Normal 30 2 12 12" xfId="18206" xr:uid="{00000000-0005-0000-0000-0000FC7E0000}"/>
    <cellStyle name="Normal 30 2 12 12 2" xfId="35596" xr:uid="{00000000-0005-0000-0000-0000FD7E0000}"/>
    <cellStyle name="Normal 30 2 12 13" xfId="18207" xr:uid="{00000000-0005-0000-0000-0000FE7E0000}"/>
    <cellStyle name="Normal 30 2 12 13 2" xfId="35597" xr:uid="{00000000-0005-0000-0000-0000FF7E0000}"/>
    <cellStyle name="Normal 30 2 12 14" xfId="18208" xr:uid="{00000000-0005-0000-0000-0000007F0000}"/>
    <cellStyle name="Normal 30 2 12 14 2" xfId="35598" xr:uid="{00000000-0005-0000-0000-0000017F0000}"/>
    <cellStyle name="Normal 30 2 12 15" xfId="35593" xr:uid="{00000000-0005-0000-0000-0000027F0000}"/>
    <cellStyle name="Normal 30 2 12 2" xfId="18209" xr:uid="{00000000-0005-0000-0000-0000037F0000}"/>
    <cellStyle name="Normal 30 2 12 2 2" xfId="35599" xr:uid="{00000000-0005-0000-0000-0000047F0000}"/>
    <cellStyle name="Normal 30 2 12 3" xfId="18210" xr:uid="{00000000-0005-0000-0000-0000057F0000}"/>
    <cellStyle name="Normal 30 2 12 3 2" xfId="35600" xr:uid="{00000000-0005-0000-0000-0000067F0000}"/>
    <cellStyle name="Normal 30 2 12 4" xfId="18211" xr:uid="{00000000-0005-0000-0000-0000077F0000}"/>
    <cellStyle name="Normal 30 2 12 4 2" xfId="35601" xr:uid="{00000000-0005-0000-0000-0000087F0000}"/>
    <cellStyle name="Normal 30 2 12 5" xfId="18212" xr:uid="{00000000-0005-0000-0000-0000097F0000}"/>
    <cellStyle name="Normal 30 2 12 5 2" xfId="35602" xr:uid="{00000000-0005-0000-0000-00000A7F0000}"/>
    <cellStyle name="Normal 30 2 12 6" xfId="18213" xr:uid="{00000000-0005-0000-0000-00000B7F0000}"/>
    <cellStyle name="Normal 30 2 12 6 2" xfId="35603" xr:uid="{00000000-0005-0000-0000-00000C7F0000}"/>
    <cellStyle name="Normal 30 2 12 7" xfId="18214" xr:uid="{00000000-0005-0000-0000-00000D7F0000}"/>
    <cellStyle name="Normal 30 2 12 7 2" xfId="35604" xr:uid="{00000000-0005-0000-0000-00000E7F0000}"/>
    <cellStyle name="Normal 30 2 12 8" xfId="18215" xr:uid="{00000000-0005-0000-0000-00000F7F0000}"/>
    <cellStyle name="Normal 30 2 12 8 2" xfId="35605" xr:uid="{00000000-0005-0000-0000-0000107F0000}"/>
    <cellStyle name="Normal 30 2 12 9" xfId="18216" xr:uid="{00000000-0005-0000-0000-0000117F0000}"/>
    <cellStyle name="Normal 30 2 12 9 2" xfId="35606" xr:uid="{00000000-0005-0000-0000-0000127F0000}"/>
    <cellStyle name="Normal 30 2 13" xfId="18217" xr:uid="{00000000-0005-0000-0000-0000137F0000}"/>
    <cellStyle name="Normal 30 2 13 10" xfId="18218" xr:uid="{00000000-0005-0000-0000-0000147F0000}"/>
    <cellStyle name="Normal 30 2 13 10 2" xfId="35608" xr:uid="{00000000-0005-0000-0000-0000157F0000}"/>
    <cellStyle name="Normal 30 2 13 11" xfId="18219" xr:uid="{00000000-0005-0000-0000-0000167F0000}"/>
    <cellStyle name="Normal 30 2 13 11 2" xfId="35609" xr:uid="{00000000-0005-0000-0000-0000177F0000}"/>
    <cellStyle name="Normal 30 2 13 12" xfId="18220" xr:uid="{00000000-0005-0000-0000-0000187F0000}"/>
    <cellStyle name="Normal 30 2 13 12 2" xfId="35610" xr:uid="{00000000-0005-0000-0000-0000197F0000}"/>
    <cellStyle name="Normal 30 2 13 13" xfId="18221" xr:uid="{00000000-0005-0000-0000-00001A7F0000}"/>
    <cellStyle name="Normal 30 2 13 13 2" xfId="35611" xr:uid="{00000000-0005-0000-0000-00001B7F0000}"/>
    <cellStyle name="Normal 30 2 13 14" xfId="18222" xr:uid="{00000000-0005-0000-0000-00001C7F0000}"/>
    <cellStyle name="Normal 30 2 13 14 2" xfId="35612" xr:uid="{00000000-0005-0000-0000-00001D7F0000}"/>
    <cellStyle name="Normal 30 2 13 15" xfId="35607" xr:uid="{00000000-0005-0000-0000-00001E7F0000}"/>
    <cellStyle name="Normal 30 2 13 2" xfId="18223" xr:uid="{00000000-0005-0000-0000-00001F7F0000}"/>
    <cellStyle name="Normal 30 2 13 2 2" xfId="35613" xr:uid="{00000000-0005-0000-0000-0000207F0000}"/>
    <cellStyle name="Normal 30 2 13 3" xfId="18224" xr:uid="{00000000-0005-0000-0000-0000217F0000}"/>
    <cellStyle name="Normal 30 2 13 3 2" xfId="35614" xr:uid="{00000000-0005-0000-0000-0000227F0000}"/>
    <cellStyle name="Normal 30 2 13 4" xfId="18225" xr:uid="{00000000-0005-0000-0000-0000237F0000}"/>
    <cellStyle name="Normal 30 2 13 4 2" xfId="35615" xr:uid="{00000000-0005-0000-0000-0000247F0000}"/>
    <cellStyle name="Normal 30 2 13 5" xfId="18226" xr:uid="{00000000-0005-0000-0000-0000257F0000}"/>
    <cellStyle name="Normal 30 2 13 5 2" xfId="35616" xr:uid="{00000000-0005-0000-0000-0000267F0000}"/>
    <cellStyle name="Normal 30 2 13 6" xfId="18227" xr:uid="{00000000-0005-0000-0000-0000277F0000}"/>
    <cellStyle name="Normal 30 2 13 6 2" xfId="35617" xr:uid="{00000000-0005-0000-0000-0000287F0000}"/>
    <cellStyle name="Normal 30 2 13 7" xfId="18228" xr:uid="{00000000-0005-0000-0000-0000297F0000}"/>
    <cellStyle name="Normal 30 2 13 7 2" xfId="35618" xr:uid="{00000000-0005-0000-0000-00002A7F0000}"/>
    <cellStyle name="Normal 30 2 13 8" xfId="18229" xr:uid="{00000000-0005-0000-0000-00002B7F0000}"/>
    <cellStyle name="Normal 30 2 13 8 2" xfId="35619" xr:uid="{00000000-0005-0000-0000-00002C7F0000}"/>
    <cellStyle name="Normal 30 2 13 9" xfId="18230" xr:uid="{00000000-0005-0000-0000-00002D7F0000}"/>
    <cellStyle name="Normal 30 2 13 9 2" xfId="35620" xr:uid="{00000000-0005-0000-0000-00002E7F0000}"/>
    <cellStyle name="Normal 30 2 14" xfId="18231" xr:uid="{00000000-0005-0000-0000-00002F7F0000}"/>
    <cellStyle name="Normal 30 2 14 10" xfId="18232" xr:uid="{00000000-0005-0000-0000-0000307F0000}"/>
    <cellStyle name="Normal 30 2 14 10 2" xfId="35622" xr:uid="{00000000-0005-0000-0000-0000317F0000}"/>
    <cellStyle name="Normal 30 2 14 11" xfId="18233" xr:uid="{00000000-0005-0000-0000-0000327F0000}"/>
    <cellStyle name="Normal 30 2 14 11 2" xfId="35623" xr:uid="{00000000-0005-0000-0000-0000337F0000}"/>
    <cellStyle name="Normal 30 2 14 12" xfId="18234" xr:uid="{00000000-0005-0000-0000-0000347F0000}"/>
    <cellStyle name="Normal 30 2 14 12 2" xfId="35624" xr:uid="{00000000-0005-0000-0000-0000357F0000}"/>
    <cellStyle name="Normal 30 2 14 13" xfId="18235" xr:uid="{00000000-0005-0000-0000-0000367F0000}"/>
    <cellStyle name="Normal 30 2 14 13 2" xfId="35625" xr:uid="{00000000-0005-0000-0000-0000377F0000}"/>
    <cellStyle name="Normal 30 2 14 14" xfId="18236" xr:uid="{00000000-0005-0000-0000-0000387F0000}"/>
    <cellStyle name="Normal 30 2 14 14 2" xfId="35626" xr:uid="{00000000-0005-0000-0000-0000397F0000}"/>
    <cellStyle name="Normal 30 2 14 15" xfId="35621" xr:uid="{00000000-0005-0000-0000-00003A7F0000}"/>
    <cellStyle name="Normal 30 2 14 2" xfId="18237" xr:uid="{00000000-0005-0000-0000-00003B7F0000}"/>
    <cellStyle name="Normal 30 2 14 2 2" xfId="35627" xr:uid="{00000000-0005-0000-0000-00003C7F0000}"/>
    <cellStyle name="Normal 30 2 14 3" xfId="18238" xr:uid="{00000000-0005-0000-0000-00003D7F0000}"/>
    <cellStyle name="Normal 30 2 14 3 2" xfId="35628" xr:uid="{00000000-0005-0000-0000-00003E7F0000}"/>
    <cellStyle name="Normal 30 2 14 4" xfId="18239" xr:uid="{00000000-0005-0000-0000-00003F7F0000}"/>
    <cellStyle name="Normal 30 2 14 4 2" xfId="35629" xr:uid="{00000000-0005-0000-0000-0000407F0000}"/>
    <cellStyle name="Normal 30 2 14 5" xfId="18240" xr:uid="{00000000-0005-0000-0000-0000417F0000}"/>
    <cellStyle name="Normal 30 2 14 5 2" xfId="35630" xr:uid="{00000000-0005-0000-0000-0000427F0000}"/>
    <cellStyle name="Normal 30 2 14 6" xfId="18241" xr:uid="{00000000-0005-0000-0000-0000437F0000}"/>
    <cellStyle name="Normal 30 2 14 6 2" xfId="35631" xr:uid="{00000000-0005-0000-0000-0000447F0000}"/>
    <cellStyle name="Normal 30 2 14 7" xfId="18242" xr:uid="{00000000-0005-0000-0000-0000457F0000}"/>
    <cellStyle name="Normal 30 2 14 7 2" xfId="35632" xr:uid="{00000000-0005-0000-0000-0000467F0000}"/>
    <cellStyle name="Normal 30 2 14 8" xfId="18243" xr:uid="{00000000-0005-0000-0000-0000477F0000}"/>
    <cellStyle name="Normal 30 2 14 8 2" xfId="35633" xr:uid="{00000000-0005-0000-0000-0000487F0000}"/>
    <cellStyle name="Normal 30 2 14 9" xfId="18244" xr:uid="{00000000-0005-0000-0000-0000497F0000}"/>
    <cellStyle name="Normal 30 2 14 9 2" xfId="35634" xr:uid="{00000000-0005-0000-0000-00004A7F0000}"/>
    <cellStyle name="Normal 30 2 15" xfId="18245" xr:uid="{00000000-0005-0000-0000-00004B7F0000}"/>
    <cellStyle name="Normal 30 2 15 10" xfId="18246" xr:uid="{00000000-0005-0000-0000-00004C7F0000}"/>
    <cellStyle name="Normal 30 2 15 10 2" xfId="35636" xr:uid="{00000000-0005-0000-0000-00004D7F0000}"/>
    <cellStyle name="Normal 30 2 15 11" xfId="18247" xr:uid="{00000000-0005-0000-0000-00004E7F0000}"/>
    <cellStyle name="Normal 30 2 15 11 2" xfId="35637" xr:uid="{00000000-0005-0000-0000-00004F7F0000}"/>
    <cellStyle name="Normal 30 2 15 12" xfId="18248" xr:uid="{00000000-0005-0000-0000-0000507F0000}"/>
    <cellStyle name="Normal 30 2 15 12 2" xfId="35638" xr:uid="{00000000-0005-0000-0000-0000517F0000}"/>
    <cellStyle name="Normal 30 2 15 13" xfId="18249" xr:uid="{00000000-0005-0000-0000-0000527F0000}"/>
    <cellStyle name="Normal 30 2 15 13 2" xfId="35639" xr:uid="{00000000-0005-0000-0000-0000537F0000}"/>
    <cellStyle name="Normal 30 2 15 14" xfId="18250" xr:uid="{00000000-0005-0000-0000-0000547F0000}"/>
    <cellStyle name="Normal 30 2 15 14 2" xfId="35640" xr:uid="{00000000-0005-0000-0000-0000557F0000}"/>
    <cellStyle name="Normal 30 2 15 15" xfId="35635" xr:uid="{00000000-0005-0000-0000-0000567F0000}"/>
    <cellStyle name="Normal 30 2 15 2" xfId="18251" xr:uid="{00000000-0005-0000-0000-0000577F0000}"/>
    <cellStyle name="Normal 30 2 15 2 2" xfId="35641" xr:uid="{00000000-0005-0000-0000-0000587F0000}"/>
    <cellStyle name="Normal 30 2 15 3" xfId="18252" xr:uid="{00000000-0005-0000-0000-0000597F0000}"/>
    <cellStyle name="Normal 30 2 15 3 2" xfId="35642" xr:uid="{00000000-0005-0000-0000-00005A7F0000}"/>
    <cellStyle name="Normal 30 2 15 4" xfId="18253" xr:uid="{00000000-0005-0000-0000-00005B7F0000}"/>
    <cellStyle name="Normal 30 2 15 4 2" xfId="35643" xr:uid="{00000000-0005-0000-0000-00005C7F0000}"/>
    <cellStyle name="Normal 30 2 15 5" xfId="18254" xr:uid="{00000000-0005-0000-0000-00005D7F0000}"/>
    <cellStyle name="Normal 30 2 15 5 2" xfId="35644" xr:uid="{00000000-0005-0000-0000-00005E7F0000}"/>
    <cellStyle name="Normal 30 2 15 6" xfId="18255" xr:uid="{00000000-0005-0000-0000-00005F7F0000}"/>
    <cellStyle name="Normal 30 2 15 6 2" xfId="35645" xr:uid="{00000000-0005-0000-0000-0000607F0000}"/>
    <cellStyle name="Normal 30 2 15 7" xfId="18256" xr:uid="{00000000-0005-0000-0000-0000617F0000}"/>
    <cellStyle name="Normal 30 2 15 7 2" xfId="35646" xr:uid="{00000000-0005-0000-0000-0000627F0000}"/>
    <cellStyle name="Normal 30 2 15 8" xfId="18257" xr:uid="{00000000-0005-0000-0000-0000637F0000}"/>
    <cellStyle name="Normal 30 2 15 8 2" xfId="35647" xr:uid="{00000000-0005-0000-0000-0000647F0000}"/>
    <cellStyle name="Normal 30 2 15 9" xfId="18258" xr:uid="{00000000-0005-0000-0000-0000657F0000}"/>
    <cellStyle name="Normal 30 2 15 9 2" xfId="35648" xr:uid="{00000000-0005-0000-0000-0000667F0000}"/>
    <cellStyle name="Normal 30 2 16" xfId="18259" xr:uid="{00000000-0005-0000-0000-0000677F0000}"/>
    <cellStyle name="Normal 30 2 16 2" xfId="35649" xr:uid="{00000000-0005-0000-0000-0000687F0000}"/>
    <cellStyle name="Normal 30 2 17" xfId="18260" xr:uid="{00000000-0005-0000-0000-0000697F0000}"/>
    <cellStyle name="Normal 30 2 17 2" xfId="35650" xr:uid="{00000000-0005-0000-0000-00006A7F0000}"/>
    <cellStyle name="Normal 30 2 18" xfId="18261" xr:uid="{00000000-0005-0000-0000-00006B7F0000}"/>
    <cellStyle name="Normal 30 2 18 2" xfId="35651" xr:uid="{00000000-0005-0000-0000-00006C7F0000}"/>
    <cellStyle name="Normal 30 2 19" xfId="18262" xr:uid="{00000000-0005-0000-0000-00006D7F0000}"/>
    <cellStyle name="Normal 30 2 19 2" xfId="35652" xr:uid="{00000000-0005-0000-0000-00006E7F0000}"/>
    <cellStyle name="Normal 30 2 2" xfId="18263" xr:uid="{00000000-0005-0000-0000-00006F7F0000}"/>
    <cellStyle name="Normal 30 2 2 10" xfId="18264" xr:uid="{00000000-0005-0000-0000-0000707F0000}"/>
    <cellStyle name="Normal 30 2 2 10 2" xfId="35654" xr:uid="{00000000-0005-0000-0000-0000717F0000}"/>
    <cellStyle name="Normal 30 2 2 11" xfId="18265" xr:uid="{00000000-0005-0000-0000-0000727F0000}"/>
    <cellStyle name="Normal 30 2 2 11 2" xfId="35655" xr:uid="{00000000-0005-0000-0000-0000737F0000}"/>
    <cellStyle name="Normal 30 2 2 12" xfId="18266" xr:uid="{00000000-0005-0000-0000-0000747F0000}"/>
    <cellStyle name="Normal 30 2 2 12 2" xfId="35656" xr:uid="{00000000-0005-0000-0000-0000757F0000}"/>
    <cellStyle name="Normal 30 2 2 13" xfId="18267" xr:uid="{00000000-0005-0000-0000-0000767F0000}"/>
    <cellStyle name="Normal 30 2 2 13 2" xfId="35657" xr:uid="{00000000-0005-0000-0000-0000777F0000}"/>
    <cellStyle name="Normal 30 2 2 14" xfId="18268" xr:uid="{00000000-0005-0000-0000-0000787F0000}"/>
    <cellStyle name="Normal 30 2 2 14 2" xfId="35658" xr:uid="{00000000-0005-0000-0000-0000797F0000}"/>
    <cellStyle name="Normal 30 2 2 15" xfId="18269" xr:uid="{00000000-0005-0000-0000-00007A7F0000}"/>
    <cellStyle name="Normal 30 2 2 15 2" xfId="35659" xr:uid="{00000000-0005-0000-0000-00007B7F0000}"/>
    <cellStyle name="Normal 30 2 2 16" xfId="35653" xr:uid="{00000000-0005-0000-0000-00007C7F0000}"/>
    <cellStyle name="Normal 30 2 2 2" xfId="18270" xr:uid="{00000000-0005-0000-0000-00007D7F0000}"/>
    <cellStyle name="Normal 30 2 2 2 10" xfId="18271" xr:uid="{00000000-0005-0000-0000-00007E7F0000}"/>
    <cellStyle name="Normal 30 2 2 2 10 2" xfId="35661" xr:uid="{00000000-0005-0000-0000-00007F7F0000}"/>
    <cellStyle name="Normal 30 2 2 2 11" xfId="18272" xr:uid="{00000000-0005-0000-0000-0000807F0000}"/>
    <cellStyle name="Normal 30 2 2 2 11 2" xfId="35662" xr:uid="{00000000-0005-0000-0000-0000817F0000}"/>
    <cellStyle name="Normal 30 2 2 2 12" xfId="18273" xr:uid="{00000000-0005-0000-0000-0000827F0000}"/>
    <cellStyle name="Normal 30 2 2 2 12 2" xfId="35663" xr:uid="{00000000-0005-0000-0000-0000837F0000}"/>
    <cellStyle name="Normal 30 2 2 2 13" xfId="18274" xr:uid="{00000000-0005-0000-0000-0000847F0000}"/>
    <cellStyle name="Normal 30 2 2 2 13 2" xfId="35664" xr:uid="{00000000-0005-0000-0000-0000857F0000}"/>
    <cellStyle name="Normal 30 2 2 2 14" xfId="18275" xr:uid="{00000000-0005-0000-0000-0000867F0000}"/>
    <cellStyle name="Normal 30 2 2 2 14 2" xfId="35665" xr:uid="{00000000-0005-0000-0000-0000877F0000}"/>
    <cellStyle name="Normal 30 2 2 2 15" xfId="35660" xr:uid="{00000000-0005-0000-0000-0000887F0000}"/>
    <cellStyle name="Normal 30 2 2 2 2" xfId="18276" xr:uid="{00000000-0005-0000-0000-0000897F0000}"/>
    <cellStyle name="Normal 30 2 2 2 2 2" xfId="35666" xr:uid="{00000000-0005-0000-0000-00008A7F0000}"/>
    <cellStyle name="Normal 30 2 2 2 3" xfId="18277" xr:uid="{00000000-0005-0000-0000-00008B7F0000}"/>
    <cellStyle name="Normal 30 2 2 2 3 2" xfId="35667" xr:uid="{00000000-0005-0000-0000-00008C7F0000}"/>
    <cellStyle name="Normal 30 2 2 2 4" xfId="18278" xr:uid="{00000000-0005-0000-0000-00008D7F0000}"/>
    <cellStyle name="Normal 30 2 2 2 4 2" xfId="35668" xr:uid="{00000000-0005-0000-0000-00008E7F0000}"/>
    <cellStyle name="Normal 30 2 2 2 5" xfId="18279" xr:uid="{00000000-0005-0000-0000-00008F7F0000}"/>
    <cellStyle name="Normal 30 2 2 2 5 2" xfId="35669" xr:uid="{00000000-0005-0000-0000-0000907F0000}"/>
    <cellStyle name="Normal 30 2 2 2 6" xfId="18280" xr:uid="{00000000-0005-0000-0000-0000917F0000}"/>
    <cellStyle name="Normal 30 2 2 2 6 2" xfId="35670" xr:uid="{00000000-0005-0000-0000-0000927F0000}"/>
    <cellStyle name="Normal 30 2 2 2 7" xfId="18281" xr:uid="{00000000-0005-0000-0000-0000937F0000}"/>
    <cellStyle name="Normal 30 2 2 2 7 2" xfId="35671" xr:uid="{00000000-0005-0000-0000-0000947F0000}"/>
    <cellStyle name="Normal 30 2 2 2 8" xfId="18282" xr:uid="{00000000-0005-0000-0000-0000957F0000}"/>
    <cellStyle name="Normal 30 2 2 2 8 2" xfId="35672" xr:uid="{00000000-0005-0000-0000-0000967F0000}"/>
    <cellStyle name="Normal 30 2 2 2 9" xfId="18283" xr:uid="{00000000-0005-0000-0000-0000977F0000}"/>
    <cellStyle name="Normal 30 2 2 2 9 2" xfId="35673" xr:uid="{00000000-0005-0000-0000-0000987F0000}"/>
    <cellStyle name="Normal 30 2 2 3" xfId="18284" xr:uid="{00000000-0005-0000-0000-0000997F0000}"/>
    <cellStyle name="Normal 30 2 2 3 2" xfId="35674" xr:uid="{00000000-0005-0000-0000-00009A7F0000}"/>
    <cellStyle name="Normal 30 2 2 4" xfId="18285" xr:uid="{00000000-0005-0000-0000-00009B7F0000}"/>
    <cellStyle name="Normal 30 2 2 4 2" xfId="35675" xr:uid="{00000000-0005-0000-0000-00009C7F0000}"/>
    <cellStyle name="Normal 30 2 2 5" xfId="18286" xr:uid="{00000000-0005-0000-0000-00009D7F0000}"/>
    <cellStyle name="Normal 30 2 2 5 2" xfId="35676" xr:uid="{00000000-0005-0000-0000-00009E7F0000}"/>
    <cellStyle name="Normal 30 2 2 6" xfId="18287" xr:uid="{00000000-0005-0000-0000-00009F7F0000}"/>
    <cellStyle name="Normal 30 2 2 6 2" xfId="35677" xr:uid="{00000000-0005-0000-0000-0000A07F0000}"/>
    <cellStyle name="Normal 30 2 2 7" xfId="18288" xr:uid="{00000000-0005-0000-0000-0000A17F0000}"/>
    <cellStyle name="Normal 30 2 2 7 2" xfId="35678" xr:uid="{00000000-0005-0000-0000-0000A27F0000}"/>
    <cellStyle name="Normal 30 2 2 8" xfId="18289" xr:uid="{00000000-0005-0000-0000-0000A37F0000}"/>
    <cellStyle name="Normal 30 2 2 8 2" xfId="35679" xr:uid="{00000000-0005-0000-0000-0000A47F0000}"/>
    <cellStyle name="Normal 30 2 2 9" xfId="18290" xr:uid="{00000000-0005-0000-0000-0000A57F0000}"/>
    <cellStyle name="Normal 30 2 2 9 2" xfId="35680" xr:uid="{00000000-0005-0000-0000-0000A67F0000}"/>
    <cellStyle name="Normal 30 2 20" xfId="18291" xr:uid="{00000000-0005-0000-0000-0000A77F0000}"/>
    <cellStyle name="Normal 30 2 20 2" xfId="35681" xr:uid="{00000000-0005-0000-0000-0000A87F0000}"/>
    <cellStyle name="Normal 30 2 21" xfId="18292" xr:uid="{00000000-0005-0000-0000-0000A97F0000}"/>
    <cellStyle name="Normal 30 2 21 2" xfId="35682" xr:uid="{00000000-0005-0000-0000-0000AA7F0000}"/>
    <cellStyle name="Normal 30 2 22" xfId="18293" xr:uid="{00000000-0005-0000-0000-0000AB7F0000}"/>
    <cellStyle name="Normal 30 2 22 2" xfId="35683" xr:uid="{00000000-0005-0000-0000-0000AC7F0000}"/>
    <cellStyle name="Normal 30 2 23" xfId="18294" xr:uid="{00000000-0005-0000-0000-0000AD7F0000}"/>
    <cellStyle name="Normal 30 2 23 2" xfId="35684" xr:uid="{00000000-0005-0000-0000-0000AE7F0000}"/>
    <cellStyle name="Normal 30 2 24" xfId="18295" xr:uid="{00000000-0005-0000-0000-0000AF7F0000}"/>
    <cellStyle name="Normal 30 2 24 2" xfId="35685" xr:uid="{00000000-0005-0000-0000-0000B07F0000}"/>
    <cellStyle name="Normal 30 2 25" xfId="18296" xr:uid="{00000000-0005-0000-0000-0000B17F0000}"/>
    <cellStyle name="Normal 30 2 25 2" xfId="35686" xr:uid="{00000000-0005-0000-0000-0000B27F0000}"/>
    <cellStyle name="Normal 30 2 26" xfId="18297" xr:uid="{00000000-0005-0000-0000-0000B37F0000}"/>
    <cellStyle name="Normal 30 2 26 2" xfId="35687" xr:uid="{00000000-0005-0000-0000-0000B47F0000}"/>
    <cellStyle name="Normal 30 2 27" xfId="18298" xr:uid="{00000000-0005-0000-0000-0000B57F0000}"/>
    <cellStyle name="Normal 30 2 27 2" xfId="35688" xr:uid="{00000000-0005-0000-0000-0000B67F0000}"/>
    <cellStyle name="Normal 30 2 28" xfId="18299" xr:uid="{00000000-0005-0000-0000-0000B77F0000}"/>
    <cellStyle name="Normal 30 2 28 2" xfId="35689" xr:uid="{00000000-0005-0000-0000-0000B87F0000}"/>
    <cellStyle name="Normal 30 2 29" xfId="35564" xr:uid="{00000000-0005-0000-0000-0000B97F0000}"/>
    <cellStyle name="Normal 30 2 3" xfId="18300" xr:uid="{00000000-0005-0000-0000-0000BA7F0000}"/>
    <cellStyle name="Normal 30 2 3 10" xfId="18301" xr:uid="{00000000-0005-0000-0000-0000BB7F0000}"/>
    <cellStyle name="Normal 30 2 3 10 2" xfId="35691" xr:uid="{00000000-0005-0000-0000-0000BC7F0000}"/>
    <cellStyle name="Normal 30 2 3 11" xfId="18302" xr:uid="{00000000-0005-0000-0000-0000BD7F0000}"/>
    <cellStyle name="Normal 30 2 3 11 2" xfId="35692" xr:uid="{00000000-0005-0000-0000-0000BE7F0000}"/>
    <cellStyle name="Normal 30 2 3 12" xfId="18303" xr:uid="{00000000-0005-0000-0000-0000BF7F0000}"/>
    <cellStyle name="Normal 30 2 3 12 2" xfId="35693" xr:uid="{00000000-0005-0000-0000-0000C07F0000}"/>
    <cellStyle name="Normal 30 2 3 13" xfId="18304" xr:uid="{00000000-0005-0000-0000-0000C17F0000}"/>
    <cellStyle name="Normal 30 2 3 13 2" xfId="35694" xr:uid="{00000000-0005-0000-0000-0000C27F0000}"/>
    <cellStyle name="Normal 30 2 3 14" xfId="18305" xr:uid="{00000000-0005-0000-0000-0000C37F0000}"/>
    <cellStyle name="Normal 30 2 3 14 2" xfId="35695" xr:uid="{00000000-0005-0000-0000-0000C47F0000}"/>
    <cellStyle name="Normal 30 2 3 15" xfId="18306" xr:uid="{00000000-0005-0000-0000-0000C57F0000}"/>
    <cellStyle name="Normal 30 2 3 15 2" xfId="35696" xr:uid="{00000000-0005-0000-0000-0000C67F0000}"/>
    <cellStyle name="Normal 30 2 3 16" xfId="35690" xr:uid="{00000000-0005-0000-0000-0000C77F0000}"/>
    <cellStyle name="Normal 30 2 3 2" xfId="18307" xr:uid="{00000000-0005-0000-0000-0000C87F0000}"/>
    <cellStyle name="Normal 30 2 3 2 10" xfId="18308" xr:uid="{00000000-0005-0000-0000-0000C97F0000}"/>
    <cellStyle name="Normal 30 2 3 2 10 2" xfId="35698" xr:uid="{00000000-0005-0000-0000-0000CA7F0000}"/>
    <cellStyle name="Normal 30 2 3 2 11" xfId="18309" xr:uid="{00000000-0005-0000-0000-0000CB7F0000}"/>
    <cellStyle name="Normal 30 2 3 2 11 2" xfId="35699" xr:uid="{00000000-0005-0000-0000-0000CC7F0000}"/>
    <cellStyle name="Normal 30 2 3 2 12" xfId="18310" xr:uid="{00000000-0005-0000-0000-0000CD7F0000}"/>
    <cellStyle name="Normal 30 2 3 2 12 2" xfId="35700" xr:uid="{00000000-0005-0000-0000-0000CE7F0000}"/>
    <cellStyle name="Normal 30 2 3 2 13" xfId="18311" xr:uid="{00000000-0005-0000-0000-0000CF7F0000}"/>
    <cellStyle name="Normal 30 2 3 2 13 2" xfId="35701" xr:uid="{00000000-0005-0000-0000-0000D07F0000}"/>
    <cellStyle name="Normal 30 2 3 2 14" xfId="18312" xr:uid="{00000000-0005-0000-0000-0000D17F0000}"/>
    <cellStyle name="Normal 30 2 3 2 14 2" xfId="35702" xr:uid="{00000000-0005-0000-0000-0000D27F0000}"/>
    <cellStyle name="Normal 30 2 3 2 15" xfId="35697" xr:uid="{00000000-0005-0000-0000-0000D37F0000}"/>
    <cellStyle name="Normal 30 2 3 2 2" xfId="18313" xr:uid="{00000000-0005-0000-0000-0000D47F0000}"/>
    <cellStyle name="Normal 30 2 3 2 2 2" xfId="35703" xr:uid="{00000000-0005-0000-0000-0000D57F0000}"/>
    <cellStyle name="Normal 30 2 3 2 3" xfId="18314" xr:uid="{00000000-0005-0000-0000-0000D67F0000}"/>
    <cellStyle name="Normal 30 2 3 2 3 2" xfId="35704" xr:uid="{00000000-0005-0000-0000-0000D77F0000}"/>
    <cellStyle name="Normal 30 2 3 2 4" xfId="18315" xr:uid="{00000000-0005-0000-0000-0000D87F0000}"/>
    <cellStyle name="Normal 30 2 3 2 4 2" xfId="35705" xr:uid="{00000000-0005-0000-0000-0000D97F0000}"/>
    <cellStyle name="Normal 30 2 3 2 5" xfId="18316" xr:uid="{00000000-0005-0000-0000-0000DA7F0000}"/>
    <cellStyle name="Normal 30 2 3 2 5 2" xfId="35706" xr:uid="{00000000-0005-0000-0000-0000DB7F0000}"/>
    <cellStyle name="Normal 30 2 3 2 6" xfId="18317" xr:uid="{00000000-0005-0000-0000-0000DC7F0000}"/>
    <cellStyle name="Normal 30 2 3 2 6 2" xfId="35707" xr:uid="{00000000-0005-0000-0000-0000DD7F0000}"/>
    <cellStyle name="Normal 30 2 3 2 7" xfId="18318" xr:uid="{00000000-0005-0000-0000-0000DE7F0000}"/>
    <cellStyle name="Normal 30 2 3 2 7 2" xfId="35708" xr:uid="{00000000-0005-0000-0000-0000DF7F0000}"/>
    <cellStyle name="Normal 30 2 3 2 8" xfId="18319" xr:uid="{00000000-0005-0000-0000-0000E07F0000}"/>
    <cellStyle name="Normal 30 2 3 2 8 2" xfId="35709" xr:uid="{00000000-0005-0000-0000-0000E17F0000}"/>
    <cellStyle name="Normal 30 2 3 2 9" xfId="18320" xr:uid="{00000000-0005-0000-0000-0000E27F0000}"/>
    <cellStyle name="Normal 30 2 3 2 9 2" xfId="35710" xr:uid="{00000000-0005-0000-0000-0000E37F0000}"/>
    <cellStyle name="Normal 30 2 3 3" xfId="18321" xr:uid="{00000000-0005-0000-0000-0000E47F0000}"/>
    <cellStyle name="Normal 30 2 3 3 2" xfId="35711" xr:uid="{00000000-0005-0000-0000-0000E57F0000}"/>
    <cellStyle name="Normal 30 2 3 4" xfId="18322" xr:uid="{00000000-0005-0000-0000-0000E67F0000}"/>
    <cellStyle name="Normal 30 2 3 4 2" xfId="35712" xr:uid="{00000000-0005-0000-0000-0000E77F0000}"/>
    <cellStyle name="Normal 30 2 3 5" xfId="18323" xr:uid="{00000000-0005-0000-0000-0000E87F0000}"/>
    <cellStyle name="Normal 30 2 3 5 2" xfId="35713" xr:uid="{00000000-0005-0000-0000-0000E97F0000}"/>
    <cellStyle name="Normal 30 2 3 6" xfId="18324" xr:uid="{00000000-0005-0000-0000-0000EA7F0000}"/>
    <cellStyle name="Normal 30 2 3 6 2" xfId="35714" xr:uid="{00000000-0005-0000-0000-0000EB7F0000}"/>
    <cellStyle name="Normal 30 2 3 7" xfId="18325" xr:uid="{00000000-0005-0000-0000-0000EC7F0000}"/>
    <cellStyle name="Normal 30 2 3 7 2" xfId="35715" xr:uid="{00000000-0005-0000-0000-0000ED7F0000}"/>
    <cellStyle name="Normal 30 2 3 8" xfId="18326" xr:uid="{00000000-0005-0000-0000-0000EE7F0000}"/>
    <cellStyle name="Normal 30 2 3 8 2" xfId="35716" xr:uid="{00000000-0005-0000-0000-0000EF7F0000}"/>
    <cellStyle name="Normal 30 2 3 9" xfId="18327" xr:uid="{00000000-0005-0000-0000-0000F07F0000}"/>
    <cellStyle name="Normal 30 2 3 9 2" xfId="35717" xr:uid="{00000000-0005-0000-0000-0000F17F0000}"/>
    <cellStyle name="Normal 30 2 4" xfId="18328" xr:uid="{00000000-0005-0000-0000-0000F27F0000}"/>
    <cellStyle name="Normal 30 2 4 10" xfId="18329" xr:uid="{00000000-0005-0000-0000-0000F37F0000}"/>
    <cellStyle name="Normal 30 2 4 10 2" xfId="35719" xr:uid="{00000000-0005-0000-0000-0000F47F0000}"/>
    <cellStyle name="Normal 30 2 4 11" xfId="18330" xr:uid="{00000000-0005-0000-0000-0000F57F0000}"/>
    <cellStyle name="Normal 30 2 4 11 2" xfId="35720" xr:uid="{00000000-0005-0000-0000-0000F67F0000}"/>
    <cellStyle name="Normal 30 2 4 12" xfId="18331" xr:uid="{00000000-0005-0000-0000-0000F77F0000}"/>
    <cellStyle name="Normal 30 2 4 12 2" xfId="35721" xr:uid="{00000000-0005-0000-0000-0000F87F0000}"/>
    <cellStyle name="Normal 30 2 4 13" xfId="18332" xr:uid="{00000000-0005-0000-0000-0000F97F0000}"/>
    <cellStyle name="Normal 30 2 4 13 2" xfId="35722" xr:uid="{00000000-0005-0000-0000-0000FA7F0000}"/>
    <cellStyle name="Normal 30 2 4 14" xfId="18333" xr:uid="{00000000-0005-0000-0000-0000FB7F0000}"/>
    <cellStyle name="Normal 30 2 4 14 2" xfId="35723" xr:uid="{00000000-0005-0000-0000-0000FC7F0000}"/>
    <cellStyle name="Normal 30 2 4 15" xfId="18334" xr:uid="{00000000-0005-0000-0000-0000FD7F0000}"/>
    <cellStyle name="Normal 30 2 4 15 2" xfId="35724" xr:uid="{00000000-0005-0000-0000-0000FE7F0000}"/>
    <cellStyle name="Normal 30 2 4 16" xfId="35718" xr:uid="{00000000-0005-0000-0000-0000FF7F0000}"/>
    <cellStyle name="Normal 30 2 4 2" xfId="18335" xr:uid="{00000000-0005-0000-0000-000000800000}"/>
    <cellStyle name="Normal 30 2 4 2 10" xfId="18336" xr:uid="{00000000-0005-0000-0000-000001800000}"/>
    <cellStyle name="Normal 30 2 4 2 10 2" xfId="35726" xr:uid="{00000000-0005-0000-0000-000002800000}"/>
    <cellStyle name="Normal 30 2 4 2 11" xfId="18337" xr:uid="{00000000-0005-0000-0000-000003800000}"/>
    <cellStyle name="Normal 30 2 4 2 11 2" xfId="35727" xr:uid="{00000000-0005-0000-0000-000004800000}"/>
    <cellStyle name="Normal 30 2 4 2 12" xfId="18338" xr:uid="{00000000-0005-0000-0000-000005800000}"/>
    <cellStyle name="Normal 30 2 4 2 12 2" xfId="35728" xr:uid="{00000000-0005-0000-0000-000006800000}"/>
    <cellStyle name="Normal 30 2 4 2 13" xfId="18339" xr:uid="{00000000-0005-0000-0000-000007800000}"/>
    <cellStyle name="Normal 30 2 4 2 13 2" xfId="35729" xr:uid="{00000000-0005-0000-0000-000008800000}"/>
    <cellStyle name="Normal 30 2 4 2 14" xfId="18340" xr:uid="{00000000-0005-0000-0000-000009800000}"/>
    <cellStyle name="Normal 30 2 4 2 14 2" xfId="35730" xr:uid="{00000000-0005-0000-0000-00000A800000}"/>
    <cellStyle name="Normal 30 2 4 2 15" xfId="35725" xr:uid="{00000000-0005-0000-0000-00000B800000}"/>
    <cellStyle name="Normal 30 2 4 2 2" xfId="18341" xr:uid="{00000000-0005-0000-0000-00000C800000}"/>
    <cellStyle name="Normal 30 2 4 2 2 2" xfId="35731" xr:uid="{00000000-0005-0000-0000-00000D800000}"/>
    <cellStyle name="Normal 30 2 4 2 3" xfId="18342" xr:uid="{00000000-0005-0000-0000-00000E800000}"/>
    <cellStyle name="Normal 30 2 4 2 3 2" xfId="35732" xr:uid="{00000000-0005-0000-0000-00000F800000}"/>
    <cellStyle name="Normal 30 2 4 2 4" xfId="18343" xr:uid="{00000000-0005-0000-0000-000010800000}"/>
    <cellStyle name="Normal 30 2 4 2 4 2" xfId="35733" xr:uid="{00000000-0005-0000-0000-000011800000}"/>
    <cellStyle name="Normal 30 2 4 2 5" xfId="18344" xr:uid="{00000000-0005-0000-0000-000012800000}"/>
    <cellStyle name="Normal 30 2 4 2 5 2" xfId="35734" xr:uid="{00000000-0005-0000-0000-000013800000}"/>
    <cellStyle name="Normal 30 2 4 2 6" xfId="18345" xr:uid="{00000000-0005-0000-0000-000014800000}"/>
    <cellStyle name="Normal 30 2 4 2 6 2" xfId="35735" xr:uid="{00000000-0005-0000-0000-000015800000}"/>
    <cellStyle name="Normal 30 2 4 2 7" xfId="18346" xr:uid="{00000000-0005-0000-0000-000016800000}"/>
    <cellStyle name="Normal 30 2 4 2 7 2" xfId="35736" xr:uid="{00000000-0005-0000-0000-000017800000}"/>
    <cellStyle name="Normal 30 2 4 2 8" xfId="18347" xr:uid="{00000000-0005-0000-0000-000018800000}"/>
    <cellStyle name="Normal 30 2 4 2 8 2" xfId="35737" xr:uid="{00000000-0005-0000-0000-000019800000}"/>
    <cellStyle name="Normal 30 2 4 2 9" xfId="18348" xr:uid="{00000000-0005-0000-0000-00001A800000}"/>
    <cellStyle name="Normal 30 2 4 2 9 2" xfId="35738" xr:uid="{00000000-0005-0000-0000-00001B800000}"/>
    <cellStyle name="Normal 30 2 4 3" xfId="18349" xr:uid="{00000000-0005-0000-0000-00001C800000}"/>
    <cellStyle name="Normal 30 2 4 3 2" xfId="35739" xr:uid="{00000000-0005-0000-0000-00001D800000}"/>
    <cellStyle name="Normal 30 2 4 4" xfId="18350" xr:uid="{00000000-0005-0000-0000-00001E800000}"/>
    <cellStyle name="Normal 30 2 4 4 2" xfId="35740" xr:uid="{00000000-0005-0000-0000-00001F800000}"/>
    <cellStyle name="Normal 30 2 4 5" xfId="18351" xr:uid="{00000000-0005-0000-0000-000020800000}"/>
    <cellStyle name="Normal 30 2 4 5 2" xfId="35741" xr:uid="{00000000-0005-0000-0000-000021800000}"/>
    <cellStyle name="Normal 30 2 4 6" xfId="18352" xr:uid="{00000000-0005-0000-0000-000022800000}"/>
    <cellStyle name="Normal 30 2 4 6 2" xfId="35742" xr:uid="{00000000-0005-0000-0000-000023800000}"/>
    <cellStyle name="Normal 30 2 4 7" xfId="18353" xr:uid="{00000000-0005-0000-0000-000024800000}"/>
    <cellStyle name="Normal 30 2 4 7 2" xfId="35743" xr:uid="{00000000-0005-0000-0000-000025800000}"/>
    <cellStyle name="Normal 30 2 4 8" xfId="18354" xr:uid="{00000000-0005-0000-0000-000026800000}"/>
    <cellStyle name="Normal 30 2 4 8 2" xfId="35744" xr:uid="{00000000-0005-0000-0000-000027800000}"/>
    <cellStyle name="Normal 30 2 4 9" xfId="18355" xr:uid="{00000000-0005-0000-0000-000028800000}"/>
    <cellStyle name="Normal 30 2 4 9 2" xfId="35745" xr:uid="{00000000-0005-0000-0000-000029800000}"/>
    <cellStyle name="Normal 30 2 5" xfId="18356" xr:uid="{00000000-0005-0000-0000-00002A800000}"/>
    <cellStyle name="Normal 30 2 5 10" xfId="18357" xr:uid="{00000000-0005-0000-0000-00002B800000}"/>
    <cellStyle name="Normal 30 2 5 10 2" xfId="35747" xr:uid="{00000000-0005-0000-0000-00002C800000}"/>
    <cellStyle name="Normal 30 2 5 11" xfId="18358" xr:uid="{00000000-0005-0000-0000-00002D800000}"/>
    <cellStyle name="Normal 30 2 5 11 2" xfId="35748" xr:uid="{00000000-0005-0000-0000-00002E800000}"/>
    <cellStyle name="Normal 30 2 5 12" xfId="18359" xr:uid="{00000000-0005-0000-0000-00002F800000}"/>
    <cellStyle name="Normal 30 2 5 12 2" xfId="35749" xr:uid="{00000000-0005-0000-0000-000030800000}"/>
    <cellStyle name="Normal 30 2 5 13" xfId="18360" xr:uid="{00000000-0005-0000-0000-000031800000}"/>
    <cellStyle name="Normal 30 2 5 13 2" xfId="35750" xr:uid="{00000000-0005-0000-0000-000032800000}"/>
    <cellStyle name="Normal 30 2 5 14" xfId="18361" xr:uid="{00000000-0005-0000-0000-000033800000}"/>
    <cellStyle name="Normal 30 2 5 14 2" xfId="35751" xr:uid="{00000000-0005-0000-0000-000034800000}"/>
    <cellStyle name="Normal 30 2 5 15" xfId="35746" xr:uid="{00000000-0005-0000-0000-000035800000}"/>
    <cellStyle name="Normal 30 2 5 2" xfId="18362" xr:uid="{00000000-0005-0000-0000-000036800000}"/>
    <cellStyle name="Normal 30 2 5 2 2" xfId="35752" xr:uid="{00000000-0005-0000-0000-000037800000}"/>
    <cellStyle name="Normal 30 2 5 3" xfId="18363" xr:uid="{00000000-0005-0000-0000-000038800000}"/>
    <cellStyle name="Normal 30 2 5 3 2" xfId="35753" xr:uid="{00000000-0005-0000-0000-000039800000}"/>
    <cellStyle name="Normal 30 2 5 4" xfId="18364" xr:uid="{00000000-0005-0000-0000-00003A800000}"/>
    <cellStyle name="Normal 30 2 5 4 2" xfId="35754" xr:uid="{00000000-0005-0000-0000-00003B800000}"/>
    <cellStyle name="Normal 30 2 5 5" xfId="18365" xr:uid="{00000000-0005-0000-0000-00003C800000}"/>
    <cellStyle name="Normal 30 2 5 5 2" xfId="35755" xr:uid="{00000000-0005-0000-0000-00003D800000}"/>
    <cellStyle name="Normal 30 2 5 6" xfId="18366" xr:uid="{00000000-0005-0000-0000-00003E800000}"/>
    <cellStyle name="Normal 30 2 5 6 2" xfId="35756" xr:uid="{00000000-0005-0000-0000-00003F800000}"/>
    <cellStyle name="Normal 30 2 5 7" xfId="18367" xr:uid="{00000000-0005-0000-0000-000040800000}"/>
    <cellStyle name="Normal 30 2 5 7 2" xfId="35757" xr:uid="{00000000-0005-0000-0000-000041800000}"/>
    <cellStyle name="Normal 30 2 5 8" xfId="18368" xr:uid="{00000000-0005-0000-0000-000042800000}"/>
    <cellStyle name="Normal 30 2 5 8 2" xfId="35758" xr:uid="{00000000-0005-0000-0000-000043800000}"/>
    <cellStyle name="Normal 30 2 5 9" xfId="18369" xr:uid="{00000000-0005-0000-0000-000044800000}"/>
    <cellStyle name="Normal 30 2 5 9 2" xfId="35759" xr:uid="{00000000-0005-0000-0000-000045800000}"/>
    <cellStyle name="Normal 30 2 6" xfId="18370" xr:uid="{00000000-0005-0000-0000-000046800000}"/>
    <cellStyle name="Normal 30 2 6 10" xfId="18371" xr:uid="{00000000-0005-0000-0000-000047800000}"/>
    <cellStyle name="Normal 30 2 6 10 2" xfId="35761" xr:uid="{00000000-0005-0000-0000-000048800000}"/>
    <cellStyle name="Normal 30 2 6 11" xfId="18372" xr:uid="{00000000-0005-0000-0000-000049800000}"/>
    <cellStyle name="Normal 30 2 6 11 2" xfId="35762" xr:uid="{00000000-0005-0000-0000-00004A800000}"/>
    <cellStyle name="Normal 30 2 6 12" xfId="18373" xr:uid="{00000000-0005-0000-0000-00004B800000}"/>
    <cellStyle name="Normal 30 2 6 12 2" xfId="35763" xr:uid="{00000000-0005-0000-0000-00004C800000}"/>
    <cellStyle name="Normal 30 2 6 13" xfId="18374" xr:uid="{00000000-0005-0000-0000-00004D800000}"/>
    <cellStyle name="Normal 30 2 6 13 2" xfId="35764" xr:uid="{00000000-0005-0000-0000-00004E800000}"/>
    <cellStyle name="Normal 30 2 6 14" xfId="18375" xr:uid="{00000000-0005-0000-0000-00004F800000}"/>
    <cellStyle name="Normal 30 2 6 14 2" xfId="35765" xr:uid="{00000000-0005-0000-0000-000050800000}"/>
    <cellStyle name="Normal 30 2 6 15" xfId="35760" xr:uid="{00000000-0005-0000-0000-000051800000}"/>
    <cellStyle name="Normal 30 2 6 2" xfId="18376" xr:uid="{00000000-0005-0000-0000-000052800000}"/>
    <cellStyle name="Normal 30 2 6 2 2" xfId="35766" xr:uid="{00000000-0005-0000-0000-000053800000}"/>
    <cellStyle name="Normal 30 2 6 3" xfId="18377" xr:uid="{00000000-0005-0000-0000-000054800000}"/>
    <cellStyle name="Normal 30 2 6 3 2" xfId="35767" xr:uid="{00000000-0005-0000-0000-000055800000}"/>
    <cellStyle name="Normal 30 2 6 4" xfId="18378" xr:uid="{00000000-0005-0000-0000-000056800000}"/>
    <cellStyle name="Normal 30 2 6 4 2" xfId="35768" xr:uid="{00000000-0005-0000-0000-000057800000}"/>
    <cellStyle name="Normal 30 2 6 5" xfId="18379" xr:uid="{00000000-0005-0000-0000-000058800000}"/>
    <cellStyle name="Normal 30 2 6 5 2" xfId="35769" xr:uid="{00000000-0005-0000-0000-000059800000}"/>
    <cellStyle name="Normal 30 2 6 6" xfId="18380" xr:uid="{00000000-0005-0000-0000-00005A800000}"/>
    <cellStyle name="Normal 30 2 6 6 2" xfId="35770" xr:uid="{00000000-0005-0000-0000-00005B800000}"/>
    <cellStyle name="Normal 30 2 6 7" xfId="18381" xr:uid="{00000000-0005-0000-0000-00005C800000}"/>
    <cellStyle name="Normal 30 2 6 7 2" xfId="35771" xr:uid="{00000000-0005-0000-0000-00005D800000}"/>
    <cellStyle name="Normal 30 2 6 8" xfId="18382" xr:uid="{00000000-0005-0000-0000-00005E800000}"/>
    <cellStyle name="Normal 30 2 6 8 2" xfId="35772" xr:uid="{00000000-0005-0000-0000-00005F800000}"/>
    <cellStyle name="Normal 30 2 6 9" xfId="18383" xr:uid="{00000000-0005-0000-0000-000060800000}"/>
    <cellStyle name="Normal 30 2 6 9 2" xfId="35773" xr:uid="{00000000-0005-0000-0000-000061800000}"/>
    <cellStyle name="Normal 30 2 7" xfId="18384" xr:uid="{00000000-0005-0000-0000-000062800000}"/>
    <cellStyle name="Normal 30 2 7 10" xfId="18385" xr:uid="{00000000-0005-0000-0000-000063800000}"/>
    <cellStyle name="Normal 30 2 7 10 2" xfId="35775" xr:uid="{00000000-0005-0000-0000-000064800000}"/>
    <cellStyle name="Normal 30 2 7 11" xfId="18386" xr:uid="{00000000-0005-0000-0000-000065800000}"/>
    <cellStyle name="Normal 30 2 7 11 2" xfId="35776" xr:uid="{00000000-0005-0000-0000-000066800000}"/>
    <cellStyle name="Normal 30 2 7 12" xfId="18387" xr:uid="{00000000-0005-0000-0000-000067800000}"/>
    <cellStyle name="Normal 30 2 7 12 2" xfId="35777" xr:uid="{00000000-0005-0000-0000-000068800000}"/>
    <cellStyle name="Normal 30 2 7 13" xfId="18388" xr:uid="{00000000-0005-0000-0000-000069800000}"/>
    <cellStyle name="Normal 30 2 7 13 2" xfId="35778" xr:uid="{00000000-0005-0000-0000-00006A800000}"/>
    <cellStyle name="Normal 30 2 7 14" xfId="18389" xr:uid="{00000000-0005-0000-0000-00006B800000}"/>
    <cellStyle name="Normal 30 2 7 14 2" xfId="35779" xr:uid="{00000000-0005-0000-0000-00006C800000}"/>
    <cellStyle name="Normal 30 2 7 15" xfId="35774" xr:uid="{00000000-0005-0000-0000-00006D800000}"/>
    <cellStyle name="Normal 30 2 7 2" xfId="18390" xr:uid="{00000000-0005-0000-0000-00006E800000}"/>
    <cellStyle name="Normal 30 2 7 2 2" xfId="35780" xr:uid="{00000000-0005-0000-0000-00006F800000}"/>
    <cellStyle name="Normal 30 2 7 3" xfId="18391" xr:uid="{00000000-0005-0000-0000-000070800000}"/>
    <cellStyle name="Normal 30 2 7 3 2" xfId="35781" xr:uid="{00000000-0005-0000-0000-000071800000}"/>
    <cellStyle name="Normal 30 2 7 4" xfId="18392" xr:uid="{00000000-0005-0000-0000-000072800000}"/>
    <cellStyle name="Normal 30 2 7 4 2" xfId="35782" xr:uid="{00000000-0005-0000-0000-000073800000}"/>
    <cellStyle name="Normal 30 2 7 5" xfId="18393" xr:uid="{00000000-0005-0000-0000-000074800000}"/>
    <cellStyle name="Normal 30 2 7 5 2" xfId="35783" xr:uid="{00000000-0005-0000-0000-000075800000}"/>
    <cellStyle name="Normal 30 2 7 6" xfId="18394" xr:uid="{00000000-0005-0000-0000-000076800000}"/>
    <cellStyle name="Normal 30 2 7 6 2" xfId="35784" xr:uid="{00000000-0005-0000-0000-000077800000}"/>
    <cellStyle name="Normal 30 2 7 7" xfId="18395" xr:uid="{00000000-0005-0000-0000-000078800000}"/>
    <cellStyle name="Normal 30 2 7 7 2" xfId="35785" xr:uid="{00000000-0005-0000-0000-000079800000}"/>
    <cellStyle name="Normal 30 2 7 8" xfId="18396" xr:uid="{00000000-0005-0000-0000-00007A800000}"/>
    <cellStyle name="Normal 30 2 7 8 2" xfId="35786" xr:uid="{00000000-0005-0000-0000-00007B800000}"/>
    <cellStyle name="Normal 30 2 7 9" xfId="18397" xr:uid="{00000000-0005-0000-0000-00007C800000}"/>
    <cellStyle name="Normal 30 2 7 9 2" xfId="35787" xr:uid="{00000000-0005-0000-0000-00007D800000}"/>
    <cellStyle name="Normal 30 2 8" xfId="18398" xr:uid="{00000000-0005-0000-0000-00007E800000}"/>
    <cellStyle name="Normal 30 2 8 10" xfId="18399" xr:uid="{00000000-0005-0000-0000-00007F800000}"/>
    <cellStyle name="Normal 30 2 8 10 2" xfId="35789" xr:uid="{00000000-0005-0000-0000-000080800000}"/>
    <cellStyle name="Normal 30 2 8 11" xfId="18400" xr:uid="{00000000-0005-0000-0000-000081800000}"/>
    <cellStyle name="Normal 30 2 8 11 2" xfId="35790" xr:uid="{00000000-0005-0000-0000-000082800000}"/>
    <cellStyle name="Normal 30 2 8 12" xfId="18401" xr:uid="{00000000-0005-0000-0000-000083800000}"/>
    <cellStyle name="Normal 30 2 8 12 2" xfId="35791" xr:uid="{00000000-0005-0000-0000-000084800000}"/>
    <cellStyle name="Normal 30 2 8 13" xfId="18402" xr:uid="{00000000-0005-0000-0000-000085800000}"/>
    <cellStyle name="Normal 30 2 8 13 2" xfId="35792" xr:uid="{00000000-0005-0000-0000-000086800000}"/>
    <cellStyle name="Normal 30 2 8 14" xfId="18403" xr:uid="{00000000-0005-0000-0000-000087800000}"/>
    <cellStyle name="Normal 30 2 8 14 2" xfId="35793" xr:uid="{00000000-0005-0000-0000-000088800000}"/>
    <cellStyle name="Normal 30 2 8 15" xfId="35788" xr:uid="{00000000-0005-0000-0000-000089800000}"/>
    <cellStyle name="Normal 30 2 8 2" xfId="18404" xr:uid="{00000000-0005-0000-0000-00008A800000}"/>
    <cellStyle name="Normal 30 2 8 2 2" xfId="35794" xr:uid="{00000000-0005-0000-0000-00008B800000}"/>
    <cellStyle name="Normal 30 2 8 3" xfId="18405" xr:uid="{00000000-0005-0000-0000-00008C800000}"/>
    <cellStyle name="Normal 30 2 8 3 2" xfId="35795" xr:uid="{00000000-0005-0000-0000-00008D800000}"/>
    <cellStyle name="Normal 30 2 8 4" xfId="18406" xr:uid="{00000000-0005-0000-0000-00008E800000}"/>
    <cellStyle name="Normal 30 2 8 4 2" xfId="35796" xr:uid="{00000000-0005-0000-0000-00008F800000}"/>
    <cellStyle name="Normal 30 2 8 5" xfId="18407" xr:uid="{00000000-0005-0000-0000-000090800000}"/>
    <cellStyle name="Normal 30 2 8 5 2" xfId="35797" xr:uid="{00000000-0005-0000-0000-000091800000}"/>
    <cellStyle name="Normal 30 2 8 6" xfId="18408" xr:uid="{00000000-0005-0000-0000-000092800000}"/>
    <cellStyle name="Normal 30 2 8 6 2" xfId="35798" xr:uid="{00000000-0005-0000-0000-000093800000}"/>
    <cellStyle name="Normal 30 2 8 7" xfId="18409" xr:uid="{00000000-0005-0000-0000-000094800000}"/>
    <cellStyle name="Normal 30 2 8 7 2" xfId="35799" xr:uid="{00000000-0005-0000-0000-000095800000}"/>
    <cellStyle name="Normal 30 2 8 8" xfId="18410" xr:uid="{00000000-0005-0000-0000-000096800000}"/>
    <cellStyle name="Normal 30 2 8 8 2" xfId="35800" xr:uid="{00000000-0005-0000-0000-000097800000}"/>
    <cellStyle name="Normal 30 2 8 9" xfId="18411" xr:uid="{00000000-0005-0000-0000-000098800000}"/>
    <cellStyle name="Normal 30 2 8 9 2" xfId="35801" xr:uid="{00000000-0005-0000-0000-000099800000}"/>
    <cellStyle name="Normal 30 2 9" xfId="18412" xr:uid="{00000000-0005-0000-0000-00009A800000}"/>
    <cellStyle name="Normal 30 2 9 10" xfId="18413" xr:uid="{00000000-0005-0000-0000-00009B800000}"/>
    <cellStyle name="Normal 30 2 9 10 2" xfId="35803" xr:uid="{00000000-0005-0000-0000-00009C800000}"/>
    <cellStyle name="Normal 30 2 9 11" xfId="18414" xr:uid="{00000000-0005-0000-0000-00009D800000}"/>
    <cellStyle name="Normal 30 2 9 11 2" xfId="35804" xr:uid="{00000000-0005-0000-0000-00009E800000}"/>
    <cellStyle name="Normal 30 2 9 12" xfId="18415" xr:uid="{00000000-0005-0000-0000-00009F800000}"/>
    <cellStyle name="Normal 30 2 9 12 2" xfId="35805" xr:uid="{00000000-0005-0000-0000-0000A0800000}"/>
    <cellStyle name="Normal 30 2 9 13" xfId="18416" xr:uid="{00000000-0005-0000-0000-0000A1800000}"/>
    <cellStyle name="Normal 30 2 9 13 2" xfId="35806" xr:uid="{00000000-0005-0000-0000-0000A2800000}"/>
    <cellStyle name="Normal 30 2 9 14" xfId="18417" xr:uid="{00000000-0005-0000-0000-0000A3800000}"/>
    <cellStyle name="Normal 30 2 9 14 2" xfId="35807" xr:uid="{00000000-0005-0000-0000-0000A4800000}"/>
    <cellStyle name="Normal 30 2 9 15" xfId="35802" xr:uid="{00000000-0005-0000-0000-0000A5800000}"/>
    <cellStyle name="Normal 30 2 9 2" xfId="18418" xr:uid="{00000000-0005-0000-0000-0000A6800000}"/>
    <cellStyle name="Normal 30 2 9 2 2" xfId="35808" xr:uid="{00000000-0005-0000-0000-0000A7800000}"/>
    <cellStyle name="Normal 30 2 9 3" xfId="18419" xr:uid="{00000000-0005-0000-0000-0000A8800000}"/>
    <cellStyle name="Normal 30 2 9 3 2" xfId="35809" xr:uid="{00000000-0005-0000-0000-0000A9800000}"/>
    <cellStyle name="Normal 30 2 9 4" xfId="18420" xr:uid="{00000000-0005-0000-0000-0000AA800000}"/>
    <cellStyle name="Normal 30 2 9 4 2" xfId="35810" xr:uid="{00000000-0005-0000-0000-0000AB800000}"/>
    <cellStyle name="Normal 30 2 9 5" xfId="18421" xr:uid="{00000000-0005-0000-0000-0000AC800000}"/>
    <cellStyle name="Normal 30 2 9 5 2" xfId="35811" xr:uid="{00000000-0005-0000-0000-0000AD800000}"/>
    <cellStyle name="Normal 30 2 9 6" xfId="18422" xr:uid="{00000000-0005-0000-0000-0000AE800000}"/>
    <cellStyle name="Normal 30 2 9 6 2" xfId="35812" xr:uid="{00000000-0005-0000-0000-0000AF800000}"/>
    <cellStyle name="Normal 30 2 9 7" xfId="18423" xr:uid="{00000000-0005-0000-0000-0000B0800000}"/>
    <cellStyle name="Normal 30 2 9 7 2" xfId="35813" xr:uid="{00000000-0005-0000-0000-0000B1800000}"/>
    <cellStyle name="Normal 30 2 9 8" xfId="18424" xr:uid="{00000000-0005-0000-0000-0000B2800000}"/>
    <cellStyle name="Normal 30 2 9 8 2" xfId="35814" xr:uid="{00000000-0005-0000-0000-0000B3800000}"/>
    <cellStyle name="Normal 30 2 9 9" xfId="18425" xr:uid="{00000000-0005-0000-0000-0000B4800000}"/>
    <cellStyle name="Normal 30 2 9 9 2" xfId="35815" xr:uid="{00000000-0005-0000-0000-0000B5800000}"/>
    <cellStyle name="Normal 30 3" xfId="18426" xr:uid="{00000000-0005-0000-0000-0000B6800000}"/>
    <cellStyle name="Normal 30 3 10" xfId="18427" xr:uid="{00000000-0005-0000-0000-0000B7800000}"/>
    <cellStyle name="Normal 30 3 10 10" xfId="18428" xr:uid="{00000000-0005-0000-0000-0000B8800000}"/>
    <cellStyle name="Normal 30 3 10 10 2" xfId="35818" xr:uid="{00000000-0005-0000-0000-0000B9800000}"/>
    <cellStyle name="Normal 30 3 10 11" xfId="18429" xr:uid="{00000000-0005-0000-0000-0000BA800000}"/>
    <cellStyle name="Normal 30 3 10 11 2" xfId="35819" xr:uid="{00000000-0005-0000-0000-0000BB800000}"/>
    <cellStyle name="Normal 30 3 10 12" xfId="18430" xr:uid="{00000000-0005-0000-0000-0000BC800000}"/>
    <cellStyle name="Normal 30 3 10 12 2" xfId="35820" xr:uid="{00000000-0005-0000-0000-0000BD800000}"/>
    <cellStyle name="Normal 30 3 10 13" xfId="18431" xr:uid="{00000000-0005-0000-0000-0000BE800000}"/>
    <cellStyle name="Normal 30 3 10 13 2" xfId="35821" xr:uid="{00000000-0005-0000-0000-0000BF800000}"/>
    <cellStyle name="Normal 30 3 10 14" xfId="18432" xr:uid="{00000000-0005-0000-0000-0000C0800000}"/>
    <cellStyle name="Normal 30 3 10 14 2" xfId="35822" xr:uid="{00000000-0005-0000-0000-0000C1800000}"/>
    <cellStyle name="Normal 30 3 10 15" xfId="35817" xr:uid="{00000000-0005-0000-0000-0000C2800000}"/>
    <cellStyle name="Normal 30 3 10 2" xfId="18433" xr:uid="{00000000-0005-0000-0000-0000C3800000}"/>
    <cellStyle name="Normal 30 3 10 2 2" xfId="35823" xr:uid="{00000000-0005-0000-0000-0000C4800000}"/>
    <cellStyle name="Normal 30 3 10 3" xfId="18434" xr:uid="{00000000-0005-0000-0000-0000C5800000}"/>
    <cellStyle name="Normal 30 3 10 3 2" xfId="35824" xr:uid="{00000000-0005-0000-0000-0000C6800000}"/>
    <cellStyle name="Normal 30 3 10 4" xfId="18435" xr:uid="{00000000-0005-0000-0000-0000C7800000}"/>
    <cellStyle name="Normal 30 3 10 4 2" xfId="35825" xr:uid="{00000000-0005-0000-0000-0000C8800000}"/>
    <cellStyle name="Normal 30 3 10 5" xfId="18436" xr:uid="{00000000-0005-0000-0000-0000C9800000}"/>
    <cellStyle name="Normal 30 3 10 5 2" xfId="35826" xr:uid="{00000000-0005-0000-0000-0000CA800000}"/>
    <cellStyle name="Normal 30 3 10 6" xfId="18437" xr:uid="{00000000-0005-0000-0000-0000CB800000}"/>
    <cellStyle name="Normal 30 3 10 6 2" xfId="35827" xr:uid="{00000000-0005-0000-0000-0000CC800000}"/>
    <cellStyle name="Normal 30 3 10 7" xfId="18438" xr:uid="{00000000-0005-0000-0000-0000CD800000}"/>
    <cellStyle name="Normal 30 3 10 7 2" xfId="35828" xr:uid="{00000000-0005-0000-0000-0000CE800000}"/>
    <cellStyle name="Normal 30 3 10 8" xfId="18439" xr:uid="{00000000-0005-0000-0000-0000CF800000}"/>
    <cellStyle name="Normal 30 3 10 8 2" xfId="35829" xr:uid="{00000000-0005-0000-0000-0000D0800000}"/>
    <cellStyle name="Normal 30 3 10 9" xfId="18440" xr:uid="{00000000-0005-0000-0000-0000D1800000}"/>
    <cellStyle name="Normal 30 3 10 9 2" xfId="35830" xr:uid="{00000000-0005-0000-0000-0000D2800000}"/>
    <cellStyle name="Normal 30 3 11" xfId="18441" xr:uid="{00000000-0005-0000-0000-0000D3800000}"/>
    <cellStyle name="Normal 30 3 11 10" xfId="18442" xr:uid="{00000000-0005-0000-0000-0000D4800000}"/>
    <cellStyle name="Normal 30 3 11 10 2" xfId="35832" xr:uid="{00000000-0005-0000-0000-0000D5800000}"/>
    <cellStyle name="Normal 30 3 11 11" xfId="18443" xr:uid="{00000000-0005-0000-0000-0000D6800000}"/>
    <cellStyle name="Normal 30 3 11 11 2" xfId="35833" xr:uid="{00000000-0005-0000-0000-0000D7800000}"/>
    <cellStyle name="Normal 30 3 11 12" xfId="18444" xr:uid="{00000000-0005-0000-0000-0000D8800000}"/>
    <cellStyle name="Normal 30 3 11 12 2" xfId="35834" xr:uid="{00000000-0005-0000-0000-0000D9800000}"/>
    <cellStyle name="Normal 30 3 11 13" xfId="18445" xr:uid="{00000000-0005-0000-0000-0000DA800000}"/>
    <cellStyle name="Normal 30 3 11 13 2" xfId="35835" xr:uid="{00000000-0005-0000-0000-0000DB800000}"/>
    <cellStyle name="Normal 30 3 11 14" xfId="18446" xr:uid="{00000000-0005-0000-0000-0000DC800000}"/>
    <cellStyle name="Normal 30 3 11 14 2" xfId="35836" xr:uid="{00000000-0005-0000-0000-0000DD800000}"/>
    <cellStyle name="Normal 30 3 11 15" xfId="35831" xr:uid="{00000000-0005-0000-0000-0000DE800000}"/>
    <cellStyle name="Normal 30 3 11 2" xfId="18447" xr:uid="{00000000-0005-0000-0000-0000DF800000}"/>
    <cellStyle name="Normal 30 3 11 2 2" xfId="35837" xr:uid="{00000000-0005-0000-0000-0000E0800000}"/>
    <cellStyle name="Normal 30 3 11 3" xfId="18448" xr:uid="{00000000-0005-0000-0000-0000E1800000}"/>
    <cellStyle name="Normal 30 3 11 3 2" xfId="35838" xr:uid="{00000000-0005-0000-0000-0000E2800000}"/>
    <cellStyle name="Normal 30 3 11 4" xfId="18449" xr:uid="{00000000-0005-0000-0000-0000E3800000}"/>
    <cellStyle name="Normal 30 3 11 4 2" xfId="35839" xr:uid="{00000000-0005-0000-0000-0000E4800000}"/>
    <cellStyle name="Normal 30 3 11 5" xfId="18450" xr:uid="{00000000-0005-0000-0000-0000E5800000}"/>
    <cellStyle name="Normal 30 3 11 5 2" xfId="35840" xr:uid="{00000000-0005-0000-0000-0000E6800000}"/>
    <cellStyle name="Normal 30 3 11 6" xfId="18451" xr:uid="{00000000-0005-0000-0000-0000E7800000}"/>
    <cellStyle name="Normal 30 3 11 6 2" xfId="35841" xr:uid="{00000000-0005-0000-0000-0000E8800000}"/>
    <cellStyle name="Normal 30 3 11 7" xfId="18452" xr:uid="{00000000-0005-0000-0000-0000E9800000}"/>
    <cellStyle name="Normal 30 3 11 7 2" xfId="35842" xr:uid="{00000000-0005-0000-0000-0000EA800000}"/>
    <cellStyle name="Normal 30 3 11 8" xfId="18453" xr:uid="{00000000-0005-0000-0000-0000EB800000}"/>
    <cellStyle name="Normal 30 3 11 8 2" xfId="35843" xr:uid="{00000000-0005-0000-0000-0000EC800000}"/>
    <cellStyle name="Normal 30 3 11 9" xfId="18454" xr:uid="{00000000-0005-0000-0000-0000ED800000}"/>
    <cellStyle name="Normal 30 3 11 9 2" xfId="35844" xr:uid="{00000000-0005-0000-0000-0000EE800000}"/>
    <cellStyle name="Normal 30 3 12" xfId="18455" xr:uid="{00000000-0005-0000-0000-0000EF800000}"/>
    <cellStyle name="Normal 30 3 12 10" xfId="18456" xr:uid="{00000000-0005-0000-0000-0000F0800000}"/>
    <cellStyle name="Normal 30 3 12 10 2" xfId="35846" xr:uid="{00000000-0005-0000-0000-0000F1800000}"/>
    <cellStyle name="Normal 30 3 12 11" xfId="18457" xr:uid="{00000000-0005-0000-0000-0000F2800000}"/>
    <cellStyle name="Normal 30 3 12 11 2" xfId="35847" xr:uid="{00000000-0005-0000-0000-0000F3800000}"/>
    <cellStyle name="Normal 30 3 12 12" xfId="18458" xr:uid="{00000000-0005-0000-0000-0000F4800000}"/>
    <cellStyle name="Normal 30 3 12 12 2" xfId="35848" xr:uid="{00000000-0005-0000-0000-0000F5800000}"/>
    <cellStyle name="Normal 30 3 12 13" xfId="18459" xr:uid="{00000000-0005-0000-0000-0000F6800000}"/>
    <cellStyle name="Normal 30 3 12 13 2" xfId="35849" xr:uid="{00000000-0005-0000-0000-0000F7800000}"/>
    <cellStyle name="Normal 30 3 12 14" xfId="18460" xr:uid="{00000000-0005-0000-0000-0000F8800000}"/>
    <cellStyle name="Normal 30 3 12 14 2" xfId="35850" xr:uid="{00000000-0005-0000-0000-0000F9800000}"/>
    <cellStyle name="Normal 30 3 12 15" xfId="35845" xr:uid="{00000000-0005-0000-0000-0000FA800000}"/>
    <cellStyle name="Normal 30 3 12 2" xfId="18461" xr:uid="{00000000-0005-0000-0000-0000FB800000}"/>
    <cellStyle name="Normal 30 3 12 2 2" xfId="35851" xr:uid="{00000000-0005-0000-0000-0000FC800000}"/>
    <cellStyle name="Normal 30 3 12 3" xfId="18462" xr:uid="{00000000-0005-0000-0000-0000FD800000}"/>
    <cellStyle name="Normal 30 3 12 3 2" xfId="35852" xr:uid="{00000000-0005-0000-0000-0000FE800000}"/>
    <cellStyle name="Normal 30 3 12 4" xfId="18463" xr:uid="{00000000-0005-0000-0000-0000FF800000}"/>
    <cellStyle name="Normal 30 3 12 4 2" xfId="35853" xr:uid="{00000000-0005-0000-0000-000000810000}"/>
    <cellStyle name="Normal 30 3 12 5" xfId="18464" xr:uid="{00000000-0005-0000-0000-000001810000}"/>
    <cellStyle name="Normal 30 3 12 5 2" xfId="35854" xr:uid="{00000000-0005-0000-0000-000002810000}"/>
    <cellStyle name="Normal 30 3 12 6" xfId="18465" xr:uid="{00000000-0005-0000-0000-000003810000}"/>
    <cellStyle name="Normal 30 3 12 6 2" xfId="35855" xr:uid="{00000000-0005-0000-0000-000004810000}"/>
    <cellStyle name="Normal 30 3 12 7" xfId="18466" xr:uid="{00000000-0005-0000-0000-000005810000}"/>
    <cellStyle name="Normal 30 3 12 7 2" xfId="35856" xr:uid="{00000000-0005-0000-0000-000006810000}"/>
    <cellStyle name="Normal 30 3 12 8" xfId="18467" xr:uid="{00000000-0005-0000-0000-000007810000}"/>
    <cellStyle name="Normal 30 3 12 8 2" xfId="35857" xr:uid="{00000000-0005-0000-0000-000008810000}"/>
    <cellStyle name="Normal 30 3 12 9" xfId="18468" xr:uid="{00000000-0005-0000-0000-000009810000}"/>
    <cellStyle name="Normal 30 3 12 9 2" xfId="35858" xr:uid="{00000000-0005-0000-0000-00000A810000}"/>
    <cellStyle name="Normal 30 3 13" xfId="18469" xr:uid="{00000000-0005-0000-0000-00000B810000}"/>
    <cellStyle name="Normal 30 3 13 10" xfId="18470" xr:uid="{00000000-0005-0000-0000-00000C810000}"/>
    <cellStyle name="Normal 30 3 13 10 2" xfId="35860" xr:uid="{00000000-0005-0000-0000-00000D810000}"/>
    <cellStyle name="Normal 30 3 13 11" xfId="18471" xr:uid="{00000000-0005-0000-0000-00000E810000}"/>
    <cellStyle name="Normal 30 3 13 11 2" xfId="35861" xr:uid="{00000000-0005-0000-0000-00000F810000}"/>
    <cellStyle name="Normal 30 3 13 12" xfId="18472" xr:uid="{00000000-0005-0000-0000-000010810000}"/>
    <cellStyle name="Normal 30 3 13 12 2" xfId="35862" xr:uid="{00000000-0005-0000-0000-000011810000}"/>
    <cellStyle name="Normal 30 3 13 13" xfId="18473" xr:uid="{00000000-0005-0000-0000-000012810000}"/>
    <cellStyle name="Normal 30 3 13 13 2" xfId="35863" xr:uid="{00000000-0005-0000-0000-000013810000}"/>
    <cellStyle name="Normal 30 3 13 14" xfId="18474" xr:uid="{00000000-0005-0000-0000-000014810000}"/>
    <cellStyle name="Normal 30 3 13 14 2" xfId="35864" xr:uid="{00000000-0005-0000-0000-000015810000}"/>
    <cellStyle name="Normal 30 3 13 15" xfId="35859" xr:uid="{00000000-0005-0000-0000-000016810000}"/>
    <cellStyle name="Normal 30 3 13 2" xfId="18475" xr:uid="{00000000-0005-0000-0000-000017810000}"/>
    <cellStyle name="Normal 30 3 13 2 2" xfId="35865" xr:uid="{00000000-0005-0000-0000-000018810000}"/>
    <cellStyle name="Normal 30 3 13 3" xfId="18476" xr:uid="{00000000-0005-0000-0000-000019810000}"/>
    <cellStyle name="Normal 30 3 13 3 2" xfId="35866" xr:uid="{00000000-0005-0000-0000-00001A810000}"/>
    <cellStyle name="Normal 30 3 13 4" xfId="18477" xr:uid="{00000000-0005-0000-0000-00001B810000}"/>
    <cellStyle name="Normal 30 3 13 4 2" xfId="35867" xr:uid="{00000000-0005-0000-0000-00001C810000}"/>
    <cellStyle name="Normal 30 3 13 5" xfId="18478" xr:uid="{00000000-0005-0000-0000-00001D810000}"/>
    <cellStyle name="Normal 30 3 13 5 2" xfId="35868" xr:uid="{00000000-0005-0000-0000-00001E810000}"/>
    <cellStyle name="Normal 30 3 13 6" xfId="18479" xr:uid="{00000000-0005-0000-0000-00001F810000}"/>
    <cellStyle name="Normal 30 3 13 6 2" xfId="35869" xr:uid="{00000000-0005-0000-0000-000020810000}"/>
    <cellStyle name="Normal 30 3 13 7" xfId="18480" xr:uid="{00000000-0005-0000-0000-000021810000}"/>
    <cellStyle name="Normal 30 3 13 7 2" xfId="35870" xr:uid="{00000000-0005-0000-0000-000022810000}"/>
    <cellStyle name="Normal 30 3 13 8" xfId="18481" xr:uid="{00000000-0005-0000-0000-000023810000}"/>
    <cellStyle name="Normal 30 3 13 8 2" xfId="35871" xr:uid="{00000000-0005-0000-0000-000024810000}"/>
    <cellStyle name="Normal 30 3 13 9" xfId="18482" xr:uid="{00000000-0005-0000-0000-000025810000}"/>
    <cellStyle name="Normal 30 3 13 9 2" xfId="35872" xr:uid="{00000000-0005-0000-0000-000026810000}"/>
    <cellStyle name="Normal 30 3 14" xfId="18483" xr:uid="{00000000-0005-0000-0000-000027810000}"/>
    <cellStyle name="Normal 30 3 14 10" xfId="18484" xr:uid="{00000000-0005-0000-0000-000028810000}"/>
    <cellStyle name="Normal 30 3 14 10 2" xfId="35874" xr:uid="{00000000-0005-0000-0000-000029810000}"/>
    <cellStyle name="Normal 30 3 14 11" xfId="18485" xr:uid="{00000000-0005-0000-0000-00002A810000}"/>
    <cellStyle name="Normal 30 3 14 11 2" xfId="35875" xr:uid="{00000000-0005-0000-0000-00002B810000}"/>
    <cellStyle name="Normal 30 3 14 12" xfId="18486" xr:uid="{00000000-0005-0000-0000-00002C810000}"/>
    <cellStyle name="Normal 30 3 14 12 2" xfId="35876" xr:uid="{00000000-0005-0000-0000-00002D810000}"/>
    <cellStyle name="Normal 30 3 14 13" xfId="18487" xr:uid="{00000000-0005-0000-0000-00002E810000}"/>
    <cellStyle name="Normal 30 3 14 13 2" xfId="35877" xr:uid="{00000000-0005-0000-0000-00002F810000}"/>
    <cellStyle name="Normal 30 3 14 14" xfId="18488" xr:uid="{00000000-0005-0000-0000-000030810000}"/>
    <cellStyle name="Normal 30 3 14 14 2" xfId="35878" xr:uid="{00000000-0005-0000-0000-000031810000}"/>
    <cellStyle name="Normal 30 3 14 15" xfId="35873" xr:uid="{00000000-0005-0000-0000-000032810000}"/>
    <cellStyle name="Normal 30 3 14 2" xfId="18489" xr:uid="{00000000-0005-0000-0000-000033810000}"/>
    <cellStyle name="Normal 30 3 14 2 2" xfId="35879" xr:uid="{00000000-0005-0000-0000-000034810000}"/>
    <cellStyle name="Normal 30 3 14 3" xfId="18490" xr:uid="{00000000-0005-0000-0000-000035810000}"/>
    <cellStyle name="Normal 30 3 14 3 2" xfId="35880" xr:uid="{00000000-0005-0000-0000-000036810000}"/>
    <cellStyle name="Normal 30 3 14 4" xfId="18491" xr:uid="{00000000-0005-0000-0000-000037810000}"/>
    <cellStyle name="Normal 30 3 14 4 2" xfId="35881" xr:uid="{00000000-0005-0000-0000-000038810000}"/>
    <cellStyle name="Normal 30 3 14 5" xfId="18492" xr:uid="{00000000-0005-0000-0000-000039810000}"/>
    <cellStyle name="Normal 30 3 14 5 2" xfId="35882" xr:uid="{00000000-0005-0000-0000-00003A810000}"/>
    <cellStyle name="Normal 30 3 14 6" xfId="18493" xr:uid="{00000000-0005-0000-0000-00003B810000}"/>
    <cellStyle name="Normal 30 3 14 6 2" xfId="35883" xr:uid="{00000000-0005-0000-0000-00003C810000}"/>
    <cellStyle name="Normal 30 3 14 7" xfId="18494" xr:uid="{00000000-0005-0000-0000-00003D810000}"/>
    <cellStyle name="Normal 30 3 14 7 2" xfId="35884" xr:uid="{00000000-0005-0000-0000-00003E810000}"/>
    <cellStyle name="Normal 30 3 14 8" xfId="18495" xr:uid="{00000000-0005-0000-0000-00003F810000}"/>
    <cellStyle name="Normal 30 3 14 8 2" xfId="35885" xr:uid="{00000000-0005-0000-0000-000040810000}"/>
    <cellStyle name="Normal 30 3 14 9" xfId="18496" xr:uid="{00000000-0005-0000-0000-000041810000}"/>
    <cellStyle name="Normal 30 3 14 9 2" xfId="35886" xr:uid="{00000000-0005-0000-0000-000042810000}"/>
    <cellStyle name="Normal 30 3 15" xfId="18497" xr:uid="{00000000-0005-0000-0000-000043810000}"/>
    <cellStyle name="Normal 30 3 15 10" xfId="18498" xr:uid="{00000000-0005-0000-0000-000044810000}"/>
    <cellStyle name="Normal 30 3 15 10 2" xfId="35888" xr:uid="{00000000-0005-0000-0000-000045810000}"/>
    <cellStyle name="Normal 30 3 15 11" xfId="18499" xr:uid="{00000000-0005-0000-0000-000046810000}"/>
    <cellStyle name="Normal 30 3 15 11 2" xfId="35889" xr:uid="{00000000-0005-0000-0000-000047810000}"/>
    <cellStyle name="Normal 30 3 15 12" xfId="18500" xr:uid="{00000000-0005-0000-0000-000048810000}"/>
    <cellStyle name="Normal 30 3 15 12 2" xfId="35890" xr:uid="{00000000-0005-0000-0000-000049810000}"/>
    <cellStyle name="Normal 30 3 15 13" xfId="18501" xr:uid="{00000000-0005-0000-0000-00004A810000}"/>
    <cellStyle name="Normal 30 3 15 13 2" xfId="35891" xr:uid="{00000000-0005-0000-0000-00004B810000}"/>
    <cellStyle name="Normal 30 3 15 14" xfId="18502" xr:uid="{00000000-0005-0000-0000-00004C810000}"/>
    <cellStyle name="Normal 30 3 15 14 2" xfId="35892" xr:uid="{00000000-0005-0000-0000-00004D810000}"/>
    <cellStyle name="Normal 30 3 15 15" xfId="35887" xr:uid="{00000000-0005-0000-0000-00004E810000}"/>
    <cellStyle name="Normal 30 3 15 2" xfId="18503" xr:uid="{00000000-0005-0000-0000-00004F810000}"/>
    <cellStyle name="Normal 30 3 15 2 2" xfId="35893" xr:uid="{00000000-0005-0000-0000-000050810000}"/>
    <cellStyle name="Normal 30 3 15 3" xfId="18504" xr:uid="{00000000-0005-0000-0000-000051810000}"/>
    <cellStyle name="Normal 30 3 15 3 2" xfId="35894" xr:uid="{00000000-0005-0000-0000-000052810000}"/>
    <cellStyle name="Normal 30 3 15 4" xfId="18505" xr:uid="{00000000-0005-0000-0000-000053810000}"/>
    <cellStyle name="Normal 30 3 15 4 2" xfId="35895" xr:uid="{00000000-0005-0000-0000-000054810000}"/>
    <cellStyle name="Normal 30 3 15 5" xfId="18506" xr:uid="{00000000-0005-0000-0000-000055810000}"/>
    <cellStyle name="Normal 30 3 15 5 2" xfId="35896" xr:uid="{00000000-0005-0000-0000-000056810000}"/>
    <cellStyle name="Normal 30 3 15 6" xfId="18507" xr:uid="{00000000-0005-0000-0000-000057810000}"/>
    <cellStyle name="Normal 30 3 15 6 2" xfId="35897" xr:uid="{00000000-0005-0000-0000-000058810000}"/>
    <cellStyle name="Normal 30 3 15 7" xfId="18508" xr:uid="{00000000-0005-0000-0000-000059810000}"/>
    <cellStyle name="Normal 30 3 15 7 2" xfId="35898" xr:uid="{00000000-0005-0000-0000-00005A810000}"/>
    <cellStyle name="Normal 30 3 15 8" xfId="18509" xr:uid="{00000000-0005-0000-0000-00005B810000}"/>
    <cellStyle name="Normal 30 3 15 8 2" xfId="35899" xr:uid="{00000000-0005-0000-0000-00005C810000}"/>
    <cellStyle name="Normal 30 3 15 9" xfId="18510" xr:uid="{00000000-0005-0000-0000-00005D810000}"/>
    <cellStyle name="Normal 30 3 15 9 2" xfId="35900" xr:uid="{00000000-0005-0000-0000-00005E810000}"/>
    <cellStyle name="Normal 30 3 16" xfId="18511" xr:uid="{00000000-0005-0000-0000-00005F810000}"/>
    <cellStyle name="Normal 30 3 16 2" xfId="35901" xr:uid="{00000000-0005-0000-0000-000060810000}"/>
    <cellStyle name="Normal 30 3 17" xfId="18512" xr:uid="{00000000-0005-0000-0000-000061810000}"/>
    <cellStyle name="Normal 30 3 17 2" xfId="35902" xr:uid="{00000000-0005-0000-0000-000062810000}"/>
    <cellStyle name="Normal 30 3 18" xfId="18513" xr:uid="{00000000-0005-0000-0000-000063810000}"/>
    <cellStyle name="Normal 30 3 18 2" xfId="35903" xr:uid="{00000000-0005-0000-0000-000064810000}"/>
    <cellStyle name="Normal 30 3 19" xfId="18514" xr:uid="{00000000-0005-0000-0000-000065810000}"/>
    <cellStyle name="Normal 30 3 19 2" xfId="35904" xr:uid="{00000000-0005-0000-0000-000066810000}"/>
    <cellStyle name="Normal 30 3 2" xfId="18515" xr:uid="{00000000-0005-0000-0000-000067810000}"/>
    <cellStyle name="Normal 30 3 2 10" xfId="18516" xr:uid="{00000000-0005-0000-0000-000068810000}"/>
    <cellStyle name="Normal 30 3 2 10 2" xfId="35906" xr:uid="{00000000-0005-0000-0000-000069810000}"/>
    <cellStyle name="Normal 30 3 2 11" xfId="18517" xr:uid="{00000000-0005-0000-0000-00006A810000}"/>
    <cellStyle name="Normal 30 3 2 11 2" xfId="35907" xr:uid="{00000000-0005-0000-0000-00006B810000}"/>
    <cellStyle name="Normal 30 3 2 12" xfId="18518" xr:uid="{00000000-0005-0000-0000-00006C810000}"/>
    <cellStyle name="Normal 30 3 2 12 2" xfId="35908" xr:uid="{00000000-0005-0000-0000-00006D810000}"/>
    <cellStyle name="Normal 30 3 2 13" xfId="18519" xr:uid="{00000000-0005-0000-0000-00006E810000}"/>
    <cellStyle name="Normal 30 3 2 13 2" xfId="35909" xr:uid="{00000000-0005-0000-0000-00006F810000}"/>
    <cellStyle name="Normal 30 3 2 14" xfId="18520" xr:uid="{00000000-0005-0000-0000-000070810000}"/>
    <cellStyle name="Normal 30 3 2 14 2" xfId="35910" xr:uid="{00000000-0005-0000-0000-000071810000}"/>
    <cellStyle name="Normal 30 3 2 15" xfId="18521" xr:uid="{00000000-0005-0000-0000-000072810000}"/>
    <cellStyle name="Normal 30 3 2 15 2" xfId="35911" xr:uid="{00000000-0005-0000-0000-000073810000}"/>
    <cellStyle name="Normal 30 3 2 16" xfId="35905" xr:uid="{00000000-0005-0000-0000-000074810000}"/>
    <cellStyle name="Normal 30 3 2 2" xfId="18522" xr:uid="{00000000-0005-0000-0000-000075810000}"/>
    <cellStyle name="Normal 30 3 2 2 10" xfId="18523" xr:uid="{00000000-0005-0000-0000-000076810000}"/>
    <cellStyle name="Normal 30 3 2 2 10 2" xfId="35913" xr:uid="{00000000-0005-0000-0000-000077810000}"/>
    <cellStyle name="Normal 30 3 2 2 11" xfId="18524" xr:uid="{00000000-0005-0000-0000-000078810000}"/>
    <cellStyle name="Normal 30 3 2 2 11 2" xfId="35914" xr:uid="{00000000-0005-0000-0000-000079810000}"/>
    <cellStyle name="Normal 30 3 2 2 12" xfId="18525" xr:uid="{00000000-0005-0000-0000-00007A810000}"/>
    <cellStyle name="Normal 30 3 2 2 12 2" xfId="35915" xr:uid="{00000000-0005-0000-0000-00007B810000}"/>
    <cellStyle name="Normal 30 3 2 2 13" xfId="18526" xr:uid="{00000000-0005-0000-0000-00007C810000}"/>
    <cellStyle name="Normal 30 3 2 2 13 2" xfId="35916" xr:uid="{00000000-0005-0000-0000-00007D810000}"/>
    <cellStyle name="Normal 30 3 2 2 14" xfId="18527" xr:uid="{00000000-0005-0000-0000-00007E810000}"/>
    <cellStyle name="Normal 30 3 2 2 14 2" xfId="35917" xr:uid="{00000000-0005-0000-0000-00007F810000}"/>
    <cellStyle name="Normal 30 3 2 2 15" xfId="35912" xr:uid="{00000000-0005-0000-0000-000080810000}"/>
    <cellStyle name="Normal 30 3 2 2 2" xfId="18528" xr:uid="{00000000-0005-0000-0000-000081810000}"/>
    <cellStyle name="Normal 30 3 2 2 2 2" xfId="35918" xr:uid="{00000000-0005-0000-0000-000082810000}"/>
    <cellStyle name="Normal 30 3 2 2 3" xfId="18529" xr:uid="{00000000-0005-0000-0000-000083810000}"/>
    <cellStyle name="Normal 30 3 2 2 3 2" xfId="35919" xr:uid="{00000000-0005-0000-0000-000084810000}"/>
    <cellStyle name="Normal 30 3 2 2 4" xfId="18530" xr:uid="{00000000-0005-0000-0000-000085810000}"/>
    <cellStyle name="Normal 30 3 2 2 4 2" xfId="35920" xr:uid="{00000000-0005-0000-0000-000086810000}"/>
    <cellStyle name="Normal 30 3 2 2 5" xfId="18531" xr:uid="{00000000-0005-0000-0000-000087810000}"/>
    <cellStyle name="Normal 30 3 2 2 5 2" xfId="35921" xr:uid="{00000000-0005-0000-0000-000088810000}"/>
    <cellStyle name="Normal 30 3 2 2 6" xfId="18532" xr:uid="{00000000-0005-0000-0000-000089810000}"/>
    <cellStyle name="Normal 30 3 2 2 6 2" xfId="35922" xr:uid="{00000000-0005-0000-0000-00008A810000}"/>
    <cellStyle name="Normal 30 3 2 2 7" xfId="18533" xr:uid="{00000000-0005-0000-0000-00008B810000}"/>
    <cellStyle name="Normal 30 3 2 2 7 2" xfId="35923" xr:uid="{00000000-0005-0000-0000-00008C810000}"/>
    <cellStyle name="Normal 30 3 2 2 8" xfId="18534" xr:uid="{00000000-0005-0000-0000-00008D810000}"/>
    <cellStyle name="Normal 30 3 2 2 8 2" xfId="35924" xr:uid="{00000000-0005-0000-0000-00008E810000}"/>
    <cellStyle name="Normal 30 3 2 2 9" xfId="18535" xr:uid="{00000000-0005-0000-0000-00008F810000}"/>
    <cellStyle name="Normal 30 3 2 2 9 2" xfId="35925" xr:uid="{00000000-0005-0000-0000-000090810000}"/>
    <cellStyle name="Normal 30 3 2 3" xfId="18536" xr:uid="{00000000-0005-0000-0000-000091810000}"/>
    <cellStyle name="Normal 30 3 2 3 2" xfId="35926" xr:uid="{00000000-0005-0000-0000-000092810000}"/>
    <cellStyle name="Normal 30 3 2 4" xfId="18537" xr:uid="{00000000-0005-0000-0000-000093810000}"/>
    <cellStyle name="Normal 30 3 2 4 2" xfId="35927" xr:uid="{00000000-0005-0000-0000-000094810000}"/>
    <cellStyle name="Normal 30 3 2 5" xfId="18538" xr:uid="{00000000-0005-0000-0000-000095810000}"/>
    <cellStyle name="Normal 30 3 2 5 2" xfId="35928" xr:uid="{00000000-0005-0000-0000-000096810000}"/>
    <cellStyle name="Normal 30 3 2 6" xfId="18539" xr:uid="{00000000-0005-0000-0000-000097810000}"/>
    <cellStyle name="Normal 30 3 2 6 2" xfId="35929" xr:uid="{00000000-0005-0000-0000-000098810000}"/>
    <cellStyle name="Normal 30 3 2 7" xfId="18540" xr:uid="{00000000-0005-0000-0000-000099810000}"/>
    <cellStyle name="Normal 30 3 2 7 2" xfId="35930" xr:uid="{00000000-0005-0000-0000-00009A810000}"/>
    <cellStyle name="Normal 30 3 2 8" xfId="18541" xr:uid="{00000000-0005-0000-0000-00009B810000}"/>
    <cellStyle name="Normal 30 3 2 8 2" xfId="35931" xr:uid="{00000000-0005-0000-0000-00009C810000}"/>
    <cellStyle name="Normal 30 3 2 9" xfId="18542" xr:uid="{00000000-0005-0000-0000-00009D810000}"/>
    <cellStyle name="Normal 30 3 2 9 2" xfId="35932" xr:uid="{00000000-0005-0000-0000-00009E810000}"/>
    <cellStyle name="Normal 30 3 20" xfId="18543" xr:uid="{00000000-0005-0000-0000-00009F810000}"/>
    <cellStyle name="Normal 30 3 20 2" xfId="35933" xr:uid="{00000000-0005-0000-0000-0000A0810000}"/>
    <cellStyle name="Normal 30 3 21" xfId="18544" xr:uid="{00000000-0005-0000-0000-0000A1810000}"/>
    <cellStyle name="Normal 30 3 21 2" xfId="35934" xr:uid="{00000000-0005-0000-0000-0000A2810000}"/>
    <cellStyle name="Normal 30 3 22" xfId="18545" xr:uid="{00000000-0005-0000-0000-0000A3810000}"/>
    <cellStyle name="Normal 30 3 22 2" xfId="35935" xr:uid="{00000000-0005-0000-0000-0000A4810000}"/>
    <cellStyle name="Normal 30 3 23" xfId="18546" xr:uid="{00000000-0005-0000-0000-0000A5810000}"/>
    <cellStyle name="Normal 30 3 23 2" xfId="35936" xr:uid="{00000000-0005-0000-0000-0000A6810000}"/>
    <cellStyle name="Normal 30 3 24" xfId="18547" xr:uid="{00000000-0005-0000-0000-0000A7810000}"/>
    <cellStyle name="Normal 30 3 24 2" xfId="35937" xr:uid="{00000000-0005-0000-0000-0000A8810000}"/>
    <cellStyle name="Normal 30 3 25" xfId="18548" xr:uid="{00000000-0005-0000-0000-0000A9810000}"/>
    <cellStyle name="Normal 30 3 25 2" xfId="35938" xr:uid="{00000000-0005-0000-0000-0000AA810000}"/>
    <cellStyle name="Normal 30 3 26" xfId="18549" xr:uid="{00000000-0005-0000-0000-0000AB810000}"/>
    <cellStyle name="Normal 30 3 26 2" xfId="35939" xr:uid="{00000000-0005-0000-0000-0000AC810000}"/>
    <cellStyle name="Normal 30 3 27" xfId="18550" xr:uid="{00000000-0005-0000-0000-0000AD810000}"/>
    <cellStyle name="Normal 30 3 27 2" xfId="35940" xr:uid="{00000000-0005-0000-0000-0000AE810000}"/>
    <cellStyle name="Normal 30 3 28" xfId="18551" xr:uid="{00000000-0005-0000-0000-0000AF810000}"/>
    <cellStyle name="Normal 30 3 28 2" xfId="35941" xr:uid="{00000000-0005-0000-0000-0000B0810000}"/>
    <cellStyle name="Normal 30 3 29" xfId="35816" xr:uid="{00000000-0005-0000-0000-0000B1810000}"/>
    <cellStyle name="Normal 30 3 3" xfId="18552" xr:uid="{00000000-0005-0000-0000-0000B2810000}"/>
    <cellStyle name="Normal 30 3 3 10" xfId="18553" xr:uid="{00000000-0005-0000-0000-0000B3810000}"/>
    <cellStyle name="Normal 30 3 3 10 2" xfId="35943" xr:uid="{00000000-0005-0000-0000-0000B4810000}"/>
    <cellStyle name="Normal 30 3 3 11" xfId="18554" xr:uid="{00000000-0005-0000-0000-0000B5810000}"/>
    <cellStyle name="Normal 30 3 3 11 2" xfId="35944" xr:uid="{00000000-0005-0000-0000-0000B6810000}"/>
    <cellStyle name="Normal 30 3 3 12" xfId="18555" xr:uid="{00000000-0005-0000-0000-0000B7810000}"/>
    <cellStyle name="Normal 30 3 3 12 2" xfId="35945" xr:uid="{00000000-0005-0000-0000-0000B8810000}"/>
    <cellStyle name="Normal 30 3 3 13" xfId="18556" xr:uid="{00000000-0005-0000-0000-0000B9810000}"/>
    <cellStyle name="Normal 30 3 3 13 2" xfId="35946" xr:uid="{00000000-0005-0000-0000-0000BA810000}"/>
    <cellStyle name="Normal 30 3 3 14" xfId="18557" xr:uid="{00000000-0005-0000-0000-0000BB810000}"/>
    <cellStyle name="Normal 30 3 3 14 2" xfId="35947" xr:uid="{00000000-0005-0000-0000-0000BC810000}"/>
    <cellStyle name="Normal 30 3 3 15" xfId="18558" xr:uid="{00000000-0005-0000-0000-0000BD810000}"/>
    <cellStyle name="Normal 30 3 3 15 2" xfId="35948" xr:uid="{00000000-0005-0000-0000-0000BE810000}"/>
    <cellStyle name="Normal 30 3 3 16" xfId="35942" xr:uid="{00000000-0005-0000-0000-0000BF810000}"/>
    <cellStyle name="Normal 30 3 3 2" xfId="18559" xr:uid="{00000000-0005-0000-0000-0000C0810000}"/>
    <cellStyle name="Normal 30 3 3 2 10" xfId="18560" xr:uid="{00000000-0005-0000-0000-0000C1810000}"/>
    <cellStyle name="Normal 30 3 3 2 10 2" xfId="35950" xr:uid="{00000000-0005-0000-0000-0000C2810000}"/>
    <cellStyle name="Normal 30 3 3 2 11" xfId="18561" xr:uid="{00000000-0005-0000-0000-0000C3810000}"/>
    <cellStyle name="Normal 30 3 3 2 11 2" xfId="35951" xr:uid="{00000000-0005-0000-0000-0000C4810000}"/>
    <cellStyle name="Normal 30 3 3 2 12" xfId="18562" xr:uid="{00000000-0005-0000-0000-0000C5810000}"/>
    <cellStyle name="Normal 30 3 3 2 12 2" xfId="35952" xr:uid="{00000000-0005-0000-0000-0000C6810000}"/>
    <cellStyle name="Normal 30 3 3 2 13" xfId="18563" xr:uid="{00000000-0005-0000-0000-0000C7810000}"/>
    <cellStyle name="Normal 30 3 3 2 13 2" xfId="35953" xr:uid="{00000000-0005-0000-0000-0000C8810000}"/>
    <cellStyle name="Normal 30 3 3 2 14" xfId="18564" xr:uid="{00000000-0005-0000-0000-0000C9810000}"/>
    <cellStyle name="Normal 30 3 3 2 14 2" xfId="35954" xr:uid="{00000000-0005-0000-0000-0000CA810000}"/>
    <cellStyle name="Normal 30 3 3 2 15" xfId="35949" xr:uid="{00000000-0005-0000-0000-0000CB810000}"/>
    <cellStyle name="Normal 30 3 3 2 2" xfId="18565" xr:uid="{00000000-0005-0000-0000-0000CC810000}"/>
    <cellStyle name="Normal 30 3 3 2 2 2" xfId="35955" xr:uid="{00000000-0005-0000-0000-0000CD810000}"/>
    <cellStyle name="Normal 30 3 3 2 3" xfId="18566" xr:uid="{00000000-0005-0000-0000-0000CE810000}"/>
    <cellStyle name="Normal 30 3 3 2 3 2" xfId="35956" xr:uid="{00000000-0005-0000-0000-0000CF810000}"/>
    <cellStyle name="Normal 30 3 3 2 4" xfId="18567" xr:uid="{00000000-0005-0000-0000-0000D0810000}"/>
    <cellStyle name="Normal 30 3 3 2 4 2" xfId="35957" xr:uid="{00000000-0005-0000-0000-0000D1810000}"/>
    <cellStyle name="Normal 30 3 3 2 5" xfId="18568" xr:uid="{00000000-0005-0000-0000-0000D2810000}"/>
    <cellStyle name="Normal 30 3 3 2 5 2" xfId="35958" xr:uid="{00000000-0005-0000-0000-0000D3810000}"/>
    <cellStyle name="Normal 30 3 3 2 6" xfId="18569" xr:uid="{00000000-0005-0000-0000-0000D4810000}"/>
    <cellStyle name="Normal 30 3 3 2 6 2" xfId="35959" xr:uid="{00000000-0005-0000-0000-0000D5810000}"/>
    <cellStyle name="Normal 30 3 3 2 7" xfId="18570" xr:uid="{00000000-0005-0000-0000-0000D6810000}"/>
    <cellStyle name="Normal 30 3 3 2 7 2" xfId="35960" xr:uid="{00000000-0005-0000-0000-0000D7810000}"/>
    <cellStyle name="Normal 30 3 3 2 8" xfId="18571" xr:uid="{00000000-0005-0000-0000-0000D8810000}"/>
    <cellStyle name="Normal 30 3 3 2 8 2" xfId="35961" xr:uid="{00000000-0005-0000-0000-0000D9810000}"/>
    <cellStyle name="Normal 30 3 3 2 9" xfId="18572" xr:uid="{00000000-0005-0000-0000-0000DA810000}"/>
    <cellStyle name="Normal 30 3 3 2 9 2" xfId="35962" xr:uid="{00000000-0005-0000-0000-0000DB810000}"/>
    <cellStyle name="Normal 30 3 3 3" xfId="18573" xr:uid="{00000000-0005-0000-0000-0000DC810000}"/>
    <cellStyle name="Normal 30 3 3 3 2" xfId="35963" xr:uid="{00000000-0005-0000-0000-0000DD810000}"/>
    <cellStyle name="Normal 30 3 3 4" xfId="18574" xr:uid="{00000000-0005-0000-0000-0000DE810000}"/>
    <cellStyle name="Normal 30 3 3 4 2" xfId="35964" xr:uid="{00000000-0005-0000-0000-0000DF810000}"/>
    <cellStyle name="Normal 30 3 3 5" xfId="18575" xr:uid="{00000000-0005-0000-0000-0000E0810000}"/>
    <cellStyle name="Normal 30 3 3 5 2" xfId="35965" xr:uid="{00000000-0005-0000-0000-0000E1810000}"/>
    <cellStyle name="Normal 30 3 3 6" xfId="18576" xr:uid="{00000000-0005-0000-0000-0000E2810000}"/>
    <cellStyle name="Normal 30 3 3 6 2" xfId="35966" xr:uid="{00000000-0005-0000-0000-0000E3810000}"/>
    <cellStyle name="Normal 30 3 3 7" xfId="18577" xr:uid="{00000000-0005-0000-0000-0000E4810000}"/>
    <cellStyle name="Normal 30 3 3 7 2" xfId="35967" xr:uid="{00000000-0005-0000-0000-0000E5810000}"/>
    <cellStyle name="Normal 30 3 3 8" xfId="18578" xr:uid="{00000000-0005-0000-0000-0000E6810000}"/>
    <cellStyle name="Normal 30 3 3 8 2" xfId="35968" xr:uid="{00000000-0005-0000-0000-0000E7810000}"/>
    <cellStyle name="Normal 30 3 3 9" xfId="18579" xr:uid="{00000000-0005-0000-0000-0000E8810000}"/>
    <cellStyle name="Normal 30 3 3 9 2" xfId="35969" xr:uid="{00000000-0005-0000-0000-0000E9810000}"/>
    <cellStyle name="Normal 30 3 4" xfId="18580" xr:uid="{00000000-0005-0000-0000-0000EA810000}"/>
    <cellStyle name="Normal 30 3 4 10" xfId="18581" xr:uid="{00000000-0005-0000-0000-0000EB810000}"/>
    <cellStyle name="Normal 30 3 4 10 2" xfId="35971" xr:uid="{00000000-0005-0000-0000-0000EC810000}"/>
    <cellStyle name="Normal 30 3 4 11" xfId="18582" xr:uid="{00000000-0005-0000-0000-0000ED810000}"/>
    <cellStyle name="Normal 30 3 4 11 2" xfId="35972" xr:uid="{00000000-0005-0000-0000-0000EE810000}"/>
    <cellStyle name="Normal 30 3 4 12" xfId="18583" xr:uid="{00000000-0005-0000-0000-0000EF810000}"/>
    <cellStyle name="Normal 30 3 4 12 2" xfId="35973" xr:uid="{00000000-0005-0000-0000-0000F0810000}"/>
    <cellStyle name="Normal 30 3 4 13" xfId="18584" xr:uid="{00000000-0005-0000-0000-0000F1810000}"/>
    <cellStyle name="Normal 30 3 4 13 2" xfId="35974" xr:uid="{00000000-0005-0000-0000-0000F2810000}"/>
    <cellStyle name="Normal 30 3 4 14" xfId="18585" xr:uid="{00000000-0005-0000-0000-0000F3810000}"/>
    <cellStyle name="Normal 30 3 4 14 2" xfId="35975" xr:uid="{00000000-0005-0000-0000-0000F4810000}"/>
    <cellStyle name="Normal 30 3 4 15" xfId="18586" xr:uid="{00000000-0005-0000-0000-0000F5810000}"/>
    <cellStyle name="Normal 30 3 4 15 2" xfId="35976" xr:uid="{00000000-0005-0000-0000-0000F6810000}"/>
    <cellStyle name="Normal 30 3 4 16" xfId="35970" xr:uid="{00000000-0005-0000-0000-0000F7810000}"/>
    <cellStyle name="Normal 30 3 4 2" xfId="18587" xr:uid="{00000000-0005-0000-0000-0000F8810000}"/>
    <cellStyle name="Normal 30 3 4 2 10" xfId="18588" xr:uid="{00000000-0005-0000-0000-0000F9810000}"/>
    <cellStyle name="Normal 30 3 4 2 10 2" xfId="35978" xr:uid="{00000000-0005-0000-0000-0000FA810000}"/>
    <cellStyle name="Normal 30 3 4 2 11" xfId="18589" xr:uid="{00000000-0005-0000-0000-0000FB810000}"/>
    <cellStyle name="Normal 30 3 4 2 11 2" xfId="35979" xr:uid="{00000000-0005-0000-0000-0000FC810000}"/>
    <cellStyle name="Normal 30 3 4 2 12" xfId="18590" xr:uid="{00000000-0005-0000-0000-0000FD810000}"/>
    <cellStyle name="Normal 30 3 4 2 12 2" xfId="35980" xr:uid="{00000000-0005-0000-0000-0000FE810000}"/>
    <cellStyle name="Normal 30 3 4 2 13" xfId="18591" xr:uid="{00000000-0005-0000-0000-0000FF810000}"/>
    <cellStyle name="Normal 30 3 4 2 13 2" xfId="35981" xr:uid="{00000000-0005-0000-0000-000000820000}"/>
    <cellStyle name="Normal 30 3 4 2 14" xfId="18592" xr:uid="{00000000-0005-0000-0000-000001820000}"/>
    <cellStyle name="Normal 30 3 4 2 14 2" xfId="35982" xr:uid="{00000000-0005-0000-0000-000002820000}"/>
    <cellStyle name="Normal 30 3 4 2 15" xfId="35977" xr:uid="{00000000-0005-0000-0000-000003820000}"/>
    <cellStyle name="Normal 30 3 4 2 2" xfId="18593" xr:uid="{00000000-0005-0000-0000-000004820000}"/>
    <cellStyle name="Normal 30 3 4 2 2 2" xfId="35983" xr:uid="{00000000-0005-0000-0000-000005820000}"/>
    <cellStyle name="Normal 30 3 4 2 3" xfId="18594" xr:uid="{00000000-0005-0000-0000-000006820000}"/>
    <cellStyle name="Normal 30 3 4 2 3 2" xfId="35984" xr:uid="{00000000-0005-0000-0000-000007820000}"/>
    <cellStyle name="Normal 30 3 4 2 4" xfId="18595" xr:uid="{00000000-0005-0000-0000-000008820000}"/>
    <cellStyle name="Normal 30 3 4 2 4 2" xfId="35985" xr:uid="{00000000-0005-0000-0000-000009820000}"/>
    <cellStyle name="Normal 30 3 4 2 5" xfId="18596" xr:uid="{00000000-0005-0000-0000-00000A820000}"/>
    <cellStyle name="Normal 30 3 4 2 5 2" xfId="35986" xr:uid="{00000000-0005-0000-0000-00000B820000}"/>
    <cellStyle name="Normal 30 3 4 2 6" xfId="18597" xr:uid="{00000000-0005-0000-0000-00000C820000}"/>
    <cellStyle name="Normal 30 3 4 2 6 2" xfId="35987" xr:uid="{00000000-0005-0000-0000-00000D820000}"/>
    <cellStyle name="Normal 30 3 4 2 7" xfId="18598" xr:uid="{00000000-0005-0000-0000-00000E820000}"/>
    <cellStyle name="Normal 30 3 4 2 7 2" xfId="35988" xr:uid="{00000000-0005-0000-0000-00000F820000}"/>
    <cellStyle name="Normal 30 3 4 2 8" xfId="18599" xr:uid="{00000000-0005-0000-0000-000010820000}"/>
    <cellStyle name="Normal 30 3 4 2 8 2" xfId="35989" xr:uid="{00000000-0005-0000-0000-000011820000}"/>
    <cellStyle name="Normal 30 3 4 2 9" xfId="18600" xr:uid="{00000000-0005-0000-0000-000012820000}"/>
    <cellStyle name="Normal 30 3 4 2 9 2" xfId="35990" xr:uid="{00000000-0005-0000-0000-000013820000}"/>
    <cellStyle name="Normal 30 3 4 3" xfId="18601" xr:uid="{00000000-0005-0000-0000-000014820000}"/>
    <cellStyle name="Normal 30 3 4 3 2" xfId="35991" xr:uid="{00000000-0005-0000-0000-000015820000}"/>
    <cellStyle name="Normal 30 3 4 4" xfId="18602" xr:uid="{00000000-0005-0000-0000-000016820000}"/>
    <cellStyle name="Normal 30 3 4 4 2" xfId="35992" xr:uid="{00000000-0005-0000-0000-000017820000}"/>
    <cellStyle name="Normal 30 3 4 5" xfId="18603" xr:uid="{00000000-0005-0000-0000-000018820000}"/>
    <cellStyle name="Normal 30 3 4 5 2" xfId="35993" xr:uid="{00000000-0005-0000-0000-000019820000}"/>
    <cellStyle name="Normal 30 3 4 6" xfId="18604" xr:uid="{00000000-0005-0000-0000-00001A820000}"/>
    <cellStyle name="Normal 30 3 4 6 2" xfId="35994" xr:uid="{00000000-0005-0000-0000-00001B820000}"/>
    <cellStyle name="Normal 30 3 4 7" xfId="18605" xr:uid="{00000000-0005-0000-0000-00001C820000}"/>
    <cellStyle name="Normal 30 3 4 7 2" xfId="35995" xr:uid="{00000000-0005-0000-0000-00001D820000}"/>
    <cellStyle name="Normal 30 3 4 8" xfId="18606" xr:uid="{00000000-0005-0000-0000-00001E820000}"/>
    <cellStyle name="Normal 30 3 4 8 2" xfId="35996" xr:uid="{00000000-0005-0000-0000-00001F820000}"/>
    <cellStyle name="Normal 30 3 4 9" xfId="18607" xr:uid="{00000000-0005-0000-0000-000020820000}"/>
    <cellStyle name="Normal 30 3 4 9 2" xfId="35997" xr:uid="{00000000-0005-0000-0000-000021820000}"/>
    <cellStyle name="Normal 30 3 5" xfId="18608" xr:uid="{00000000-0005-0000-0000-000022820000}"/>
    <cellStyle name="Normal 30 3 5 10" xfId="18609" xr:uid="{00000000-0005-0000-0000-000023820000}"/>
    <cellStyle name="Normal 30 3 5 10 2" xfId="35999" xr:uid="{00000000-0005-0000-0000-000024820000}"/>
    <cellStyle name="Normal 30 3 5 11" xfId="18610" xr:uid="{00000000-0005-0000-0000-000025820000}"/>
    <cellStyle name="Normal 30 3 5 11 2" xfId="36000" xr:uid="{00000000-0005-0000-0000-000026820000}"/>
    <cellStyle name="Normal 30 3 5 12" xfId="18611" xr:uid="{00000000-0005-0000-0000-000027820000}"/>
    <cellStyle name="Normal 30 3 5 12 2" xfId="36001" xr:uid="{00000000-0005-0000-0000-000028820000}"/>
    <cellStyle name="Normal 30 3 5 13" xfId="18612" xr:uid="{00000000-0005-0000-0000-000029820000}"/>
    <cellStyle name="Normal 30 3 5 13 2" xfId="36002" xr:uid="{00000000-0005-0000-0000-00002A820000}"/>
    <cellStyle name="Normal 30 3 5 14" xfId="18613" xr:uid="{00000000-0005-0000-0000-00002B820000}"/>
    <cellStyle name="Normal 30 3 5 14 2" xfId="36003" xr:uid="{00000000-0005-0000-0000-00002C820000}"/>
    <cellStyle name="Normal 30 3 5 15" xfId="35998" xr:uid="{00000000-0005-0000-0000-00002D820000}"/>
    <cellStyle name="Normal 30 3 5 2" xfId="18614" xr:uid="{00000000-0005-0000-0000-00002E820000}"/>
    <cellStyle name="Normal 30 3 5 2 2" xfId="36004" xr:uid="{00000000-0005-0000-0000-00002F820000}"/>
    <cellStyle name="Normal 30 3 5 3" xfId="18615" xr:uid="{00000000-0005-0000-0000-000030820000}"/>
    <cellStyle name="Normal 30 3 5 3 2" xfId="36005" xr:uid="{00000000-0005-0000-0000-000031820000}"/>
    <cellStyle name="Normal 30 3 5 4" xfId="18616" xr:uid="{00000000-0005-0000-0000-000032820000}"/>
    <cellStyle name="Normal 30 3 5 4 2" xfId="36006" xr:uid="{00000000-0005-0000-0000-000033820000}"/>
    <cellStyle name="Normal 30 3 5 5" xfId="18617" xr:uid="{00000000-0005-0000-0000-000034820000}"/>
    <cellStyle name="Normal 30 3 5 5 2" xfId="36007" xr:uid="{00000000-0005-0000-0000-000035820000}"/>
    <cellStyle name="Normal 30 3 5 6" xfId="18618" xr:uid="{00000000-0005-0000-0000-000036820000}"/>
    <cellStyle name="Normal 30 3 5 6 2" xfId="36008" xr:uid="{00000000-0005-0000-0000-000037820000}"/>
    <cellStyle name="Normal 30 3 5 7" xfId="18619" xr:uid="{00000000-0005-0000-0000-000038820000}"/>
    <cellStyle name="Normal 30 3 5 7 2" xfId="36009" xr:uid="{00000000-0005-0000-0000-000039820000}"/>
    <cellStyle name="Normal 30 3 5 8" xfId="18620" xr:uid="{00000000-0005-0000-0000-00003A820000}"/>
    <cellStyle name="Normal 30 3 5 8 2" xfId="36010" xr:uid="{00000000-0005-0000-0000-00003B820000}"/>
    <cellStyle name="Normal 30 3 5 9" xfId="18621" xr:uid="{00000000-0005-0000-0000-00003C820000}"/>
    <cellStyle name="Normal 30 3 5 9 2" xfId="36011" xr:uid="{00000000-0005-0000-0000-00003D820000}"/>
    <cellStyle name="Normal 30 3 6" xfId="18622" xr:uid="{00000000-0005-0000-0000-00003E820000}"/>
    <cellStyle name="Normal 30 3 6 10" xfId="18623" xr:uid="{00000000-0005-0000-0000-00003F820000}"/>
    <cellStyle name="Normal 30 3 6 10 2" xfId="36013" xr:uid="{00000000-0005-0000-0000-000040820000}"/>
    <cellStyle name="Normal 30 3 6 11" xfId="18624" xr:uid="{00000000-0005-0000-0000-000041820000}"/>
    <cellStyle name="Normal 30 3 6 11 2" xfId="36014" xr:uid="{00000000-0005-0000-0000-000042820000}"/>
    <cellStyle name="Normal 30 3 6 12" xfId="18625" xr:uid="{00000000-0005-0000-0000-000043820000}"/>
    <cellStyle name="Normal 30 3 6 12 2" xfId="36015" xr:uid="{00000000-0005-0000-0000-000044820000}"/>
    <cellStyle name="Normal 30 3 6 13" xfId="18626" xr:uid="{00000000-0005-0000-0000-000045820000}"/>
    <cellStyle name="Normal 30 3 6 13 2" xfId="36016" xr:uid="{00000000-0005-0000-0000-000046820000}"/>
    <cellStyle name="Normal 30 3 6 14" xfId="18627" xr:uid="{00000000-0005-0000-0000-000047820000}"/>
    <cellStyle name="Normal 30 3 6 14 2" xfId="36017" xr:uid="{00000000-0005-0000-0000-000048820000}"/>
    <cellStyle name="Normal 30 3 6 15" xfId="36012" xr:uid="{00000000-0005-0000-0000-000049820000}"/>
    <cellStyle name="Normal 30 3 6 2" xfId="18628" xr:uid="{00000000-0005-0000-0000-00004A820000}"/>
    <cellStyle name="Normal 30 3 6 2 2" xfId="36018" xr:uid="{00000000-0005-0000-0000-00004B820000}"/>
    <cellStyle name="Normal 30 3 6 3" xfId="18629" xr:uid="{00000000-0005-0000-0000-00004C820000}"/>
    <cellStyle name="Normal 30 3 6 3 2" xfId="36019" xr:uid="{00000000-0005-0000-0000-00004D820000}"/>
    <cellStyle name="Normal 30 3 6 4" xfId="18630" xr:uid="{00000000-0005-0000-0000-00004E820000}"/>
    <cellStyle name="Normal 30 3 6 4 2" xfId="36020" xr:uid="{00000000-0005-0000-0000-00004F820000}"/>
    <cellStyle name="Normal 30 3 6 5" xfId="18631" xr:uid="{00000000-0005-0000-0000-000050820000}"/>
    <cellStyle name="Normal 30 3 6 5 2" xfId="36021" xr:uid="{00000000-0005-0000-0000-000051820000}"/>
    <cellStyle name="Normal 30 3 6 6" xfId="18632" xr:uid="{00000000-0005-0000-0000-000052820000}"/>
    <cellStyle name="Normal 30 3 6 6 2" xfId="36022" xr:uid="{00000000-0005-0000-0000-000053820000}"/>
    <cellStyle name="Normal 30 3 6 7" xfId="18633" xr:uid="{00000000-0005-0000-0000-000054820000}"/>
    <cellStyle name="Normal 30 3 6 7 2" xfId="36023" xr:uid="{00000000-0005-0000-0000-000055820000}"/>
    <cellStyle name="Normal 30 3 6 8" xfId="18634" xr:uid="{00000000-0005-0000-0000-000056820000}"/>
    <cellStyle name="Normal 30 3 6 8 2" xfId="36024" xr:uid="{00000000-0005-0000-0000-000057820000}"/>
    <cellStyle name="Normal 30 3 6 9" xfId="18635" xr:uid="{00000000-0005-0000-0000-000058820000}"/>
    <cellStyle name="Normal 30 3 6 9 2" xfId="36025" xr:uid="{00000000-0005-0000-0000-000059820000}"/>
    <cellStyle name="Normal 30 3 7" xfId="18636" xr:uid="{00000000-0005-0000-0000-00005A820000}"/>
    <cellStyle name="Normal 30 3 7 10" xfId="18637" xr:uid="{00000000-0005-0000-0000-00005B820000}"/>
    <cellStyle name="Normal 30 3 7 10 2" xfId="36027" xr:uid="{00000000-0005-0000-0000-00005C820000}"/>
    <cellStyle name="Normal 30 3 7 11" xfId="18638" xr:uid="{00000000-0005-0000-0000-00005D820000}"/>
    <cellStyle name="Normal 30 3 7 11 2" xfId="36028" xr:uid="{00000000-0005-0000-0000-00005E820000}"/>
    <cellStyle name="Normal 30 3 7 12" xfId="18639" xr:uid="{00000000-0005-0000-0000-00005F820000}"/>
    <cellStyle name="Normal 30 3 7 12 2" xfId="36029" xr:uid="{00000000-0005-0000-0000-000060820000}"/>
    <cellStyle name="Normal 30 3 7 13" xfId="18640" xr:uid="{00000000-0005-0000-0000-000061820000}"/>
    <cellStyle name="Normal 30 3 7 13 2" xfId="36030" xr:uid="{00000000-0005-0000-0000-000062820000}"/>
    <cellStyle name="Normal 30 3 7 14" xfId="18641" xr:uid="{00000000-0005-0000-0000-000063820000}"/>
    <cellStyle name="Normal 30 3 7 14 2" xfId="36031" xr:uid="{00000000-0005-0000-0000-000064820000}"/>
    <cellStyle name="Normal 30 3 7 15" xfId="36026" xr:uid="{00000000-0005-0000-0000-000065820000}"/>
    <cellStyle name="Normal 30 3 7 2" xfId="18642" xr:uid="{00000000-0005-0000-0000-000066820000}"/>
    <cellStyle name="Normal 30 3 7 2 2" xfId="36032" xr:uid="{00000000-0005-0000-0000-000067820000}"/>
    <cellStyle name="Normal 30 3 7 3" xfId="18643" xr:uid="{00000000-0005-0000-0000-000068820000}"/>
    <cellStyle name="Normal 30 3 7 3 2" xfId="36033" xr:uid="{00000000-0005-0000-0000-000069820000}"/>
    <cellStyle name="Normal 30 3 7 4" xfId="18644" xr:uid="{00000000-0005-0000-0000-00006A820000}"/>
    <cellStyle name="Normal 30 3 7 4 2" xfId="36034" xr:uid="{00000000-0005-0000-0000-00006B820000}"/>
    <cellStyle name="Normal 30 3 7 5" xfId="18645" xr:uid="{00000000-0005-0000-0000-00006C820000}"/>
    <cellStyle name="Normal 30 3 7 5 2" xfId="36035" xr:uid="{00000000-0005-0000-0000-00006D820000}"/>
    <cellStyle name="Normal 30 3 7 6" xfId="18646" xr:uid="{00000000-0005-0000-0000-00006E820000}"/>
    <cellStyle name="Normal 30 3 7 6 2" xfId="36036" xr:uid="{00000000-0005-0000-0000-00006F820000}"/>
    <cellStyle name="Normal 30 3 7 7" xfId="18647" xr:uid="{00000000-0005-0000-0000-000070820000}"/>
    <cellStyle name="Normal 30 3 7 7 2" xfId="36037" xr:uid="{00000000-0005-0000-0000-000071820000}"/>
    <cellStyle name="Normal 30 3 7 8" xfId="18648" xr:uid="{00000000-0005-0000-0000-000072820000}"/>
    <cellStyle name="Normal 30 3 7 8 2" xfId="36038" xr:uid="{00000000-0005-0000-0000-000073820000}"/>
    <cellStyle name="Normal 30 3 7 9" xfId="18649" xr:uid="{00000000-0005-0000-0000-000074820000}"/>
    <cellStyle name="Normal 30 3 7 9 2" xfId="36039" xr:uid="{00000000-0005-0000-0000-000075820000}"/>
    <cellStyle name="Normal 30 3 8" xfId="18650" xr:uid="{00000000-0005-0000-0000-000076820000}"/>
    <cellStyle name="Normal 30 3 8 10" xfId="18651" xr:uid="{00000000-0005-0000-0000-000077820000}"/>
    <cellStyle name="Normal 30 3 8 10 2" xfId="36041" xr:uid="{00000000-0005-0000-0000-000078820000}"/>
    <cellStyle name="Normal 30 3 8 11" xfId="18652" xr:uid="{00000000-0005-0000-0000-000079820000}"/>
    <cellStyle name="Normal 30 3 8 11 2" xfId="36042" xr:uid="{00000000-0005-0000-0000-00007A820000}"/>
    <cellStyle name="Normal 30 3 8 12" xfId="18653" xr:uid="{00000000-0005-0000-0000-00007B820000}"/>
    <cellStyle name="Normal 30 3 8 12 2" xfId="36043" xr:uid="{00000000-0005-0000-0000-00007C820000}"/>
    <cellStyle name="Normal 30 3 8 13" xfId="18654" xr:uid="{00000000-0005-0000-0000-00007D820000}"/>
    <cellStyle name="Normal 30 3 8 13 2" xfId="36044" xr:uid="{00000000-0005-0000-0000-00007E820000}"/>
    <cellStyle name="Normal 30 3 8 14" xfId="18655" xr:uid="{00000000-0005-0000-0000-00007F820000}"/>
    <cellStyle name="Normal 30 3 8 14 2" xfId="36045" xr:uid="{00000000-0005-0000-0000-000080820000}"/>
    <cellStyle name="Normal 30 3 8 15" xfId="36040" xr:uid="{00000000-0005-0000-0000-000081820000}"/>
    <cellStyle name="Normal 30 3 8 2" xfId="18656" xr:uid="{00000000-0005-0000-0000-000082820000}"/>
    <cellStyle name="Normal 30 3 8 2 2" xfId="36046" xr:uid="{00000000-0005-0000-0000-000083820000}"/>
    <cellStyle name="Normal 30 3 8 3" xfId="18657" xr:uid="{00000000-0005-0000-0000-000084820000}"/>
    <cellStyle name="Normal 30 3 8 3 2" xfId="36047" xr:uid="{00000000-0005-0000-0000-000085820000}"/>
    <cellStyle name="Normal 30 3 8 4" xfId="18658" xr:uid="{00000000-0005-0000-0000-000086820000}"/>
    <cellStyle name="Normal 30 3 8 4 2" xfId="36048" xr:uid="{00000000-0005-0000-0000-000087820000}"/>
    <cellStyle name="Normal 30 3 8 5" xfId="18659" xr:uid="{00000000-0005-0000-0000-000088820000}"/>
    <cellStyle name="Normal 30 3 8 5 2" xfId="36049" xr:uid="{00000000-0005-0000-0000-000089820000}"/>
    <cellStyle name="Normal 30 3 8 6" xfId="18660" xr:uid="{00000000-0005-0000-0000-00008A820000}"/>
    <cellStyle name="Normal 30 3 8 6 2" xfId="36050" xr:uid="{00000000-0005-0000-0000-00008B820000}"/>
    <cellStyle name="Normal 30 3 8 7" xfId="18661" xr:uid="{00000000-0005-0000-0000-00008C820000}"/>
    <cellStyle name="Normal 30 3 8 7 2" xfId="36051" xr:uid="{00000000-0005-0000-0000-00008D820000}"/>
    <cellStyle name="Normal 30 3 8 8" xfId="18662" xr:uid="{00000000-0005-0000-0000-00008E820000}"/>
    <cellStyle name="Normal 30 3 8 8 2" xfId="36052" xr:uid="{00000000-0005-0000-0000-00008F820000}"/>
    <cellStyle name="Normal 30 3 8 9" xfId="18663" xr:uid="{00000000-0005-0000-0000-000090820000}"/>
    <cellStyle name="Normal 30 3 8 9 2" xfId="36053" xr:uid="{00000000-0005-0000-0000-000091820000}"/>
    <cellStyle name="Normal 30 3 9" xfId="18664" xr:uid="{00000000-0005-0000-0000-000092820000}"/>
    <cellStyle name="Normal 30 3 9 10" xfId="18665" xr:uid="{00000000-0005-0000-0000-000093820000}"/>
    <cellStyle name="Normal 30 3 9 10 2" xfId="36055" xr:uid="{00000000-0005-0000-0000-000094820000}"/>
    <cellStyle name="Normal 30 3 9 11" xfId="18666" xr:uid="{00000000-0005-0000-0000-000095820000}"/>
    <cellStyle name="Normal 30 3 9 11 2" xfId="36056" xr:uid="{00000000-0005-0000-0000-000096820000}"/>
    <cellStyle name="Normal 30 3 9 12" xfId="18667" xr:uid="{00000000-0005-0000-0000-000097820000}"/>
    <cellStyle name="Normal 30 3 9 12 2" xfId="36057" xr:uid="{00000000-0005-0000-0000-000098820000}"/>
    <cellStyle name="Normal 30 3 9 13" xfId="18668" xr:uid="{00000000-0005-0000-0000-000099820000}"/>
    <cellStyle name="Normal 30 3 9 13 2" xfId="36058" xr:uid="{00000000-0005-0000-0000-00009A820000}"/>
    <cellStyle name="Normal 30 3 9 14" xfId="18669" xr:uid="{00000000-0005-0000-0000-00009B820000}"/>
    <cellStyle name="Normal 30 3 9 14 2" xfId="36059" xr:uid="{00000000-0005-0000-0000-00009C820000}"/>
    <cellStyle name="Normal 30 3 9 15" xfId="36054" xr:uid="{00000000-0005-0000-0000-00009D820000}"/>
    <cellStyle name="Normal 30 3 9 2" xfId="18670" xr:uid="{00000000-0005-0000-0000-00009E820000}"/>
    <cellStyle name="Normal 30 3 9 2 2" xfId="36060" xr:uid="{00000000-0005-0000-0000-00009F820000}"/>
    <cellStyle name="Normal 30 3 9 3" xfId="18671" xr:uid="{00000000-0005-0000-0000-0000A0820000}"/>
    <cellStyle name="Normal 30 3 9 3 2" xfId="36061" xr:uid="{00000000-0005-0000-0000-0000A1820000}"/>
    <cellStyle name="Normal 30 3 9 4" xfId="18672" xr:uid="{00000000-0005-0000-0000-0000A2820000}"/>
    <cellStyle name="Normal 30 3 9 4 2" xfId="36062" xr:uid="{00000000-0005-0000-0000-0000A3820000}"/>
    <cellStyle name="Normal 30 3 9 5" xfId="18673" xr:uid="{00000000-0005-0000-0000-0000A4820000}"/>
    <cellStyle name="Normal 30 3 9 5 2" xfId="36063" xr:uid="{00000000-0005-0000-0000-0000A5820000}"/>
    <cellStyle name="Normal 30 3 9 6" xfId="18674" xr:uid="{00000000-0005-0000-0000-0000A6820000}"/>
    <cellStyle name="Normal 30 3 9 6 2" xfId="36064" xr:uid="{00000000-0005-0000-0000-0000A7820000}"/>
    <cellStyle name="Normal 30 3 9 7" xfId="18675" xr:uid="{00000000-0005-0000-0000-0000A8820000}"/>
    <cellStyle name="Normal 30 3 9 7 2" xfId="36065" xr:uid="{00000000-0005-0000-0000-0000A9820000}"/>
    <cellStyle name="Normal 30 3 9 8" xfId="18676" xr:uid="{00000000-0005-0000-0000-0000AA820000}"/>
    <cellStyle name="Normal 30 3 9 8 2" xfId="36066" xr:uid="{00000000-0005-0000-0000-0000AB820000}"/>
    <cellStyle name="Normal 30 3 9 9" xfId="18677" xr:uid="{00000000-0005-0000-0000-0000AC820000}"/>
    <cellStyle name="Normal 30 3 9 9 2" xfId="36067" xr:uid="{00000000-0005-0000-0000-0000AD820000}"/>
    <cellStyle name="Normal 30 4" xfId="18678" xr:uid="{00000000-0005-0000-0000-0000AE820000}"/>
    <cellStyle name="Normal 30 5" xfId="18679" xr:uid="{00000000-0005-0000-0000-0000AF820000}"/>
    <cellStyle name="Normal 30 6" xfId="18680" xr:uid="{00000000-0005-0000-0000-0000B0820000}"/>
    <cellStyle name="Normal 30 7" xfId="18681" xr:uid="{00000000-0005-0000-0000-0000B1820000}"/>
    <cellStyle name="Normal 30 8" xfId="18682" xr:uid="{00000000-0005-0000-0000-0000B2820000}"/>
    <cellStyle name="Normal 30 8 10" xfId="18683" xr:uid="{00000000-0005-0000-0000-0000B3820000}"/>
    <cellStyle name="Normal 30 8 10 10" xfId="18684" xr:uid="{00000000-0005-0000-0000-0000B4820000}"/>
    <cellStyle name="Normal 30 8 10 10 2" xfId="36070" xr:uid="{00000000-0005-0000-0000-0000B5820000}"/>
    <cellStyle name="Normal 30 8 10 11" xfId="18685" xr:uid="{00000000-0005-0000-0000-0000B6820000}"/>
    <cellStyle name="Normal 30 8 10 11 2" xfId="36071" xr:uid="{00000000-0005-0000-0000-0000B7820000}"/>
    <cellStyle name="Normal 30 8 10 12" xfId="18686" xr:uid="{00000000-0005-0000-0000-0000B8820000}"/>
    <cellStyle name="Normal 30 8 10 12 2" xfId="36072" xr:uid="{00000000-0005-0000-0000-0000B9820000}"/>
    <cellStyle name="Normal 30 8 10 13" xfId="18687" xr:uid="{00000000-0005-0000-0000-0000BA820000}"/>
    <cellStyle name="Normal 30 8 10 13 2" xfId="36073" xr:uid="{00000000-0005-0000-0000-0000BB820000}"/>
    <cellStyle name="Normal 30 8 10 14" xfId="18688" xr:uid="{00000000-0005-0000-0000-0000BC820000}"/>
    <cellStyle name="Normal 30 8 10 14 2" xfId="36074" xr:uid="{00000000-0005-0000-0000-0000BD820000}"/>
    <cellStyle name="Normal 30 8 10 15" xfId="36069" xr:uid="{00000000-0005-0000-0000-0000BE820000}"/>
    <cellStyle name="Normal 30 8 10 2" xfId="18689" xr:uid="{00000000-0005-0000-0000-0000BF820000}"/>
    <cellStyle name="Normal 30 8 10 2 2" xfId="36075" xr:uid="{00000000-0005-0000-0000-0000C0820000}"/>
    <cellStyle name="Normal 30 8 10 3" xfId="18690" xr:uid="{00000000-0005-0000-0000-0000C1820000}"/>
    <cellStyle name="Normal 30 8 10 3 2" xfId="36076" xr:uid="{00000000-0005-0000-0000-0000C2820000}"/>
    <cellStyle name="Normal 30 8 10 4" xfId="18691" xr:uid="{00000000-0005-0000-0000-0000C3820000}"/>
    <cellStyle name="Normal 30 8 10 4 2" xfId="36077" xr:uid="{00000000-0005-0000-0000-0000C4820000}"/>
    <cellStyle name="Normal 30 8 10 5" xfId="18692" xr:uid="{00000000-0005-0000-0000-0000C5820000}"/>
    <cellStyle name="Normal 30 8 10 5 2" xfId="36078" xr:uid="{00000000-0005-0000-0000-0000C6820000}"/>
    <cellStyle name="Normal 30 8 10 6" xfId="18693" xr:uid="{00000000-0005-0000-0000-0000C7820000}"/>
    <cellStyle name="Normal 30 8 10 6 2" xfId="36079" xr:uid="{00000000-0005-0000-0000-0000C8820000}"/>
    <cellStyle name="Normal 30 8 10 7" xfId="18694" xr:uid="{00000000-0005-0000-0000-0000C9820000}"/>
    <cellStyle name="Normal 30 8 10 7 2" xfId="36080" xr:uid="{00000000-0005-0000-0000-0000CA820000}"/>
    <cellStyle name="Normal 30 8 10 8" xfId="18695" xr:uid="{00000000-0005-0000-0000-0000CB820000}"/>
    <cellStyle name="Normal 30 8 10 8 2" xfId="36081" xr:uid="{00000000-0005-0000-0000-0000CC820000}"/>
    <cellStyle name="Normal 30 8 10 9" xfId="18696" xr:uid="{00000000-0005-0000-0000-0000CD820000}"/>
    <cellStyle name="Normal 30 8 10 9 2" xfId="36082" xr:uid="{00000000-0005-0000-0000-0000CE820000}"/>
    <cellStyle name="Normal 30 8 11" xfId="18697" xr:uid="{00000000-0005-0000-0000-0000CF820000}"/>
    <cellStyle name="Normal 30 8 11 10" xfId="18698" xr:uid="{00000000-0005-0000-0000-0000D0820000}"/>
    <cellStyle name="Normal 30 8 11 10 2" xfId="36084" xr:uid="{00000000-0005-0000-0000-0000D1820000}"/>
    <cellStyle name="Normal 30 8 11 11" xfId="18699" xr:uid="{00000000-0005-0000-0000-0000D2820000}"/>
    <cellStyle name="Normal 30 8 11 11 2" xfId="36085" xr:uid="{00000000-0005-0000-0000-0000D3820000}"/>
    <cellStyle name="Normal 30 8 11 12" xfId="18700" xr:uid="{00000000-0005-0000-0000-0000D4820000}"/>
    <cellStyle name="Normal 30 8 11 12 2" xfId="36086" xr:uid="{00000000-0005-0000-0000-0000D5820000}"/>
    <cellStyle name="Normal 30 8 11 13" xfId="18701" xr:uid="{00000000-0005-0000-0000-0000D6820000}"/>
    <cellStyle name="Normal 30 8 11 13 2" xfId="36087" xr:uid="{00000000-0005-0000-0000-0000D7820000}"/>
    <cellStyle name="Normal 30 8 11 14" xfId="18702" xr:uid="{00000000-0005-0000-0000-0000D8820000}"/>
    <cellStyle name="Normal 30 8 11 14 2" xfId="36088" xr:uid="{00000000-0005-0000-0000-0000D9820000}"/>
    <cellStyle name="Normal 30 8 11 15" xfId="36083" xr:uid="{00000000-0005-0000-0000-0000DA820000}"/>
    <cellStyle name="Normal 30 8 11 2" xfId="18703" xr:uid="{00000000-0005-0000-0000-0000DB820000}"/>
    <cellStyle name="Normal 30 8 11 2 2" xfId="36089" xr:uid="{00000000-0005-0000-0000-0000DC820000}"/>
    <cellStyle name="Normal 30 8 11 3" xfId="18704" xr:uid="{00000000-0005-0000-0000-0000DD820000}"/>
    <cellStyle name="Normal 30 8 11 3 2" xfId="36090" xr:uid="{00000000-0005-0000-0000-0000DE820000}"/>
    <cellStyle name="Normal 30 8 11 4" xfId="18705" xr:uid="{00000000-0005-0000-0000-0000DF820000}"/>
    <cellStyle name="Normal 30 8 11 4 2" xfId="36091" xr:uid="{00000000-0005-0000-0000-0000E0820000}"/>
    <cellStyle name="Normal 30 8 11 5" xfId="18706" xr:uid="{00000000-0005-0000-0000-0000E1820000}"/>
    <cellStyle name="Normal 30 8 11 5 2" xfId="36092" xr:uid="{00000000-0005-0000-0000-0000E2820000}"/>
    <cellStyle name="Normal 30 8 11 6" xfId="18707" xr:uid="{00000000-0005-0000-0000-0000E3820000}"/>
    <cellStyle name="Normal 30 8 11 6 2" xfId="36093" xr:uid="{00000000-0005-0000-0000-0000E4820000}"/>
    <cellStyle name="Normal 30 8 11 7" xfId="18708" xr:uid="{00000000-0005-0000-0000-0000E5820000}"/>
    <cellStyle name="Normal 30 8 11 7 2" xfId="36094" xr:uid="{00000000-0005-0000-0000-0000E6820000}"/>
    <cellStyle name="Normal 30 8 11 8" xfId="18709" xr:uid="{00000000-0005-0000-0000-0000E7820000}"/>
    <cellStyle name="Normal 30 8 11 8 2" xfId="36095" xr:uid="{00000000-0005-0000-0000-0000E8820000}"/>
    <cellStyle name="Normal 30 8 11 9" xfId="18710" xr:uid="{00000000-0005-0000-0000-0000E9820000}"/>
    <cellStyle name="Normal 30 8 11 9 2" xfId="36096" xr:uid="{00000000-0005-0000-0000-0000EA820000}"/>
    <cellStyle name="Normal 30 8 12" xfId="18711" xr:uid="{00000000-0005-0000-0000-0000EB820000}"/>
    <cellStyle name="Normal 30 8 12 10" xfId="18712" xr:uid="{00000000-0005-0000-0000-0000EC820000}"/>
    <cellStyle name="Normal 30 8 12 10 2" xfId="36098" xr:uid="{00000000-0005-0000-0000-0000ED820000}"/>
    <cellStyle name="Normal 30 8 12 11" xfId="18713" xr:uid="{00000000-0005-0000-0000-0000EE820000}"/>
    <cellStyle name="Normal 30 8 12 11 2" xfId="36099" xr:uid="{00000000-0005-0000-0000-0000EF820000}"/>
    <cellStyle name="Normal 30 8 12 12" xfId="18714" xr:uid="{00000000-0005-0000-0000-0000F0820000}"/>
    <cellStyle name="Normal 30 8 12 12 2" xfId="36100" xr:uid="{00000000-0005-0000-0000-0000F1820000}"/>
    <cellStyle name="Normal 30 8 12 13" xfId="18715" xr:uid="{00000000-0005-0000-0000-0000F2820000}"/>
    <cellStyle name="Normal 30 8 12 13 2" xfId="36101" xr:uid="{00000000-0005-0000-0000-0000F3820000}"/>
    <cellStyle name="Normal 30 8 12 14" xfId="18716" xr:uid="{00000000-0005-0000-0000-0000F4820000}"/>
    <cellStyle name="Normal 30 8 12 14 2" xfId="36102" xr:uid="{00000000-0005-0000-0000-0000F5820000}"/>
    <cellStyle name="Normal 30 8 12 15" xfId="36097" xr:uid="{00000000-0005-0000-0000-0000F6820000}"/>
    <cellStyle name="Normal 30 8 12 2" xfId="18717" xr:uid="{00000000-0005-0000-0000-0000F7820000}"/>
    <cellStyle name="Normal 30 8 12 2 2" xfId="36103" xr:uid="{00000000-0005-0000-0000-0000F8820000}"/>
    <cellStyle name="Normal 30 8 12 3" xfId="18718" xr:uid="{00000000-0005-0000-0000-0000F9820000}"/>
    <cellStyle name="Normal 30 8 12 3 2" xfId="36104" xr:uid="{00000000-0005-0000-0000-0000FA820000}"/>
    <cellStyle name="Normal 30 8 12 4" xfId="18719" xr:uid="{00000000-0005-0000-0000-0000FB820000}"/>
    <cellStyle name="Normal 30 8 12 4 2" xfId="36105" xr:uid="{00000000-0005-0000-0000-0000FC820000}"/>
    <cellStyle name="Normal 30 8 12 5" xfId="18720" xr:uid="{00000000-0005-0000-0000-0000FD820000}"/>
    <cellStyle name="Normal 30 8 12 5 2" xfId="36106" xr:uid="{00000000-0005-0000-0000-0000FE820000}"/>
    <cellStyle name="Normal 30 8 12 6" xfId="18721" xr:uid="{00000000-0005-0000-0000-0000FF820000}"/>
    <cellStyle name="Normal 30 8 12 6 2" xfId="36107" xr:uid="{00000000-0005-0000-0000-000000830000}"/>
    <cellStyle name="Normal 30 8 12 7" xfId="18722" xr:uid="{00000000-0005-0000-0000-000001830000}"/>
    <cellStyle name="Normal 30 8 12 7 2" xfId="36108" xr:uid="{00000000-0005-0000-0000-000002830000}"/>
    <cellStyle name="Normal 30 8 12 8" xfId="18723" xr:uid="{00000000-0005-0000-0000-000003830000}"/>
    <cellStyle name="Normal 30 8 12 8 2" xfId="36109" xr:uid="{00000000-0005-0000-0000-000004830000}"/>
    <cellStyle name="Normal 30 8 12 9" xfId="18724" xr:uid="{00000000-0005-0000-0000-000005830000}"/>
    <cellStyle name="Normal 30 8 12 9 2" xfId="36110" xr:uid="{00000000-0005-0000-0000-000006830000}"/>
    <cellStyle name="Normal 30 8 13" xfId="18725" xr:uid="{00000000-0005-0000-0000-000007830000}"/>
    <cellStyle name="Normal 30 8 13 10" xfId="18726" xr:uid="{00000000-0005-0000-0000-000008830000}"/>
    <cellStyle name="Normal 30 8 13 10 2" xfId="36112" xr:uid="{00000000-0005-0000-0000-000009830000}"/>
    <cellStyle name="Normal 30 8 13 11" xfId="18727" xr:uid="{00000000-0005-0000-0000-00000A830000}"/>
    <cellStyle name="Normal 30 8 13 11 2" xfId="36113" xr:uid="{00000000-0005-0000-0000-00000B830000}"/>
    <cellStyle name="Normal 30 8 13 12" xfId="18728" xr:uid="{00000000-0005-0000-0000-00000C830000}"/>
    <cellStyle name="Normal 30 8 13 12 2" xfId="36114" xr:uid="{00000000-0005-0000-0000-00000D830000}"/>
    <cellStyle name="Normal 30 8 13 13" xfId="18729" xr:uid="{00000000-0005-0000-0000-00000E830000}"/>
    <cellStyle name="Normal 30 8 13 13 2" xfId="36115" xr:uid="{00000000-0005-0000-0000-00000F830000}"/>
    <cellStyle name="Normal 30 8 13 14" xfId="18730" xr:uid="{00000000-0005-0000-0000-000010830000}"/>
    <cellStyle name="Normal 30 8 13 14 2" xfId="36116" xr:uid="{00000000-0005-0000-0000-000011830000}"/>
    <cellStyle name="Normal 30 8 13 15" xfId="36111" xr:uid="{00000000-0005-0000-0000-000012830000}"/>
    <cellStyle name="Normal 30 8 13 2" xfId="18731" xr:uid="{00000000-0005-0000-0000-000013830000}"/>
    <cellStyle name="Normal 30 8 13 2 2" xfId="36117" xr:uid="{00000000-0005-0000-0000-000014830000}"/>
    <cellStyle name="Normal 30 8 13 3" xfId="18732" xr:uid="{00000000-0005-0000-0000-000015830000}"/>
    <cellStyle name="Normal 30 8 13 3 2" xfId="36118" xr:uid="{00000000-0005-0000-0000-000016830000}"/>
    <cellStyle name="Normal 30 8 13 4" xfId="18733" xr:uid="{00000000-0005-0000-0000-000017830000}"/>
    <cellStyle name="Normal 30 8 13 4 2" xfId="36119" xr:uid="{00000000-0005-0000-0000-000018830000}"/>
    <cellStyle name="Normal 30 8 13 5" xfId="18734" xr:uid="{00000000-0005-0000-0000-000019830000}"/>
    <cellStyle name="Normal 30 8 13 5 2" xfId="36120" xr:uid="{00000000-0005-0000-0000-00001A830000}"/>
    <cellStyle name="Normal 30 8 13 6" xfId="18735" xr:uid="{00000000-0005-0000-0000-00001B830000}"/>
    <cellStyle name="Normal 30 8 13 6 2" xfId="36121" xr:uid="{00000000-0005-0000-0000-00001C830000}"/>
    <cellStyle name="Normal 30 8 13 7" xfId="18736" xr:uid="{00000000-0005-0000-0000-00001D830000}"/>
    <cellStyle name="Normal 30 8 13 7 2" xfId="36122" xr:uid="{00000000-0005-0000-0000-00001E830000}"/>
    <cellStyle name="Normal 30 8 13 8" xfId="18737" xr:uid="{00000000-0005-0000-0000-00001F830000}"/>
    <cellStyle name="Normal 30 8 13 8 2" xfId="36123" xr:uid="{00000000-0005-0000-0000-000020830000}"/>
    <cellStyle name="Normal 30 8 13 9" xfId="18738" xr:uid="{00000000-0005-0000-0000-000021830000}"/>
    <cellStyle name="Normal 30 8 13 9 2" xfId="36124" xr:uid="{00000000-0005-0000-0000-000022830000}"/>
    <cellStyle name="Normal 30 8 14" xfId="18739" xr:uid="{00000000-0005-0000-0000-000023830000}"/>
    <cellStyle name="Normal 30 8 14 10" xfId="18740" xr:uid="{00000000-0005-0000-0000-000024830000}"/>
    <cellStyle name="Normal 30 8 14 10 2" xfId="36126" xr:uid="{00000000-0005-0000-0000-000025830000}"/>
    <cellStyle name="Normal 30 8 14 11" xfId="18741" xr:uid="{00000000-0005-0000-0000-000026830000}"/>
    <cellStyle name="Normal 30 8 14 11 2" xfId="36127" xr:uid="{00000000-0005-0000-0000-000027830000}"/>
    <cellStyle name="Normal 30 8 14 12" xfId="18742" xr:uid="{00000000-0005-0000-0000-000028830000}"/>
    <cellStyle name="Normal 30 8 14 12 2" xfId="36128" xr:uid="{00000000-0005-0000-0000-000029830000}"/>
    <cellStyle name="Normal 30 8 14 13" xfId="18743" xr:uid="{00000000-0005-0000-0000-00002A830000}"/>
    <cellStyle name="Normal 30 8 14 13 2" xfId="36129" xr:uid="{00000000-0005-0000-0000-00002B830000}"/>
    <cellStyle name="Normal 30 8 14 14" xfId="18744" xr:uid="{00000000-0005-0000-0000-00002C830000}"/>
    <cellStyle name="Normal 30 8 14 14 2" xfId="36130" xr:uid="{00000000-0005-0000-0000-00002D830000}"/>
    <cellStyle name="Normal 30 8 14 15" xfId="36125" xr:uid="{00000000-0005-0000-0000-00002E830000}"/>
    <cellStyle name="Normal 30 8 14 2" xfId="18745" xr:uid="{00000000-0005-0000-0000-00002F830000}"/>
    <cellStyle name="Normal 30 8 14 2 2" xfId="36131" xr:uid="{00000000-0005-0000-0000-000030830000}"/>
    <cellStyle name="Normal 30 8 14 3" xfId="18746" xr:uid="{00000000-0005-0000-0000-000031830000}"/>
    <cellStyle name="Normal 30 8 14 3 2" xfId="36132" xr:uid="{00000000-0005-0000-0000-000032830000}"/>
    <cellStyle name="Normal 30 8 14 4" xfId="18747" xr:uid="{00000000-0005-0000-0000-000033830000}"/>
    <cellStyle name="Normal 30 8 14 4 2" xfId="36133" xr:uid="{00000000-0005-0000-0000-000034830000}"/>
    <cellStyle name="Normal 30 8 14 5" xfId="18748" xr:uid="{00000000-0005-0000-0000-000035830000}"/>
    <cellStyle name="Normal 30 8 14 5 2" xfId="36134" xr:uid="{00000000-0005-0000-0000-000036830000}"/>
    <cellStyle name="Normal 30 8 14 6" xfId="18749" xr:uid="{00000000-0005-0000-0000-000037830000}"/>
    <cellStyle name="Normal 30 8 14 6 2" xfId="36135" xr:uid="{00000000-0005-0000-0000-000038830000}"/>
    <cellStyle name="Normal 30 8 14 7" xfId="18750" xr:uid="{00000000-0005-0000-0000-000039830000}"/>
    <cellStyle name="Normal 30 8 14 7 2" xfId="36136" xr:uid="{00000000-0005-0000-0000-00003A830000}"/>
    <cellStyle name="Normal 30 8 14 8" xfId="18751" xr:uid="{00000000-0005-0000-0000-00003B830000}"/>
    <cellStyle name="Normal 30 8 14 8 2" xfId="36137" xr:uid="{00000000-0005-0000-0000-00003C830000}"/>
    <cellStyle name="Normal 30 8 14 9" xfId="18752" xr:uid="{00000000-0005-0000-0000-00003D830000}"/>
    <cellStyle name="Normal 30 8 14 9 2" xfId="36138" xr:uid="{00000000-0005-0000-0000-00003E830000}"/>
    <cellStyle name="Normal 30 8 15" xfId="18753" xr:uid="{00000000-0005-0000-0000-00003F830000}"/>
    <cellStyle name="Normal 30 8 15 10" xfId="18754" xr:uid="{00000000-0005-0000-0000-000040830000}"/>
    <cellStyle name="Normal 30 8 15 10 2" xfId="36140" xr:uid="{00000000-0005-0000-0000-000041830000}"/>
    <cellStyle name="Normal 30 8 15 11" xfId="18755" xr:uid="{00000000-0005-0000-0000-000042830000}"/>
    <cellStyle name="Normal 30 8 15 11 2" xfId="36141" xr:uid="{00000000-0005-0000-0000-000043830000}"/>
    <cellStyle name="Normal 30 8 15 12" xfId="18756" xr:uid="{00000000-0005-0000-0000-000044830000}"/>
    <cellStyle name="Normal 30 8 15 12 2" xfId="36142" xr:uid="{00000000-0005-0000-0000-000045830000}"/>
    <cellStyle name="Normal 30 8 15 13" xfId="18757" xr:uid="{00000000-0005-0000-0000-000046830000}"/>
    <cellStyle name="Normal 30 8 15 13 2" xfId="36143" xr:uid="{00000000-0005-0000-0000-000047830000}"/>
    <cellStyle name="Normal 30 8 15 14" xfId="18758" xr:uid="{00000000-0005-0000-0000-000048830000}"/>
    <cellStyle name="Normal 30 8 15 14 2" xfId="36144" xr:uid="{00000000-0005-0000-0000-000049830000}"/>
    <cellStyle name="Normal 30 8 15 15" xfId="36139" xr:uid="{00000000-0005-0000-0000-00004A830000}"/>
    <cellStyle name="Normal 30 8 15 2" xfId="18759" xr:uid="{00000000-0005-0000-0000-00004B830000}"/>
    <cellStyle name="Normal 30 8 15 2 2" xfId="36145" xr:uid="{00000000-0005-0000-0000-00004C830000}"/>
    <cellStyle name="Normal 30 8 15 3" xfId="18760" xr:uid="{00000000-0005-0000-0000-00004D830000}"/>
    <cellStyle name="Normal 30 8 15 3 2" xfId="36146" xr:uid="{00000000-0005-0000-0000-00004E830000}"/>
    <cellStyle name="Normal 30 8 15 4" xfId="18761" xr:uid="{00000000-0005-0000-0000-00004F830000}"/>
    <cellStyle name="Normal 30 8 15 4 2" xfId="36147" xr:uid="{00000000-0005-0000-0000-000050830000}"/>
    <cellStyle name="Normal 30 8 15 5" xfId="18762" xr:uid="{00000000-0005-0000-0000-000051830000}"/>
    <cellStyle name="Normal 30 8 15 5 2" xfId="36148" xr:uid="{00000000-0005-0000-0000-000052830000}"/>
    <cellStyle name="Normal 30 8 15 6" xfId="18763" xr:uid="{00000000-0005-0000-0000-000053830000}"/>
    <cellStyle name="Normal 30 8 15 6 2" xfId="36149" xr:uid="{00000000-0005-0000-0000-000054830000}"/>
    <cellStyle name="Normal 30 8 15 7" xfId="18764" xr:uid="{00000000-0005-0000-0000-000055830000}"/>
    <cellStyle name="Normal 30 8 15 7 2" xfId="36150" xr:uid="{00000000-0005-0000-0000-000056830000}"/>
    <cellStyle name="Normal 30 8 15 8" xfId="18765" xr:uid="{00000000-0005-0000-0000-000057830000}"/>
    <cellStyle name="Normal 30 8 15 8 2" xfId="36151" xr:uid="{00000000-0005-0000-0000-000058830000}"/>
    <cellStyle name="Normal 30 8 15 9" xfId="18766" xr:uid="{00000000-0005-0000-0000-000059830000}"/>
    <cellStyle name="Normal 30 8 15 9 2" xfId="36152" xr:uid="{00000000-0005-0000-0000-00005A830000}"/>
    <cellStyle name="Normal 30 8 16" xfId="18767" xr:uid="{00000000-0005-0000-0000-00005B830000}"/>
    <cellStyle name="Normal 30 8 16 2" xfId="36153" xr:uid="{00000000-0005-0000-0000-00005C830000}"/>
    <cellStyle name="Normal 30 8 17" xfId="18768" xr:uid="{00000000-0005-0000-0000-00005D830000}"/>
    <cellStyle name="Normal 30 8 17 2" xfId="36154" xr:uid="{00000000-0005-0000-0000-00005E830000}"/>
    <cellStyle name="Normal 30 8 18" xfId="18769" xr:uid="{00000000-0005-0000-0000-00005F830000}"/>
    <cellStyle name="Normal 30 8 18 2" xfId="36155" xr:uid="{00000000-0005-0000-0000-000060830000}"/>
    <cellStyle name="Normal 30 8 19" xfId="18770" xr:uid="{00000000-0005-0000-0000-000061830000}"/>
    <cellStyle name="Normal 30 8 19 2" xfId="36156" xr:uid="{00000000-0005-0000-0000-000062830000}"/>
    <cellStyle name="Normal 30 8 2" xfId="18771" xr:uid="{00000000-0005-0000-0000-000063830000}"/>
    <cellStyle name="Normal 30 8 2 10" xfId="18772" xr:uid="{00000000-0005-0000-0000-000064830000}"/>
    <cellStyle name="Normal 30 8 2 10 2" xfId="36158" xr:uid="{00000000-0005-0000-0000-000065830000}"/>
    <cellStyle name="Normal 30 8 2 11" xfId="18773" xr:uid="{00000000-0005-0000-0000-000066830000}"/>
    <cellStyle name="Normal 30 8 2 11 2" xfId="36159" xr:uid="{00000000-0005-0000-0000-000067830000}"/>
    <cellStyle name="Normal 30 8 2 12" xfId="18774" xr:uid="{00000000-0005-0000-0000-000068830000}"/>
    <cellStyle name="Normal 30 8 2 12 2" xfId="36160" xr:uid="{00000000-0005-0000-0000-000069830000}"/>
    <cellStyle name="Normal 30 8 2 13" xfId="18775" xr:uid="{00000000-0005-0000-0000-00006A830000}"/>
    <cellStyle name="Normal 30 8 2 13 2" xfId="36161" xr:uid="{00000000-0005-0000-0000-00006B830000}"/>
    <cellStyle name="Normal 30 8 2 14" xfId="18776" xr:uid="{00000000-0005-0000-0000-00006C830000}"/>
    <cellStyle name="Normal 30 8 2 14 2" xfId="36162" xr:uid="{00000000-0005-0000-0000-00006D830000}"/>
    <cellStyle name="Normal 30 8 2 15" xfId="18777" xr:uid="{00000000-0005-0000-0000-00006E830000}"/>
    <cellStyle name="Normal 30 8 2 15 2" xfId="36163" xr:uid="{00000000-0005-0000-0000-00006F830000}"/>
    <cellStyle name="Normal 30 8 2 16" xfId="36157" xr:uid="{00000000-0005-0000-0000-000070830000}"/>
    <cellStyle name="Normal 30 8 2 2" xfId="18778" xr:uid="{00000000-0005-0000-0000-000071830000}"/>
    <cellStyle name="Normal 30 8 2 2 10" xfId="18779" xr:uid="{00000000-0005-0000-0000-000072830000}"/>
    <cellStyle name="Normal 30 8 2 2 10 2" xfId="36165" xr:uid="{00000000-0005-0000-0000-000073830000}"/>
    <cellStyle name="Normal 30 8 2 2 11" xfId="18780" xr:uid="{00000000-0005-0000-0000-000074830000}"/>
    <cellStyle name="Normal 30 8 2 2 11 2" xfId="36166" xr:uid="{00000000-0005-0000-0000-000075830000}"/>
    <cellStyle name="Normal 30 8 2 2 12" xfId="18781" xr:uid="{00000000-0005-0000-0000-000076830000}"/>
    <cellStyle name="Normal 30 8 2 2 12 2" xfId="36167" xr:uid="{00000000-0005-0000-0000-000077830000}"/>
    <cellStyle name="Normal 30 8 2 2 13" xfId="18782" xr:uid="{00000000-0005-0000-0000-000078830000}"/>
    <cellStyle name="Normal 30 8 2 2 13 2" xfId="36168" xr:uid="{00000000-0005-0000-0000-000079830000}"/>
    <cellStyle name="Normal 30 8 2 2 14" xfId="18783" xr:uid="{00000000-0005-0000-0000-00007A830000}"/>
    <cellStyle name="Normal 30 8 2 2 14 2" xfId="36169" xr:uid="{00000000-0005-0000-0000-00007B830000}"/>
    <cellStyle name="Normal 30 8 2 2 15" xfId="36164" xr:uid="{00000000-0005-0000-0000-00007C830000}"/>
    <cellStyle name="Normal 30 8 2 2 2" xfId="18784" xr:uid="{00000000-0005-0000-0000-00007D830000}"/>
    <cellStyle name="Normal 30 8 2 2 2 2" xfId="36170" xr:uid="{00000000-0005-0000-0000-00007E830000}"/>
    <cellStyle name="Normal 30 8 2 2 3" xfId="18785" xr:uid="{00000000-0005-0000-0000-00007F830000}"/>
    <cellStyle name="Normal 30 8 2 2 3 2" xfId="36171" xr:uid="{00000000-0005-0000-0000-000080830000}"/>
    <cellStyle name="Normal 30 8 2 2 4" xfId="18786" xr:uid="{00000000-0005-0000-0000-000081830000}"/>
    <cellStyle name="Normal 30 8 2 2 4 2" xfId="36172" xr:uid="{00000000-0005-0000-0000-000082830000}"/>
    <cellStyle name="Normal 30 8 2 2 5" xfId="18787" xr:uid="{00000000-0005-0000-0000-000083830000}"/>
    <cellStyle name="Normal 30 8 2 2 5 2" xfId="36173" xr:uid="{00000000-0005-0000-0000-000084830000}"/>
    <cellStyle name="Normal 30 8 2 2 6" xfId="18788" xr:uid="{00000000-0005-0000-0000-000085830000}"/>
    <cellStyle name="Normal 30 8 2 2 6 2" xfId="36174" xr:uid="{00000000-0005-0000-0000-000086830000}"/>
    <cellStyle name="Normal 30 8 2 2 7" xfId="18789" xr:uid="{00000000-0005-0000-0000-000087830000}"/>
    <cellStyle name="Normal 30 8 2 2 7 2" xfId="36175" xr:uid="{00000000-0005-0000-0000-000088830000}"/>
    <cellStyle name="Normal 30 8 2 2 8" xfId="18790" xr:uid="{00000000-0005-0000-0000-000089830000}"/>
    <cellStyle name="Normal 30 8 2 2 8 2" xfId="36176" xr:uid="{00000000-0005-0000-0000-00008A830000}"/>
    <cellStyle name="Normal 30 8 2 2 9" xfId="18791" xr:uid="{00000000-0005-0000-0000-00008B830000}"/>
    <cellStyle name="Normal 30 8 2 2 9 2" xfId="36177" xr:uid="{00000000-0005-0000-0000-00008C830000}"/>
    <cellStyle name="Normal 30 8 2 3" xfId="18792" xr:uid="{00000000-0005-0000-0000-00008D830000}"/>
    <cellStyle name="Normal 30 8 2 3 2" xfId="36178" xr:uid="{00000000-0005-0000-0000-00008E830000}"/>
    <cellStyle name="Normal 30 8 2 4" xfId="18793" xr:uid="{00000000-0005-0000-0000-00008F830000}"/>
    <cellStyle name="Normal 30 8 2 4 2" xfId="36179" xr:uid="{00000000-0005-0000-0000-000090830000}"/>
    <cellStyle name="Normal 30 8 2 5" xfId="18794" xr:uid="{00000000-0005-0000-0000-000091830000}"/>
    <cellStyle name="Normal 30 8 2 5 2" xfId="36180" xr:uid="{00000000-0005-0000-0000-000092830000}"/>
    <cellStyle name="Normal 30 8 2 6" xfId="18795" xr:uid="{00000000-0005-0000-0000-000093830000}"/>
    <cellStyle name="Normal 30 8 2 6 2" xfId="36181" xr:uid="{00000000-0005-0000-0000-000094830000}"/>
    <cellStyle name="Normal 30 8 2 7" xfId="18796" xr:uid="{00000000-0005-0000-0000-000095830000}"/>
    <cellStyle name="Normal 30 8 2 7 2" xfId="36182" xr:uid="{00000000-0005-0000-0000-000096830000}"/>
    <cellStyle name="Normal 30 8 2 8" xfId="18797" xr:uid="{00000000-0005-0000-0000-000097830000}"/>
    <cellStyle name="Normal 30 8 2 8 2" xfId="36183" xr:uid="{00000000-0005-0000-0000-000098830000}"/>
    <cellStyle name="Normal 30 8 2 9" xfId="18798" xr:uid="{00000000-0005-0000-0000-000099830000}"/>
    <cellStyle name="Normal 30 8 2 9 2" xfId="36184" xr:uid="{00000000-0005-0000-0000-00009A830000}"/>
    <cellStyle name="Normal 30 8 20" xfId="18799" xr:uid="{00000000-0005-0000-0000-00009B830000}"/>
    <cellStyle name="Normal 30 8 20 2" xfId="36185" xr:uid="{00000000-0005-0000-0000-00009C830000}"/>
    <cellStyle name="Normal 30 8 21" xfId="18800" xr:uid="{00000000-0005-0000-0000-00009D830000}"/>
    <cellStyle name="Normal 30 8 21 2" xfId="36186" xr:uid="{00000000-0005-0000-0000-00009E830000}"/>
    <cellStyle name="Normal 30 8 22" xfId="18801" xr:uid="{00000000-0005-0000-0000-00009F830000}"/>
    <cellStyle name="Normal 30 8 22 2" xfId="36187" xr:uid="{00000000-0005-0000-0000-0000A0830000}"/>
    <cellStyle name="Normal 30 8 23" xfId="18802" xr:uid="{00000000-0005-0000-0000-0000A1830000}"/>
    <cellStyle name="Normal 30 8 23 2" xfId="36188" xr:uid="{00000000-0005-0000-0000-0000A2830000}"/>
    <cellStyle name="Normal 30 8 24" xfId="18803" xr:uid="{00000000-0005-0000-0000-0000A3830000}"/>
    <cellStyle name="Normal 30 8 24 2" xfId="36189" xr:uid="{00000000-0005-0000-0000-0000A4830000}"/>
    <cellStyle name="Normal 30 8 25" xfId="18804" xr:uid="{00000000-0005-0000-0000-0000A5830000}"/>
    <cellStyle name="Normal 30 8 25 2" xfId="36190" xr:uid="{00000000-0005-0000-0000-0000A6830000}"/>
    <cellStyle name="Normal 30 8 26" xfId="18805" xr:uid="{00000000-0005-0000-0000-0000A7830000}"/>
    <cellStyle name="Normal 30 8 26 2" xfId="36191" xr:uid="{00000000-0005-0000-0000-0000A8830000}"/>
    <cellStyle name="Normal 30 8 27" xfId="18806" xr:uid="{00000000-0005-0000-0000-0000A9830000}"/>
    <cellStyle name="Normal 30 8 27 2" xfId="36192" xr:uid="{00000000-0005-0000-0000-0000AA830000}"/>
    <cellStyle name="Normal 30 8 28" xfId="18807" xr:uid="{00000000-0005-0000-0000-0000AB830000}"/>
    <cellStyle name="Normal 30 8 28 2" xfId="36193" xr:uid="{00000000-0005-0000-0000-0000AC830000}"/>
    <cellStyle name="Normal 30 8 29" xfId="36068" xr:uid="{00000000-0005-0000-0000-0000AD830000}"/>
    <cellStyle name="Normal 30 8 3" xfId="18808" xr:uid="{00000000-0005-0000-0000-0000AE830000}"/>
    <cellStyle name="Normal 30 8 3 10" xfId="18809" xr:uid="{00000000-0005-0000-0000-0000AF830000}"/>
    <cellStyle name="Normal 30 8 3 10 2" xfId="36195" xr:uid="{00000000-0005-0000-0000-0000B0830000}"/>
    <cellStyle name="Normal 30 8 3 11" xfId="18810" xr:uid="{00000000-0005-0000-0000-0000B1830000}"/>
    <cellStyle name="Normal 30 8 3 11 2" xfId="36196" xr:uid="{00000000-0005-0000-0000-0000B2830000}"/>
    <cellStyle name="Normal 30 8 3 12" xfId="18811" xr:uid="{00000000-0005-0000-0000-0000B3830000}"/>
    <cellStyle name="Normal 30 8 3 12 2" xfId="36197" xr:uid="{00000000-0005-0000-0000-0000B4830000}"/>
    <cellStyle name="Normal 30 8 3 13" xfId="18812" xr:uid="{00000000-0005-0000-0000-0000B5830000}"/>
    <cellStyle name="Normal 30 8 3 13 2" xfId="36198" xr:uid="{00000000-0005-0000-0000-0000B6830000}"/>
    <cellStyle name="Normal 30 8 3 14" xfId="18813" xr:uid="{00000000-0005-0000-0000-0000B7830000}"/>
    <cellStyle name="Normal 30 8 3 14 2" xfId="36199" xr:uid="{00000000-0005-0000-0000-0000B8830000}"/>
    <cellStyle name="Normal 30 8 3 15" xfId="18814" xr:uid="{00000000-0005-0000-0000-0000B9830000}"/>
    <cellStyle name="Normal 30 8 3 15 2" xfId="36200" xr:uid="{00000000-0005-0000-0000-0000BA830000}"/>
    <cellStyle name="Normal 30 8 3 16" xfId="36194" xr:uid="{00000000-0005-0000-0000-0000BB830000}"/>
    <cellStyle name="Normal 30 8 3 2" xfId="18815" xr:uid="{00000000-0005-0000-0000-0000BC830000}"/>
    <cellStyle name="Normal 30 8 3 2 10" xfId="18816" xr:uid="{00000000-0005-0000-0000-0000BD830000}"/>
    <cellStyle name="Normal 30 8 3 2 10 2" xfId="36202" xr:uid="{00000000-0005-0000-0000-0000BE830000}"/>
    <cellStyle name="Normal 30 8 3 2 11" xfId="18817" xr:uid="{00000000-0005-0000-0000-0000BF830000}"/>
    <cellStyle name="Normal 30 8 3 2 11 2" xfId="36203" xr:uid="{00000000-0005-0000-0000-0000C0830000}"/>
    <cellStyle name="Normal 30 8 3 2 12" xfId="18818" xr:uid="{00000000-0005-0000-0000-0000C1830000}"/>
    <cellStyle name="Normal 30 8 3 2 12 2" xfId="36204" xr:uid="{00000000-0005-0000-0000-0000C2830000}"/>
    <cellStyle name="Normal 30 8 3 2 13" xfId="18819" xr:uid="{00000000-0005-0000-0000-0000C3830000}"/>
    <cellStyle name="Normal 30 8 3 2 13 2" xfId="36205" xr:uid="{00000000-0005-0000-0000-0000C4830000}"/>
    <cellStyle name="Normal 30 8 3 2 14" xfId="18820" xr:uid="{00000000-0005-0000-0000-0000C5830000}"/>
    <cellStyle name="Normal 30 8 3 2 14 2" xfId="36206" xr:uid="{00000000-0005-0000-0000-0000C6830000}"/>
    <cellStyle name="Normal 30 8 3 2 15" xfId="36201" xr:uid="{00000000-0005-0000-0000-0000C7830000}"/>
    <cellStyle name="Normal 30 8 3 2 2" xfId="18821" xr:uid="{00000000-0005-0000-0000-0000C8830000}"/>
    <cellStyle name="Normal 30 8 3 2 2 2" xfId="36207" xr:uid="{00000000-0005-0000-0000-0000C9830000}"/>
    <cellStyle name="Normal 30 8 3 2 3" xfId="18822" xr:uid="{00000000-0005-0000-0000-0000CA830000}"/>
    <cellStyle name="Normal 30 8 3 2 3 2" xfId="36208" xr:uid="{00000000-0005-0000-0000-0000CB830000}"/>
    <cellStyle name="Normal 30 8 3 2 4" xfId="18823" xr:uid="{00000000-0005-0000-0000-0000CC830000}"/>
    <cellStyle name="Normal 30 8 3 2 4 2" xfId="36209" xr:uid="{00000000-0005-0000-0000-0000CD830000}"/>
    <cellStyle name="Normal 30 8 3 2 5" xfId="18824" xr:uid="{00000000-0005-0000-0000-0000CE830000}"/>
    <cellStyle name="Normal 30 8 3 2 5 2" xfId="36210" xr:uid="{00000000-0005-0000-0000-0000CF830000}"/>
    <cellStyle name="Normal 30 8 3 2 6" xfId="18825" xr:uid="{00000000-0005-0000-0000-0000D0830000}"/>
    <cellStyle name="Normal 30 8 3 2 6 2" xfId="36211" xr:uid="{00000000-0005-0000-0000-0000D1830000}"/>
    <cellStyle name="Normal 30 8 3 2 7" xfId="18826" xr:uid="{00000000-0005-0000-0000-0000D2830000}"/>
    <cellStyle name="Normal 30 8 3 2 7 2" xfId="36212" xr:uid="{00000000-0005-0000-0000-0000D3830000}"/>
    <cellStyle name="Normal 30 8 3 2 8" xfId="18827" xr:uid="{00000000-0005-0000-0000-0000D4830000}"/>
    <cellStyle name="Normal 30 8 3 2 8 2" xfId="36213" xr:uid="{00000000-0005-0000-0000-0000D5830000}"/>
    <cellStyle name="Normal 30 8 3 2 9" xfId="18828" xr:uid="{00000000-0005-0000-0000-0000D6830000}"/>
    <cellStyle name="Normal 30 8 3 2 9 2" xfId="36214" xr:uid="{00000000-0005-0000-0000-0000D7830000}"/>
    <cellStyle name="Normal 30 8 3 3" xfId="18829" xr:uid="{00000000-0005-0000-0000-0000D8830000}"/>
    <cellStyle name="Normal 30 8 3 3 2" xfId="36215" xr:uid="{00000000-0005-0000-0000-0000D9830000}"/>
    <cellStyle name="Normal 30 8 3 4" xfId="18830" xr:uid="{00000000-0005-0000-0000-0000DA830000}"/>
    <cellStyle name="Normal 30 8 3 4 2" xfId="36216" xr:uid="{00000000-0005-0000-0000-0000DB830000}"/>
    <cellStyle name="Normal 30 8 3 5" xfId="18831" xr:uid="{00000000-0005-0000-0000-0000DC830000}"/>
    <cellStyle name="Normal 30 8 3 5 2" xfId="36217" xr:uid="{00000000-0005-0000-0000-0000DD830000}"/>
    <cellStyle name="Normal 30 8 3 6" xfId="18832" xr:uid="{00000000-0005-0000-0000-0000DE830000}"/>
    <cellStyle name="Normal 30 8 3 6 2" xfId="36218" xr:uid="{00000000-0005-0000-0000-0000DF830000}"/>
    <cellStyle name="Normal 30 8 3 7" xfId="18833" xr:uid="{00000000-0005-0000-0000-0000E0830000}"/>
    <cellStyle name="Normal 30 8 3 7 2" xfId="36219" xr:uid="{00000000-0005-0000-0000-0000E1830000}"/>
    <cellStyle name="Normal 30 8 3 8" xfId="18834" xr:uid="{00000000-0005-0000-0000-0000E2830000}"/>
    <cellStyle name="Normal 30 8 3 8 2" xfId="36220" xr:uid="{00000000-0005-0000-0000-0000E3830000}"/>
    <cellStyle name="Normal 30 8 3 9" xfId="18835" xr:uid="{00000000-0005-0000-0000-0000E4830000}"/>
    <cellStyle name="Normal 30 8 3 9 2" xfId="36221" xr:uid="{00000000-0005-0000-0000-0000E5830000}"/>
    <cellStyle name="Normal 30 8 4" xfId="18836" xr:uid="{00000000-0005-0000-0000-0000E6830000}"/>
    <cellStyle name="Normal 30 8 4 10" xfId="18837" xr:uid="{00000000-0005-0000-0000-0000E7830000}"/>
    <cellStyle name="Normal 30 8 4 10 2" xfId="36223" xr:uid="{00000000-0005-0000-0000-0000E8830000}"/>
    <cellStyle name="Normal 30 8 4 11" xfId="18838" xr:uid="{00000000-0005-0000-0000-0000E9830000}"/>
    <cellStyle name="Normal 30 8 4 11 2" xfId="36224" xr:uid="{00000000-0005-0000-0000-0000EA830000}"/>
    <cellStyle name="Normal 30 8 4 12" xfId="18839" xr:uid="{00000000-0005-0000-0000-0000EB830000}"/>
    <cellStyle name="Normal 30 8 4 12 2" xfId="36225" xr:uid="{00000000-0005-0000-0000-0000EC830000}"/>
    <cellStyle name="Normal 30 8 4 13" xfId="18840" xr:uid="{00000000-0005-0000-0000-0000ED830000}"/>
    <cellStyle name="Normal 30 8 4 13 2" xfId="36226" xr:uid="{00000000-0005-0000-0000-0000EE830000}"/>
    <cellStyle name="Normal 30 8 4 14" xfId="18841" xr:uid="{00000000-0005-0000-0000-0000EF830000}"/>
    <cellStyle name="Normal 30 8 4 14 2" xfId="36227" xr:uid="{00000000-0005-0000-0000-0000F0830000}"/>
    <cellStyle name="Normal 30 8 4 15" xfId="18842" xr:uid="{00000000-0005-0000-0000-0000F1830000}"/>
    <cellStyle name="Normal 30 8 4 15 2" xfId="36228" xr:uid="{00000000-0005-0000-0000-0000F2830000}"/>
    <cellStyle name="Normal 30 8 4 16" xfId="36222" xr:uid="{00000000-0005-0000-0000-0000F3830000}"/>
    <cellStyle name="Normal 30 8 4 2" xfId="18843" xr:uid="{00000000-0005-0000-0000-0000F4830000}"/>
    <cellStyle name="Normal 30 8 4 2 10" xfId="18844" xr:uid="{00000000-0005-0000-0000-0000F5830000}"/>
    <cellStyle name="Normal 30 8 4 2 10 2" xfId="36230" xr:uid="{00000000-0005-0000-0000-0000F6830000}"/>
    <cellStyle name="Normal 30 8 4 2 11" xfId="18845" xr:uid="{00000000-0005-0000-0000-0000F7830000}"/>
    <cellStyle name="Normal 30 8 4 2 11 2" xfId="36231" xr:uid="{00000000-0005-0000-0000-0000F8830000}"/>
    <cellStyle name="Normal 30 8 4 2 12" xfId="18846" xr:uid="{00000000-0005-0000-0000-0000F9830000}"/>
    <cellStyle name="Normal 30 8 4 2 12 2" xfId="36232" xr:uid="{00000000-0005-0000-0000-0000FA830000}"/>
    <cellStyle name="Normal 30 8 4 2 13" xfId="18847" xr:uid="{00000000-0005-0000-0000-0000FB830000}"/>
    <cellStyle name="Normal 30 8 4 2 13 2" xfId="36233" xr:uid="{00000000-0005-0000-0000-0000FC830000}"/>
    <cellStyle name="Normal 30 8 4 2 14" xfId="18848" xr:uid="{00000000-0005-0000-0000-0000FD830000}"/>
    <cellStyle name="Normal 30 8 4 2 14 2" xfId="36234" xr:uid="{00000000-0005-0000-0000-0000FE830000}"/>
    <cellStyle name="Normal 30 8 4 2 15" xfId="36229" xr:uid="{00000000-0005-0000-0000-0000FF830000}"/>
    <cellStyle name="Normal 30 8 4 2 2" xfId="18849" xr:uid="{00000000-0005-0000-0000-000000840000}"/>
    <cellStyle name="Normal 30 8 4 2 2 2" xfId="36235" xr:uid="{00000000-0005-0000-0000-000001840000}"/>
    <cellStyle name="Normal 30 8 4 2 3" xfId="18850" xr:uid="{00000000-0005-0000-0000-000002840000}"/>
    <cellStyle name="Normal 30 8 4 2 3 2" xfId="36236" xr:uid="{00000000-0005-0000-0000-000003840000}"/>
    <cellStyle name="Normal 30 8 4 2 4" xfId="18851" xr:uid="{00000000-0005-0000-0000-000004840000}"/>
    <cellStyle name="Normal 30 8 4 2 4 2" xfId="36237" xr:uid="{00000000-0005-0000-0000-000005840000}"/>
    <cellStyle name="Normal 30 8 4 2 5" xfId="18852" xr:uid="{00000000-0005-0000-0000-000006840000}"/>
    <cellStyle name="Normal 30 8 4 2 5 2" xfId="36238" xr:uid="{00000000-0005-0000-0000-000007840000}"/>
    <cellStyle name="Normal 30 8 4 2 6" xfId="18853" xr:uid="{00000000-0005-0000-0000-000008840000}"/>
    <cellStyle name="Normal 30 8 4 2 6 2" xfId="36239" xr:uid="{00000000-0005-0000-0000-000009840000}"/>
    <cellStyle name="Normal 30 8 4 2 7" xfId="18854" xr:uid="{00000000-0005-0000-0000-00000A840000}"/>
    <cellStyle name="Normal 30 8 4 2 7 2" xfId="36240" xr:uid="{00000000-0005-0000-0000-00000B840000}"/>
    <cellStyle name="Normal 30 8 4 2 8" xfId="18855" xr:uid="{00000000-0005-0000-0000-00000C840000}"/>
    <cellStyle name="Normal 30 8 4 2 8 2" xfId="36241" xr:uid="{00000000-0005-0000-0000-00000D840000}"/>
    <cellStyle name="Normal 30 8 4 2 9" xfId="18856" xr:uid="{00000000-0005-0000-0000-00000E840000}"/>
    <cellStyle name="Normal 30 8 4 2 9 2" xfId="36242" xr:uid="{00000000-0005-0000-0000-00000F840000}"/>
    <cellStyle name="Normal 30 8 4 3" xfId="18857" xr:uid="{00000000-0005-0000-0000-000010840000}"/>
    <cellStyle name="Normal 30 8 4 3 2" xfId="36243" xr:uid="{00000000-0005-0000-0000-000011840000}"/>
    <cellStyle name="Normal 30 8 4 4" xfId="18858" xr:uid="{00000000-0005-0000-0000-000012840000}"/>
    <cellStyle name="Normal 30 8 4 4 2" xfId="36244" xr:uid="{00000000-0005-0000-0000-000013840000}"/>
    <cellStyle name="Normal 30 8 4 5" xfId="18859" xr:uid="{00000000-0005-0000-0000-000014840000}"/>
    <cellStyle name="Normal 30 8 4 5 2" xfId="36245" xr:uid="{00000000-0005-0000-0000-000015840000}"/>
    <cellStyle name="Normal 30 8 4 6" xfId="18860" xr:uid="{00000000-0005-0000-0000-000016840000}"/>
    <cellStyle name="Normal 30 8 4 6 2" xfId="36246" xr:uid="{00000000-0005-0000-0000-000017840000}"/>
    <cellStyle name="Normal 30 8 4 7" xfId="18861" xr:uid="{00000000-0005-0000-0000-000018840000}"/>
    <cellStyle name="Normal 30 8 4 7 2" xfId="36247" xr:uid="{00000000-0005-0000-0000-000019840000}"/>
    <cellStyle name="Normal 30 8 4 8" xfId="18862" xr:uid="{00000000-0005-0000-0000-00001A840000}"/>
    <cellStyle name="Normal 30 8 4 8 2" xfId="36248" xr:uid="{00000000-0005-0000-0000-00001B840000}"/>
    <cellStyle name="Normal 30 8 4 9" xfId="18863" xr:uid="{00000000-0005-0000-0000-00001C840000}"/>
    <cellStyle name="Normal 30 8 4 9 2" xfId="36249" xr:uid="{00000000-0005-0000-0000-00001D840000}"/>
    <cellStyle name="Normal 30 8 5" xfId="18864" xr:uid="{00000000-0005-0000-0000-00001E840000}"/>
    <cellStyle name="Normal 30 8 5 10" xfId="18865" xr:uid="{00000000-0005-0000-0000-00001F840000}"/>
    <cellStyle name="Normal 30 8 5 10 2" xfId="36251" xr:uid="{00000000-0005-0000-0000-000020840000}"/>
    <cellStyle name="Normal 30 8 5 11" xfId="18866" xr:uid="{00000000-0005-0000-0000-000021840000}"/>
    <cellStyle name="Normal 30 8 5 11 2" xfId="36252" xr:uid="{00000000-0005-0000-0000-000022840000}"/>
    <cellStyle name="Normal 30 8 5 12" xfId="18867" xr:uid="{00000000-0005-0000-0000-000023840000}"/>
    <cellStyle name="Normal 30 8 5 12 2" xfId="36253" xr:uid="{00000000-0005-0000-0000-000024840000}"/>
    <cellStyle name="Normal 30 8 5 13" xfId="18868" xr:uid="{00000000-0005-0000-0000-000025840000}"/>
    <cellStyle name="Normal 30 8 5 13 2" xfId="36254" xr:uid="{00000000-0005-0000-0000-000026840000}"/>
    <cellStyle name="Normal 30 8 5 14" xfId="18869" xr:uid="{00000000-0005-0000-0000-000027840000}"/>
    <cellStyle name="Normal 30 8 5 14 2" xfId="36255" xr:uid="{00000000-0005-0000-0000-000028840000}"/>
    <cellStyle name="Normal 30 8 5 15" xfId="36250" xr:uid="{00000000-0005-0000-0000-000029840000}"/>
    <cellStyle name="Normal 30 8 5 2" xfId="18870" xr:uid="{00000000-0005-0000-0000-00002A840000}"/>
    <cellStyle name="Normal 30 8 5 2 2" xfId="36256" xr:uid="{00000000-0005-0000-0000-00002B840000}"/>
    <cellStyle name="Normal 30 8 5 3" xfId="18871" xr:uid="{00000000-0005-0000-0000-00002C840000}"/>
    <cellStyle name="Normal 30 8 5 3 2" xfId="36257" xr:uid="{00000000-0005-0000-0000-00002D840000}"/>
    <cellStyle name="Normal 30 8 5 4" xfId="18872" xr:uid="{00000000-0005-0000-0000-00002E840000}"/>
    <cellStyle name="Normal 30 8 5 4 2" xfId="36258" xr:uid="{00000000-0005-0000-0000-00002F840000}"/>
    <cellStyle name="Normal 30 8 5 5" xfId="18873" xr:uid="{00000000-0005-0000-0000-000030840000}"/>
    <cellStyle name="Normal 30 8 5 5 2" xfId="36259" xr:uid="{00000000-0005-0000-0000-000031840000}"/>
    <cellStyle name="Normal 30 8 5 6" xfId="18874" xr:uid="{00000000-0005-0000-0000-000032840000}"/>
    <cellStyle name="Normal 30 8 5 6 2" xfId="36260" xr:uid="{00000000-0005-0000-0000-000033840000}"/>
    <cellStyle name="Normal 30 8 5 7" xfId="18875" xr:uid="{00000000-0005-0000-0000-000034840000}"/>
    <cellStyle name="Normal 30 8 5 7 2" xfId="36261" xr:uid="{00000000-0005-0000-0000-000035840000}"/>
    <cellStyle name="Normal 30 8 5 8" xfId="18876" xr:uid="{00000000-0005-0000-0000-000036840000}"/>
    <cellStyle name="Normal 30 8 5 8 2" xfId="36262" xr:uid="{00000000-0005-0000-0000-000037840000}"/>
    <cellStyle name="Normal 30 8 5 9" xfId="18877" xr:uid="{00000000-0005-0000-0000-000038840000}"/>
    <cellStyle name="Normal 30 8 5 9 2" xfId="36263" xr:uid="{00000000-0005-0000-0000-000039840000}"/>
    <cellStyle name="Normal 30 8 6" xfId="18878" xr:uid="{00000000-0005-0000-0000-00003A840000}"/>
    <cellStyle name="Normal 30 8 6 10" xfId="18879" xr:uid="{00000000-0005-0000-0000-00003B840000}"/>
    <cellStyle name="Normal 30 8 6 10 2" xfId="36265" xr:uid="{00000000-0005-0000-0000-00003C840000}"/>
    <cellStyle name="Normal 30 8 6 11" xfId="18880" xr:uid="{00000000-0005-0000-0000-00003D840000}"/>
    <cellStyle name="Normal 30 8 6 11 2" xfId="36266" xr:uid="{00000000-0005-0000-0000-00003E840000}"/>
    <cellStyle name="Normal 30 8 6 12" xfId="18881" xr:uid="{00000000-0005-0000-0000-00003F840000}"/>
    <cellStyle name="Normal 30 8 6 12 2" xfId="36267" xr:uid="{00000000-0005-0000-0000-000040840000}"/>
    <cellStyle name="Normal 30 8 6 13" xfId="18882" xr:uid="{00000000-0005-0000-0000-000041840000}"/>
    <cellStyle name="Normal 30 8 6 13 2" xfId="36268" xr:uid="{00000000-0005-0000-0000-000042840000}"/>
    <cellStyle name="Normal 30 8 6 14" xfId="18883" xr:uid="{00000000-0005-0000-0000-000043840000}"/>
    <cellStyle name="Normal 30 8 6 14 2" xfId="36269" xr:uid="{00000000-0005-0000-0000-000044840000}"/>
    <cellStyle name="Normal 30 8 6 15" xfId="36264" xr:uid="{00000000-0005-0000-0000-000045840000}"/>
    <cellStyle name="Normal 30 8 6 2" xfId="18884" xr:uid="{00000000-0005-0000-0000-000046840000}"/>
    <cellStyle name="Normal 30 8 6 2 2" xfId="36270" xr:uid="{00000000-0005-0000-0000-000047840000}"/>
    <cellStyle name="Normal 30 8 6 3" xfId="18885" xr:uid="{00000000-0005-0000-0000-000048840000}"/>
    <cellStyle name="Normal 30 8 6 3 2" xfId="36271" xr:uid="{00000000-0005-0000-0000-000049840000}"/>
    <cellStyle name="Normal 30 8 6 4" xfId="18886" xr:uid="{00000000-0005-0000-0000-00004A840000}"/>
    <cellStyle name="Normal 30 8 6 4 2" xfId="36272" xr:uid="{00000000-0005-0000-0000-00004B840000}"/>
    <cellStyle name="Normal 30 8 6 5" xfId="18887" xr:uid="{00000000-0005-0000-0000-00004C840000}"/>
    <cellStyle name="Normal 30 8 6 5 2" xfId="36273" xr:uid="{00000000-0005-0000-0000-00004D840000}"/>
    <cellStyle name="Normal 30 8 6 6" xfId="18888" xr:uid="{00000000-0005-0000-0000-00004E840000}"/>
    <cellStyle name="Normal 30 8 6 6 2" xfId="36274" xr:uid="{00000000-0005-0000-0000-00004F840000}"/>
    <cellStyle name="Normal 30 8 6 7" xfId="18889" xr:uid="{00000000-0005-0000-0000-000050840000}"/>
    <cellStyle name="Normal 30 8 6 7 2" xfId="36275" xr:uid="{00000000-0005-0000-0000-000051840000}"/>
    <cellStyle name="Normal 30 8 6 8" xfId="18890" xr:uid="{00000000-0005-0000-0000-000052840000}"/>
    <cellStyle name="Normal 30 8 6 8 2" xfId="36276" xr:uid="{00000000-0005-0000-0000-000053840000}"/>
    <cellStyle name="Normal 30 8 6 9" xfId="18891" xr:uid="{00000000-0005-0000-0000-000054840000}"/>
    <cellStyle name="Normal 30 8 6 9 2" xfId="36277" xr:uid="{00000000-0005-0000-0000-000055840000}"/>
    <cellStyle name="Normal 30 8 7" xfId="18892" xr:uid="{00000000-0005-0000-0000-000056840000}"/>
    <cellStyle name="Normal 30 8 7 10" xfId="18893" xr:uid="{00000000-0005-0000-0000-000057840000}"/>
    <cellStyle name="Normal 30 8 7 10 2" xfId="36279" xr:uid="{00000000-0005-0000-0000-000058840000}"/>
    <cellStyle name="Normal 30 8 7 11" xfId="18894" xr:uid="{00000000-0005-0000-0000-000059840000}"/>
    <cellStyle name="Normal 30 8 7 11 2" xfId="36280" xr:uid="{00000000-0005-0000-0000-00005A840000}"/>
    <cellStyle name="Normal 30 8 7 12" xfId="18895" xr:uid="{00000000-0005-0000-0000-00005B840000}"/>
    <cellStyle name="Normal 30 8 7 12 2" xfId="36281" xr:uid="{00000000-0005-0000-0000-00005C840000}"/>
    <cellStyle name="Normal 30 8 7 13" xfId="18896" xr:uid="{00000000-0005-0000-0000-00005D840000}"/>
    <cellStyle name="Normal 30 8 7 13 2" xfId="36282" xr:uid="{00000000-0005-0000-0000-00005E840000}"/>
    <cellStyle name="Normal 30 8 7 14" xfId="18897" xr:uid="{00000000-0005-0000-0000-00005F840000}"/>
    <cellStyle name="Normal 30 8 7 14 2" xfId="36283" xr:uid="{00000000-0005-0000-0000-000060840000}"/>
    <cellStyle name="Normal 30 8 7 15" xfId="36278" xr:uid="{00000000-0005-0000-0000-000061840000}"/>
    <cellStyle name="Normal 30 8 7 2" xfId="18898" xr:uid="{00000000-0005-0000-0000-000062840000}"/>
    <cellStyle name="Normal 30 8 7 2 2" xfId="36284" xr:uid="{00000000-0005-0000-0000-000063840000}"/>
    <cellStyle name="Normal 30 8 7 3" xfId="18899" xr:uid="{00000000-0005-0000-0000-000064840000}"/>
    <cellStyle name="Normal 30 8 7 3 2" xfId="36285" xr:uid="{00000000-0005-0000-0000-000065840000}"/>
    <cellStyle name="Normal 30 8 7 4" xfId="18900" xr:uid="{00000000-0005-0000-0000-000066840000}"/>
    <cellStyle name="Normal 30 8 7 4 2" xfId="36286" xr:uid="{00000000-0005-0000-0000-000067840000}"/>
    <cellStyle name="Normal 30 8 7 5" xfId="18901" xr:uid="{00000000-0005-0000-0000-000068840000}"/>
    <cellStyle name="Normal 30 8 7 5 2" xfId="36287" xr:uid="{00000000-0005-0000-0000-000069840000}"/>
    <cellStyle name="Normal 30 8 7 6" xfId="18902" xr:uid="{00000000-0005-0000-0000-00006A840000}"/>
    <cellStyle name="Normal 30 8 7 6 2" xfId="36288" xr:uid="{00000000-0005-0000-0000-00006B840000}"/>
    <cellStyle name="Normal 30 8 7 7" xfId="18903" xr:uid="{00000000-0005-0000-0000-00006C840000}"/>
    <cellStyle name="Normal 30 8 7 7 2" xfId="36289" xr:uid="{00000000-0005-0000-0000-00006D840000}"/>
    <cellStyle name="Normal 30 8 7 8" xfId="18904" xr:uid="{00000000-0005-0000-0000-00006E840000}"/>
    <cellStyle name="Normal 30 8 7 8 2" xfId="36290" xr:uid="{00000000-0005-0000-0000-00006F840000}"/>
    <cellStyle name="Normal 30 8 7 9" xfId="18905" xr:uid="{00000000-0005-0000-0000-000070840000}"/>
    <cellStyle name="Normal 30 8 7 9 2" xfId="36291" xr:uid="{00000000-0005-0000-0000-000071840000}"/>
    <cellStyle name="Normal 30 8 8" xfId="18906" xr:uid="{00000000-0005-0000-0000-000072840000}"/>
    <cellStyle name="Normal 30 8 8 10" xfId="18907" xr:uid="{00000000-0005-0000-0000-000073840000}"/>
    <cellStyle name="Normal 30 8 8 10 2" xfId="36293" xr:uid="{00000000-0005-0000-0000-000074840000}"/>
    <cellStyle name="Normal 30 8 8 11" xfId="18908" xr:uid="{00000000-0005-0000-0000-000075840000}"/>
    <cellStyle name="Normal 30 8 8 11 2" xfId="36294" xr:uid="{00000000-0005-0000-0000-000076840000}"/>
    <cellStyle name="Normal 30 8 8 12" xfId="18909" xr:uid="{00000000-0005-0000-0000-000077840000}"/>
    <cellStyle name="Normal 30 8 8 12 2" xfId="36295" xr:uid="{00000000-0005-0000-0000-000078840000}"/>
    <cellStyle name="Normal 30 8 8 13" xfId="18910" xr:uid="{00000000-0005-0000-0000-000079840000}"/>
    <cellStyle name="Normal 30 8 8 13 2" xfId="36296" xr:uid="{00000000-0005-0000-0000-00007A840000}"/>
    <cellStyle name="Normal 30 8 8 14" xfId="18911" xr:uid="{00000000-0005-0000-0000-00007B840000}"/>
    <cellStyle name="Normal 30 8 8 14 2" xfId="36297" xr:uid="{00000000-0005-0000-0000-00007C840000}"/>
    <cellStyle name="Normal 30 8 8 15" xfId="36292" xr:uid="{00000000-0005-0000-0000-00007D840000}"/>
    <cellStyle name="Normal 30 8 8 2" xfId="18912" xr:uid="{00000000-0005-0000-0000-00007E840000}"/>
    <cellStyle name="Normal 30 8 8 2 2" xfId="36298" xr:uid="{00000000-0005-0000-0000-00007F840000}"/>
    <cellStyle name="Normal 30 8 8 3" xfId="18913" xr:uid="{00000000-0005-0000-0000-000080840000}"/>
    <cellStyle name="Normal 30 8 8 3 2" xfId="36299" xr:uid="{00000000-0005-0000-0000-000081840000}"/>
    <cellStyle name="Normal 30 8 8 4" xfId="18914" xr:uid="{00000000-0005-0000-0000-000082840000}"/>
    <cellStyle name="Normal 30 8 8 4 2" xfId="36300" xr:uid="{00000000-0005-0000-0000-000083840000}"/>
    <cellStyle name="Normal 30 8 8 5" xfId="18915" xr:uid="{00000000-0005-0000-0000-000084840000}"/>
    <cellStyle name="Normal 30 8 8 5 2" xfId="36301" xr:uid="{00000000-0005-0000-0000-000085840000}"/>
    <cellStyle name="Normal 30 8 8 6" xfId="18916" xr:uid="{00000000-0005-0000-0000-000086840000}"/>
    <cellStyle name="Normal 30 8 8 6 2" xfId="36302" xr:uid="{00000000-0005-0000-0000-000087840000}"/>
    <cellStyle name="Normal 30 8 8 7" xfId="18917" xr:uid="{00000000-0005-0000-0000-000088840000}"/>
    <cellStyle name="Normal 30 8 8 7 2" xfId="36303" xr:uid="{00000000-0005-0000-0000-000089840000}"/>
    <cellStyle name="Normal 30 8 8 8" xfId="18918" xr:uid="{00000000-0005-0000-0000-00008A840000}"/>
    <cellStyle name="Normal 30 8 8 8 2" xfId="36304" xr:uid="{00000000-0005-0000-0000-00008B840000}"/>
    <cellStyle name="Normal 30 8 8 9" xfId="18919" xr:uid="{00000000-0005-0000-0000-00008C840000}"/>
    <cellStyle name="Normal 30 8 8 9 2" xfId="36305" xr:uid="{00000000-0005-0000-0000-00008D840000}"/>
    <cellStyle name="Normal 30 8 9" xfId="18920" xr:uid="{00000000-0005-0000-0000-00008E840000}"/>
    <cellStyle name="Normal 30 8 9 10" xfId="18921" xr:uid="{00000000-0005-0000-0000-00008F840000}"/>
    <cellStyle name="Normal 30 8 9 10 2" xfId="36307" xr:uid="{00000000-0005-0000-0000-000090840000}"/>
    <cellStyle name="Normal 30 8 9 11" xfId="18922" xr:uid="{00000000-0005-0000-0000-000091840000}"/>
    <cellStyle name="Normal 30 8 9 11 2" xfId="36308" xr:uid="{00000000-0005-0000-0000-000092840000}"/>
    <cellStyle name="Normal 30 8 9 12" xfId="18923" xr:uid="{00000000-0005-0000-0000-000093840000}"/>
    <cellStyle name="Normal 30 8 9 12 2" xfId="36309" xr:uid="{00000000-0005-0000-0000-000094840000}"/>
    <cellStyle name="Normal 30 8 9 13" xfId="18924" xr:uid="{00000000-0005-0000-0000-000095840000}"/>
    <cellStyle name="Normal 30 8 9 13 2" xfId="36310" xr:uid="{00000000-0005-0000-0000-000096840000}"/>
    <cellStyle name="Normal 30 8 9 14" xfId="18925" xr:uid="{00000000-0005-0000-0000-000097840000}"/>
    <cellStyle name="Normal 30 8 9 14 2" xfId="36311" xr:uid="{00000000-0005-0000-0000-000098840000}"/>
    <cellStyle name="Normal 30 8 9 15" xfId="36306" xr:uid="{00000000-0005-0000-0000-000099840000}"/>
    <cellStyle name="Normal 30 8 9 2" xfId="18926" xr:uid="{00000000-0005-0000-0000-00009A840000}"/>
    <cellStyle name="Normal 30 8 9 2 2" xfId="36312" xr:uid="{00000000-0005-0000-0000-00009B840000}"/>
    <cellStyle name="Normal 30 8 9 3" xfId="18927" xr:uid="{00000000-0005-0000-0000-00009C840000}"/>
    <cellStyle name="Normal 30 8 9 3 2" xfId="36313" xr:uid="{00000000-0005-0000-0000-00009D840000}"/>
    <cellStyle name="Normal 30 8 9 4" xfId="18928" xr:uid="{00000000-0005-0000-0000-00009E840000}"/>
    <cellStyle name="Normal 30 8 9 4 2" xfId="36314" xr:uid="{00000000-0005-0000-0000-00009F840000}"/>
    <cellStyle name="Normal 30 8 9 5" xfId="18929" xr:uid="{00000000-0005-0000-0000-0000A0840000}"/>
    <cellStyle name="Normal 30 8 9 5 2" xfId="36315" xr:uid="{00000000-0005-0000-0000-0000A1840000}"/>
    <cellStyle name="Normal 30 8 9 6" xfId="18930" xr:uid="{00000000-0005-0000-0000-0000A2840000}"/>
    <cellStyle name="Normal 30 8 9 6 2" xfId="36316" xr:uid="{00000000-0005-0000-0000-0000A3840000}"/>
    <cellStyle name="Normal 30 8 9 7" xfId="18931" xr:uid="{00000000-0005-0000-0000-0000A4840000}"/>
    <cellStyle name="Normal 30 8 9 7 2" xfId="36317" xr:uid="{00000000-0005-0000-0000-0000A5840000}"/>
    <cellStyle name="Normal 30 8 9 8" xfId="18932" xr:uid="{00000000-0005-0000-0000-0000A6840000}"/>
    <cellStyle name="Normal 30 8 9 8 2" xfId="36318" xr:uid="{00000000-0005-0000-0000-0000A7840000}"/>
    <cellStyle name="Normal 30 8 9 9" xfId="18933" xr:uid="{00000000-0005-0000-0000-0000A8840000}"/>
    <cellStyle name="Normal 30 8 9 9 2" xfId="36319" xr:uid="{00000000-0005-0000-0000-0000A9840000}"/>
    <cellStyle name="Normal 30 9" xfId="18173" xr:uid="{00000000-0005-0000-0000-0000AA840000}"/>
    <cellStyle name="Normal 31" xfId="439" xr:uid="{00000000-0005-0000-0000-0000AB840000}"/>
    <cellStyle name="Normal 31 2" xfId="18935" xr:uid="{00000000-0005-0000-0000-0000AC840000}"/>
    <cellStyle name="Normal 31 3" xfId="18936" xr:uid="{00000000-0005-0000-0000-0000AD840000}"/>
    <cellStyle name="Normal 31 4" xfId="18937" xr:uid="{00000000-0005-0000-0000-0000AE840000}"/>
    <cellStyle name="Normal 31 5" xfId="18938" xr:uid="{00000000-0005-0000-0000-0000AF840000}"/>
    <cellStyle name="Normal 31 6" xfId="18939" xr:uid="{00000000-0005-0000-0000-0000B0840000}"/>
    <cellStyle name="Normal 31 7" xfId="18934" xr:uid="{00000000-0005-0000-0000-0000B1840000}"/>
    <cellStyle name="Normal 32" xfId="441" xr:uid="{00000000-0005-0000-0000-0000B2840000}"/>
    <cellStyle name="Normal 32 2" xfId="18941" xr:uid="{00000000-0005-0000-0000-0000B3840000}"/>
    <cellStyle name="Normal 32 3" xfId="18942" xr:uid="{00000000-0005-0000-0000-0000B4840000}"/>
    <cellStyle name="Normal 32 4" xfId="18940" xr:uid="{00000000-0005-0000-0000-0000B5840000}"/>
    <cellStyle name="Normal 33" xfId="281" xr:uid="{00000000-0005-0000-0000-0000B6840000}"/>
    <cellStyle name="Normal 33 2" xfId="18943" xr:uid="{00000000-0005-0000-0000-0000B7840000}"/>
    <cellStyle name="Normal 33 3" xfId="18944" xr:uid="{00000000-0005-0000-0000-0000B8840000}"/>
    <cellStyle name="Normal 33 4" xfId="18945" xr:uid="{00000000-0005-0000-0000-0000B9840000}"/>
    <cellStyle name="Normal 34" xfId="609" xr:uid="{00000000-0005-0000-0000-0000BA840000}"/>
    <cellStyle name="Normal 34 2" xfId="18947" xr:uid="{00000000-0005-0000-0000-0000BB840000}"/>
    <cellStyle name="Normal 34 3" xfId="18948" xr:uid="{00000000-0005-0000-0000-0000BC840000}"/>
    <cellStyle name="Normal 34 4" xfId="18949" xr:uid="{00000000-0005-0000-0000-0000BD840000}"/>
    <cellStyle name="Normal 34 5" xfId="18950" xr:uid="{00000000-0005-0000-0000-0000BE840000}"/>
    <cellStyle name="Normal 34 6" xfId="18951" xr:uid="{00000000-0005-0000-0000-0000BF840000}"/>
    <cellStyle name="Normal 34 7" xfId="18946" xr:uid="{00000000-0005-0000-0000-0000C0840000}"/>
    <cellStyle name="Normal 35" xfId="305" xr:uid="{00000000-0005-0000-0000-0000C1840000}"/>
    <cellStyle name="Normal 35 2" xfId="388" xr:uid="{00000000-0005-0000-0000-0000C2840000}"/>
    <cellStyle name="Normal 35 2 2" xfId="580" xr:uid="{00000000-0005-0000-0000-0000C3840000}"/>
    <cellStyle name="Normal 35 2 3" xfId="18953" xr:uid="{00000000-0005-0000-0000-0000C4840000}"/>
    <cellStyle name="Normal 35 3" xfId="521" xr:uid="{00000000-0005-0000-0000-0000C5840000}"/>
    <cellStyle name="Normal 35 3 2" xfId="18954" xr:uid="{00000000-0005-0000-0000-0000C6840000}"/>
    <cellStyle name="Normal 35 4" xfId="18955" xr:uid="{00000000-0005-0000-0000-0000C7840000}"/>
    <cellStyle name="Normal 35 5" xfId="21149" xr:uid="{00000000-0005-0000-0000-0000C8840000}"/>
    <cellStyle name="Normal 35 5 2" xfId="37602" xr:uid="{00000000-0005-0000-0000-0000C9840000}"/>
    <cellStyle name="Normal 35 6" xfId="18952" xr:uid="{00000000-0005-0000-0000-0000CA840000}"/>
    <cellStyle name="Normal 36" xfId="64" xr:uid="{00000000-0005-0000-0000-0000CB840000}"/>
    <cellStyle name="Normal 36 2" xfId="224" xr:uid="{00000000-0005-0000-0000-0000CC840000}"/>
    <cellStyle name="Normal 36 3" xfId="18956" xr:uid="{00000000-0005-0000-0000-0000CD840000}"/>
    <cellStyle name="Normal 36 4" xfId="37605" xr:uid="{00000000-0005-0000-0000-0000CE840000}"/>
    <cellStyle name="Normal 37" xfId="65" xr:uid="{00000000-0005-0000-0000-0000CF840000}"/>
    <cellStyle name="Normal 37 2" xfId="225" xr:uid="{00000000-0005-0000-0000-0000D0840000}"/>
    <cellStyle name="Normal 37 2 10" xfId="18958" xr:uid="{00000000-0005-0000-0000-0000D1840000}"/>
    <cellStyle name="Normal 37 2 10 10" xfId="18959" xr:uid="{00000000-0005-0000-0000-0000D2840000}"/>
    <cellStyle name="Normal 37 2 10 10 2" xfId="36322" xr:uid="{00000000-0005-0000-0000-0000D3840000}"/>
    <cellStyle name="Normal 37 2 10 11" xfId="18960" xr:uid="{00000000-0005-0000-0000-0000D4840000}"/>
    <cellStyle name="Normal 37 2 10 11 2" xfId="36323" xr:uid="{00000000-0005-0000-0000-0000D5840000}"/>
    <cellStyle name="Normal 37 2 10 12" xfId="18961" xr:uid="{00000000-0005-0000-0000-0000D6840000}"/>
    <cellStyle name="Normal 37 2 10 12 2" xfId="36324" xr:uid="{00000000-0005-0000-0000-0000D7840000}"/>
    <cellStyle name="Normal 37 2 10 13" xfId="18962" xr:uid="{00000000-0005-0000-0000-0000D8840000}"/>
    <cellStyle name="Normal 37 2 10 13 2" xfId="36325" xr:uid="{00000000-0005-0000-0000-0000D9840000}"/>
    <cellStyle name="Normal 37 2 10 14" xfId="18963" xr:uid="{00000000-0005-0000-0000-0000DA840000}"/>
    <cellStyle name="Normal 37 2 10 14 2" xfId="36326" xr:uid="{00000000-0005-0000-0000-0000DB840000}"/>
    <cellStyle name="Normal 37 2 10 15" xfId="36321" xr:uid="{00000000-0005-0000-0000-0000DC840000}"/>
    <cellStyle name="Normal 37 2 10 2" xfId="18964" xr:uid="{00000000-0005-0000-0000-0000DD840000}"/>
    <cellStyle name="Normal 37 2 10 2 2" xfId="36327" xr:uid="{00000000-0005-0000-0000-0000DE840000}"/>
    <cellStyle name="Normal 37 2 10 3" xfId="18965" xr:uid="{00000000-0005-0000-0000-0000DF840000}"/>
    <cellStyle name="Normal 37 2 10 3 2" xfId="36328" xr:uid="{00000000-0005-0000-0000-0000E0840000}"/>
    <cellStyle name="Normal 37 2 10 4" xfId="18966" xr:uid="{00000000-0005-0000-0000-0000E1840000}"/>
    <cellStyle name="Normal 37 2 10 4 2" xfId="36329" xr:uid="{00000000-0005-0000-0000-0000E2840000}"/>
    <cellStyle name="Normal 37 2 10 5" xfId="18967" xr:uid="{00000000-0005-0000-0000-0000E3840000}"/>
    <cellStyle name="Normal 37 2 10 5 2" xfId="36330" xr:uid="{00000000-0005-0000-0000-0000E4840000}"/>
    <cellStyle name="Normal 37 2 10 6" xfId="18968" xr:uid="{00000000-0005-0000-0000-0000E5840000}"/>
    <cellStyle name="Normal 37 2 10 6 2" xfId="36331" xr:uid="{00000000-0005-0000-0000-0000E6840000}"/>
    <cellStyle name="Normal 37 2 10 7" xfId="18969" xr:uid="{00000000-0005-0000-0000-0000E7840000}"/>
    <cellStyle name="Normal 37 2 10 7 2" xfId="36332" xr:uid="{00000000-0005-0000-0000-0000E8840000}"/>
    <cellStyle name="Normal 37 2 10 8" xfId="18970" xr:uid="{00000000-0005-0000-0000-0000E9840000}"/>
    <cellStyle name="Normal 37 2 10 8 2" xfId="36333" xr:uid="{00000000-0005-0000-0000-0000EA840000}"/>
    <cellStyle name="Normal 37 2 10 9" xfId="18971" xr:uid="{00000000-0005-0000-0000-0000EB840000}"/>
    <cellStyle name="Normal 37 2 10 9 2" xfId="36334" xr:uid="{00000000-0005-0000-0000-0000EC840000}"/>
    <cellStyle name="Normal 37 2 11" xfId="18972" xr:uid="{00000000-0005-0000-0000-0000ED840000}"/>
    <cellStyle name="Normal 37 2 11 10" xfId="18973" xr:uid="{00000000-0005-0000-0000-0000EE840000}"/>
    <cellStyle name="Normal 37 2 11 10 2" xfId="36336" xr:uid="{00000000-0005-0000-0000-0000EF840000}"/>
    <cellStyle name="Normal 37 2 11 11" xfId="18974" xr:uid="{00000000-0005-0000-0000-0000F0840000}"/>
    <cellStyle name="Normal 37 2 11 11 2" xfId="36337" xr:uid="{00000000-0005-0000-0000-0000F1840000}"/>
    <cellStyle name="Normal 37 2 11 12" xfId="18975" xr:uid="{00000000-0005-0000-0000-0000F2840000}"/>
    <cellStyle name="Normal 37 2 11 12 2" xfId="36338" xr:uid="{00000000-0005-0000-0000-0000F3840000}"/>
    <cellStyle name="Normal 37 2 11 13" xfId="18976" xr:uid="{00000000-0005-0000-0000-0000F4840000}"/>
    <cellStyle name="Normal 37 2 11 13 2" xfId="36339" xr:uid="{00000000-0005-0000-0000-0000F5840000}"/>
    <cellStyle name="Normal 37 2 11 14" xfId="18977" xr:uid="{00000000-0005-0000-0000-0000F6840000}"/>
    <cellStyle name="Normal 37 2 11 14 2" xfId="36340" xr:uid="{00000000-0005-0000-0000-0000F7840000}"/>
    <cellStyle name="Normal 37 2 11 15" xfId="36335" xr:uid="{00000000-0005-0000-0000-0000F8840000}"/>
    <cellStyle name="Normal 37 2 11 2" xfId="18978" xr:uid="{00000000-0005-0000-0000-0000F9840000}"/>
    <cellStyle name="Normal 37 2 11 2 2" xfId="36341" xr:uid="{00000000-0005-0000-0000-0000FA840000}"/>
    <cellStyle name="Normal 37 2 11 3" xfId="18979" xr:uid="{00000000-0005-0000-0000-0000FB840000}"/>
    <cellStyle name="Normal 37 2 11 3 2" xfId="36342" xr:uid="{00000000-0005-0000-0000-0000FC840000}"/>
    <cellStyle name="Normal 37 2 11 4" xfId="18980" xr:uid="{00000000-0005-0000-0000-0000FD840000}"/>
    <cellStyle name="Normal 37 2 11 4 2" xfId="36343" xr:uid="{00000000-0005-0000-0000-0000FE840000}"/>
    <cellStyle name="Normal 37 2 11 5" xfId="18981" xr:uid="{00000000-0005-0000-0000-0000FF840000}"/>
    <cellStyle name="Normal 37 2 11 5 2" xfId="36344" xr:uid="{00000000-0005-0000-0000-000000850000}"/>
    <cellStyle name="Normal 37 2 11 6" xfId="18982" xr:uid="{00000000-0005-0000-0000-000001850000}"/>
    <cellStyle name="Normal 37 2 11 6 2" xfId="36345" xr:uid="{00000000-0005-0000-0000-000002850000}"/>
    <cellStyle name="Normal 37 2 11 7" xfId="18983" xr:uid="{00000000-0005-0000-0000-000003850000}"/>
    <cellStyle name="Normal 37 2 11 7 2" xfId="36346" xr:uid="{00000000-0005-0000-0000-000004850000}"/>
    <cellStyle name="Normal 37 2 11 8" xfId="18984" xr:uid="{00000000-0005-0000-0000-000005850000}"/>
    <cellStyle name="Normal 37 2 11 8 2" xfId="36347" xr:uid="{00000000-0005-0000-0000-000006850000}"/>
    <cellStyle name="Normal 37 2 11 9" xfId="18985" xr:uid="{00000000-0005-0000-0000-000007850000}"/>
    <cellStyle name="Normal 37 2 11 9 2" xfId="36348" xr:uid="{00000000-0005-0000-0000-000008850000}"/>
    <cellStyle name="Normal 37 2 12" xfId="18986" xr:uid="{00000000-0005-0000-0000-000009850000}"/>
    <cellStyle name="Normal 37 2 12 10" xfId="18987" xr:uid="{00000000-0005-0000-0000-00000A850000}"/>
    <cellStyle name="Normal 37 2 12 10 2" xfId="36350" xr:uid="{00000000-0005-0000-0000-00000B850000}"/>
    <cellStyle name="Normal 37 2 12 11" xfId="18988" xr:uid="{00000000-0005-0000-0000-00000C850000}"/>
    <cellStyle name="Normal 37 2 12 11 2" xfId="36351" xr:uid="{00000000-0005-0000-0000-00000D850000}"/>
    <cellStyle name="Normal 37 2 12 12" xfId="18989" xr:uid="{00000000-0005-0000-0000-00000E850000}"/>
    <cellStyle name="Normal 37 2 12 12 2" xfId="36352" xr:uid="{00000000-0005-0000-0000-00000F850000}"/>
    <cellStyle name="Normal 37 2 12 13" xfId="18990" xr:uid="{00000000-0005-0000-0000-000010850000}"/>
    <cellStyle name="Normal 37 2 12 13 2" xfId="36353" xr:uid="{00000000-0005-0000-0000-000011850000}"/>
    <cellStyle name="Normal 37 2 12 14" xfId="18991" xr:uid="{00000000-0005-0000-0000-000012850000}"/>
    <cellStyle name="Normal 37 2 12 14 2" xfId="36354" xr:uid="{00000000-0005-0000-0000-000013850000}"/>
    <cellStyle name="Normal 37 2 12 15" xfId="36349" xr:uid="{00000000-0005-0000-0000-000014850000}"/>
    <cellStyle name="Normal 37 2 12 2" xfId="18992" xr:uid="{00000000-0005-0000-0000-000015850000}"/>
    <cellStyle name="Normal 37 2 12 2 2" xfId="36355" xr:uid="{00000000-0005-0000-0000-000016850000}"/>
    <cellStyle name="Normal 37 2 12 3" xfId="18993" xr:uid="{00000000-0005-0000-0000-000017850000}"/>
    <cellStyle name="Normal 37 2 12 3 2" xfId="36356" xr:uid="{00000000-0005-0000-0000-000018850000}"/>
    <cellStyle name="Normal 37 2 12 4" xfId="18994" xr:uid="{00000000-0005-0000-0000-000019850000}"/>
    <cellStyle name="Normal 37 2 12 4 2" xfId="36357" xr:uid="{00000000-0005-0000-0000-00001A850000}"/>
    <cellStyle name="Normal 37 2 12 5" xfId="18995" xr:uid="{00000000-0005-0000-0000-00001B850000}"/>
    <cellStyle name="Normal 37 2 12 5 2" xfId="36358" xr:uid="{00000000-0005-0000-0000-00001C850000}"/>
    <cellStyle name="Normal 37 2 12 6" xfId="18996" xr:uid="{00000000-0005-0000-0000-00001D850000}"/>
    <cellStyle name="Normal 37 2 12 6 2" xfId="36359" xr:uid="{00000000-0005-0000-0000-00001E850000}"/>
    <cellStyle name="Normal 37 2 12 7" xfId="18997" xr:uid="{00000000-0005-0000-0000-00001F850000}"/>
    <cellStyle name="Normal 37 2 12 7 2" xfId="36360" xr:uid="{00000000-0005-0000-0000-000020850000}"/>
    <cellStyle name="Normal 37 2 12 8" xfId="18998" xr:uid="{00000000-0005-0000-0000-000021850000}"/>
    <cellStyle name="Normal 37 2 12 8 2" xfId="36361" xr:uid="{00000000-0005-0000-0000-000022850000}"/>
    <cellStyle name="Normal 37 2 12 9" xfId="18999" xr:uid="{00000000-0005-0000-0000-000023850000}"/>
    <cellStyle name="Normal 37 2 12 9 2" xfId="36362" xr:uid="{00000000-0005-0000-0000-000024850000}"/>
    <cellStyle name="Normal 37 2 13" xfId="19000" xr:uid="{00000000-0005-0000-0000-000025850000}"/>
    <cellStyle name="Normal 37 2 13 10" xfId="19001" xr:uid="{00000000-0005-0000-0000-000026850000}"/>
    <cellStyle name="Normal 37 2 13 10 2" xfId="36364" xr:uid="{00000000-0005-0000-0000-000027850000}"/>
    <cellStyle name="Normal 37 2 13 11" xfId="19002" xr:uid="{00000000-0005-0000-0000-000028850000}"/>
    <cellStyle name="Normal 37 2 13 11 2" xfId="36365" xr:uid="{00000000-0005-0000-0000-000029850000}"/>
    <cellStyle name="Normal 37 2 13 12" xfId="19003" xr:uid="{00000000-0005-0000-0000-00002A850000}"/>
    <cellStyle name="Normal 37 2 13 12 2" xfId="36366" xr:uid="{00000000-0005-0000-0000-00002B850000}"/>
    <cellStyle name="Normal 37 2 13 13" xfId="19004" xr:uid="{00000000-0005-0000-0000-00002C850000}"/>
    <cellStyle name="Normal 37 2 13 13 2" xfId="36367" xr:uid="{00000000-0005-0000-0000-00002D850000}"/>
    <cellStyle name="Normal 37 2 13 14" xfId="19005" xr:uid="{00000000-0005-0000-0000-00002E850000}"/>
    <cellStyle name="Normal 37 2 13 14 2" xfId="36368" xr:uid="{00000000-0005-0000-0000-00002F850000}"/>
    <cellStyle name="Normal 37 2 13 15" xfId="36363" xr:uid="{00000000-0005-0000-0000-000030850000}"/>
    <cellStyle name="Normal 37 2 13 2" xfId="19006" xr:uid="{00000000-0005-0000-0000-000031850000}"/>
    <cellStyle name="Normal 37 2 13 2 2" xfId="36369" xr:uid="{00000000-0005-0000-0000-000032850000}"/>
    <cellStyle name="Normal 37 2 13 3" xfId="19007" xr:uid="{00000000-0005-0000-0000-000033850000}"/>
    <cellStyle name="Normal 37 2 13 3 2" xfId="36370" xr:uid="{00000000-0005-0000-0000-000034850000}"/>
    <cellStyle name="Normal 37 2 13 4" xfId="19008" xr:uid="{00000000-0005-0000-0000-000035850000}"/>
    <cellStyle name="Normal 37 2 13 4 2" xfId="36371" xr:uid="{00000000-0005-0000-0000-000036850000}"/>
    <cellStyle name="Normal 37 2 13 5" xfId="19009" xr:uid="{00000000-0005-0000-0000-000037850000}"/>
    <cellStyle name="Normal 37 2 13 5 2" xfId="36372" xr:uid="{00000000-0005-0000-0000-000038850000}"/>
    <cellStyle name="Normal 37 2 13 6" xfId="19010" xr:uid="{00000000-0005-0000-0000-000039850000}"/>
    <cellStyle name="Normal 37 2 13 6 2" xfId="36373" xr:uid="{00000000-0005-0000-0000-00003A850000}"/>
    <cellStyle name="Normal 37 2 13 7" xfId="19011" xr:uid="{00000000-0005-0000-0000-00003B850000}"/>
    <cellStyle name="Normal 37 2 13 7 2" xfId="36374" xr:uid="{00000000-0005-0000-0000-00003C850000}"/>
    <cellStyle name="Normal 37 2 13 8" xfId="19012" xr:uid="{00000000-0005-0000-0000-00003D850000}"/>
    <cellStyle name="Normal 37 2 13 8 2" xfId="36375" xr:uid="{00000000-0005-0000-0000-00003E850000}"/>
    <cellStyle name="Normal 37 2 13 9" xfId="19013" xr:uid="{00000000-0005-0000-0000-00003F850000}"/>
    <cellStyle name="Normal 37 2 13 9 2" xfId="36376" xr:uid="{00000000-0005-0000-0000-000040850000}"/>
    <cellStyle name="Normal 37 2 14" xfId="19014" xr:uid="{00000000-0005-0000-0000-000041850000}"/>
    <cellStyle name="Normal 37 2 14 10" xfId="19015" xr:uid="{00000000-0005-0000-0000-000042850000}"/>
    <cellStyle name="Normal 37 2 14 10 2" xfId="36378" xr:uid="{00000000-0005-0000-0000-000043850000}"/>
    <cellStyle name="Normal 37 2 14 11" xfId="19016" xr:uid="{00000000-0005-0000-0000-000044850000}"/>
    <cellStyle name="Normal 37 2 14 11 2" xfId="36379" xr:uid="{00000000-0005-0000-0000-000045850000}"/>
    <cellStyle name="Normal 37 2 14 12" xfId="19017" xr:uid="{00000000-0005-0000-0000-000046850000}"/>
    <cellStyle name="Normal 37 2 14 12 2" xfId="36380" xr:uid="{00000000-0005-0000-0000-000047850000}"/>
    <cellStyle name="Normal 37 2 14 13" xfId="19018" xr:uid="{00000000-0005-0000-0000-000048850000}"/>
    <cellStyle name="Normal 37 2 14 13 2" xfId="36381" xr:uid="{00000000-0005-0000-0000-000049850000}"/>
    <cellStyle name="Normal 37 2 14 14" xfId="19019" xr:uid="{00000000-0005-0000-0000-00004A850000}"/>
    <cellStyle name="Normal 37 2 14 14 2" xfId="36382" xr:uid="{00000000-0005-0000-0000-00004B850000}"/>
    <cellStyle name="Normal 37 2 14 15" xfId="36377" xr:uid="{00000000-0005-0000-0000-00004C850000}"/>
    <cellStyle name="Normal 37 2 14 2" xfId="19020" xr:uid="{00000000-0005-0000-0000-00004D850000}"/>
    <cellStyle name="Normal 37 2 14 2 2" xfId="36383" xr:uid="{00000000-0005-0000-0000-00004E850000}"/>
    <cellStyle name="Normal 37 2 14 3" xfId="19021" xr:uid="{00000000-0005-0000-0000-00004F850000}"/>
    <cellStyle name="Normal 37 2 14 3 2" xfId="36384" xr:uid="{00000000-0005-0000-0000-000050850000}"/>
    <cellStyle name="Normal 37 2 14 4" xfId="19022" xr:uid="{00000000-0005-0000-0000-000051850000}"/>
    <cellStyle name="Normal 37 2 14 4 2" xfId="36385" xr:uid="{00000000-0005-0000-0000-000052850000}"/>
    <cellStyle name="Normal 37 2 14 5" xfId="19023" xr:uid="{00000000-0005-0000-0000-000053850000}"/>
    <cellStyle name="Normal 37 2 14 5 2" xfId="36386" xr:uid="{00000000-0005-0000-0000-000054850000}"/>
    <cellStyle name="Normal 37 2 14 6" xfId="19024" xr:uid="{00000000-0005-0000-0000-000055850000}"/>
    <cellStyle name="Normal 37 2 14 6 2" xfId="36387" xr:uid="{00000000-0005-0000-0000-000056850000}"/>
    <cellStyle name="Normal 37 2 14 7" xfId="19025" xr:uid="{00000000-0005-0000-0000-000057850000}"/>
    <cellStyle name="Normal 37 2 14 7 2" xfId="36388" xr:uid="{00000000-0005-0000-0000-000058850000}"/>
    <cellStyle name="Normal 37 2 14 8" xfId="19026" xr:uid="{00000000-0005-0000-0000-000059850000}"/>
    <cellStyle name="Normal 37 2 14 8 2" xfId="36389" xr:uid="{00000000-0005-0000-0000-00005A850000}"/>
    <cellStyle name="Normal 37 2 14 9" xfId="19027" xr:uid="{00000000-0005-0000-0000-00005B850000}"/>
    <cellStyle name="Normal 37 2 14 9 2" xfId="36390" xr:uid="{00000000-0005-0000-0000-00005C850000}"/>
    <cellStyle name="Normal 37 2 15" xfId="19028" xr:uid="{00000000-0005-0000-0000-00005D850000}"/>
    <cellStyle name="Normal 37 2 15 10" xfId="19029" xr:uid="{00000000-0005-0000-0000-00005E850000}"/>
    <cellStyle name="Normal 37 2 15 10 2" xfId="36392" xr:uid="{00000000-0005-0000-0000-00005F850000}"/>
    <cellStyle name="Normal 37 2 15 11" xfId="19030" xr:uid="{00000000-0005-0000-0000-000060850000}"/>
    <cellStyle name="Normal 37 2 15 11 2" xfId="36393" xr:uid="{00000000-0005-0000-0000-000061850000}"/>
    <cellStyle name="Normal 37 2 15 12" xfId="19031" xr:uid="{00000000-0005-0000-0000-000062850000}"/>
    <cellStyle name="Normal 37 2 15 12 2" xfId="36394" xr:uid="{00000000-0005-0000-0000-000063850000}"/>
    <cellStyle name="Normal 37 2 15 13" xfId="19032" xr:uid="{00000000-0005-0000-0000-000064850000}"/>
    <cellStyle name="Normal 37 2 15 13 2" xfId="36395" xr:uid="{00000000-0005-0000-0000-000065850000}"/>
    <cellStyle name="Normal 37 2 15 14" xfId="19033" xr:uid="{00000000-0005-0000-0000-000066850000}"/>
    <cellStyle name="Normal 37 2 15 14 2" xfId="36396" xr:uid="{00000000-0005-0000-0000-000067850000}"/>
    <cellStyle name="Normal 37 2 15 15" xfId="36391" xr:uid="{00000000-0005-0000-0000-000068850000}"/>
    <cellStyle name="Normal 37 2 15 2" xfId="19034" xr:uid="{00000000-0005-0000-0000-000069850000}"/>
    <cellStyle name="Normal 37 2 15 2 2" xfId="36397" xr:uid="{00000000-0005-0000-0000-00006A850000}"/>
    <cellStyle name="Normal 37 2 15 3" xfId="19035" xr:uid="{00000000-0005-0000-0000-00006B850000}"/>
    <cellStyle name="Normal 37 2 15 3 2" xfId="36398" xr:uid="{00000000-0005-0000-0000-00006C850000}"/>
    <cellStyle name="Normal 37 2 15 4" xfId="19036" xr:uid="{00000000-0005-0000-0000-00006D850000}"/>
    <cellStyle name="Normal 37 2 15 4 2" xfId="36399" xr:uid="{00000000-0005-0000-0000-00006E850000}"/>
    <cellStyle name="Normal 37 2 15 5" xfId="19037" xr:uid="{00000000-0005-0000-0000-00006F850000}"/>
    <cellStyle name="Normal 37 2 15 5 2" xfId="36400" xr:uid="{00000000-0005-0000-0000-000070850000}"/>
    <cellStyle name="Normal 37 2 15 6" xfId="19038" xr:uid="{00000000-0005-0000-0000-000071850000}"/>
    <cellStyle name="Normal 37 2 15 6 2" xfId="36401" xr:uid="{00000000-0005-0000-0000-000072850000}"/>
    <cellStyle name="Normal 37 2 15 7" xfId="19039" xr:uid="{00000000-0005-0000-0000-000073850000}"/>
    <cellStyle name="Normal 37 2 15 7 2" xfId="36402" xr:uid="{00000000-0005-0000-0000-000074850000}"/>
    <cellStyle name="Normal 37 2 15 8" xfId="19040" xr:uid="{00000000-0005-0000-0000-000075850000}"/>
    <cellStyle name="Normal 37 2 15 8 2" xfId="36403" xr:uid="{00000000-0005-0000-0000-000076850000}"/>
    <cellStyle name="Normal 37 2 15 9" xfId="19041" xr:uid="{00000000-0005-0000-0000-000077850000}"/>
    <cellStyle name="Normal 37 2 15 9 2" xfId="36404" xr:uid="{00000000-0005-0000-0000-000078850000}"/>
    <cellStyle name="Normal 37 2 16" xfId="19042" xr:uid="{00000000-0005-0000-0000-000079850000}"/>
    <cellStyle name="Normal 37 2 16 10" xfId="19043" xr:uid="{00000000-0005-0000-0000-00007A850000}"/>
    <cellStyle name="Normal 37 2 16 10 2" xfId="36406" xr:uid="{00000000-0005-0000-0000-00007B850000}"/>
    <cellStyle name="Normal 37 2 16 11" xfId="19044" xr:uid="{00000000-0005-0000-0000-00007C850000}"/>
    <cellStyle name="Normal 37 2 16 11 2" xfId="36407" xr:uid="{00000000-0005-0000-0000-00007D850000}"/>
    <cellStyle name="Normal 37 2 16 12" xfId="19045" xr:uid="{00000000-0005-0000-0000-00007E850000}"/>
    <cellStyle name="Normal 37 2 16 12 2" xfId="36408" xr:uid="{00000000-0005-0000-0000-00007F850000}"/>
    <cellStyle name="Normal 37 2 16 13" xfId="19046" xr:uid="{00000000-0005-0000-0000-000080850000}"/>
    <cellStyle name="Normal 37 2 16 13 2" xfId="36409" xr:uid="{00000000-0005-0000-0000-000081850000}"/>
    <cellStyle name="Normal 37 2 16 14" xfId="19047" xr:uid="{00000000-0005-0000-0000-000082850000}"/>
    <cellStyle name="Normal 37 2 16 14 2" xfId="36410" xr:uid="{00000000-0005-0000-0000-000083850000}"/>
    <cellStyle name="Normal 37 2 16 15" xfId="36405" xr:uid="{00000000-0005-0000-0000-000084850000}"/>
    <cellStyle name="Normal 37 2 16 2" xfId="19048" xr:uid="{00000000-0005-0000-0000-000085850000}"/>
    <cellStyle name="Normal 37 2 16 2 2" xfId="36411" xr:uid="{00000000-0005-0000-0000-000086850000}"/>
    <cellStyle name="Normal 37 2 16 3" xfId="19049" xr:uid="{00000000-0005-0000-0000-000087850000}"/>
    <cellStyle name="Normal 37 2 16 3 2" xfId="36412" xr:uid="{00000000-0005-0000-0000-000088850000}"/>
    <cellStyle name="Normal 37 2 16 4" xfId="19050" xr:uid="{00000000-0005-0000-0000-000089850000}"/>
    <cellStyle name="Normal 37 2 16 4 2" xfId="36413" xr:uid="{00000000-0005-0000-0000-00008A850000}"/>
    <cellStyle name="Normal 37 2 16 5" xfId="19051" xr:uid="{00000000-0005-0000-0000-00008B850000}"/>
    <cellStyle name="Normal 37 2 16 5 2" xfId="36414" xr:uid="{00000000-0005-0000-0000-00008C850000}"/>
    <cellStyle name="Normal 37 2 16 6" xfId="19052" xr:uid="{00000000-0005-0000-0000-00008D850000}"/>
    <cellStyle name="Normal 37 2 16 6 2" xfId="36415" xr:uid="{00000000-0005-0000-0000-00008E850000}"/>
    <cellStyle name="Normal 37 2 16 7" xfId="19053" xr:uid="{00000000-0005-0000-0000-00008F850000}"/>
    <cellStyle name="Normal 37 2 16 7 2" xfId="36416" xr:uid="{00000000-0005-0000-0000-000090850000}"/>
    <cellStyle name="Normal 37 2 16 8" xfId="19054" xr:uid="{00000000-0005-0000-0000-000091850000}"/>
    <cellStyle name="Normal 37 2 16 8 2" xfId="36417" xr:uid="{00000000-0005-0000-0000-000092850000}"/>
    <cellStyle name="Normal 37 2 16 9" xfId="19055" xr:uid="{00000000-0005-0000-0000-000093850000}"/>
    <cellStyle name="Normal 37 2 16 9 2" xfId="36418" xr:uid="{00000000-0005-0000-0000-000094850000}"/>
    <cellStyle name="Normal 37 2 17" xfId="19056" xr:uid="{00000000-0005-0000-0000-000095850000}"/>
    <cellStyle name="Normal 37 2 17 10" xfId="19057" xr:uid="{00000000-0005-0000-0000-000096850000}"/>
    <cellStyle name="Normal 37 2 17 10 2" xfId="36420" xr:uid="{00000000-0005-0000-0000-000097850000}"/>
    <cellStyle name="Normal 37 2 17 11" xfId="19058" xr:uid="{00000000-0005-0000-0000-000098850000}"/>
    <cellStyle name="Normal 37 2 17 11 2" xfId="36421" xr:uid="{00000000-0005-0000-0000-000099850000}"/>
    <cellStyle name="Normal 37 2 17 12" xfId="19059" xr:uid="{00000000-0005-0000-0000-00009A850000}"/>
    <cellStyle name="Normal 37 2 17 12 2" xfId="36422" xr:uid="{00000000-0005-0000-0000-00009B850000}"/>
    <cellStyle name="Normal 37 2 17 13" xfId="19060" xr:uid="{00000000-0005-0000-0000-00009C850000}"/>
    <cellStyle name="Normal 37 2 17 13 2" xfId="36423" xr:uid="{00000000-0005-0000-0000-00009D850000}"/>
    <cellStyle name="Normal 37 2 17 14" xfId="19061" xr:uid="{00000000-0005-0000-0000-00009E850000}"/>
    <cellStyle name="Normal 37 2 17 14 2" xfId="36424" xr:uid="{00000000-0005-0000-0000-00009F850000}"/>
    <cellStyle name="Normal 37 2 17 15" xfId="36419" xr:uid="{00000000-0005-0000-0000-0000A0850000}"/>
    <cellStyle name="Normal 37 2 17 2" xfId="19062" xr:uid="{00000000-0005-0000-0000-0000A1850000}"/>
    <cellStyle name="Normal 37 2 17 2 2" xfId="36425" xr:uid="{00000000-0005-0000-0000-0000A2850000}"/>
    <cellStyle name="Normal 37 2 17 3" xfId="19063" xr:uid="{00000000-0005-0000-0000-0000A3850000}"/>
    <cellStyle name="Normal 37 2 17 3 2" xfId="36426" xr:uid="{00000000-0005-0000-0000-0000A4850000}"/>
    <cellStyle name="Normal 37 2 17 4" xfId="19064" xr:uid="{00000000-0005-0000-0000-0000A5850000}"/>
    <cellStyle name="Normal 37 2 17 4 2" xfId="36427" xr:uid="{00000000-0005-0000-0000-0000A6850000}"/>
    <cellStyle name="Normal 37 2 17 5" xfId="19065" xr:uid="{00000000-0005-0000-0000-0000A7850000}"/>
    <cellStyle name="Normal 37 2 17 5 2" xfId="36428" xr:uid="{00000000-0005-0000-0000-0000A8850000}"/>
    <cellStyle name="Normal 37 2 17 6" xfId="19066" xr:uid="{00000000-0005-0000-0000-0000A9850000}"/>
    <cellStyle name="Normal 37 2 17 6 2" xfId="36429" xr:uid="{00000000-0005-0000-0000-0000AA850000}"/>
    <cellStyle name="Normal 37 2 17 7" xfId="19067" xr:uid="{00000000-0005-0000-0000-0000AB850000}"/>
    <cellStyle name="Normal 37 2 17 7 2" xfId="36430" xr:uid="{00000000-0005-0000-0000-0000AC850000}"/>
    <cellStyle name="Normal 37 2 17 8" xfId="19068" xr:uid="{00000000-0005-0000-0000-0000AD850000}"/>
    <cellStyle name="Normal 37 2 17 8 2" xfId="36431" xr:uid="{00000000-0005-0000-0000-0000AE850000}"/>
    <cellStyle name="Normal 37 2 17 9" xfId="19069" xr:uid="{00000000-0005-0000-0000-0000AF850000}"/>
    <cellStyle name="Normal 37 2 17 9 2" xfId="36432" xr:uid="{00000000-0005-0000-0000-0000B0850000}"/>
    <cellStyle name="Normal 37 2 18" xfId="19070" xr:uid="{00000000-0005-0000-0000-0000B1850000}"/>
    <cellStyle name="Normal 37 2 18 2" xfId="36433" xr:uid="{00000000-0005-0000-0000-0000B2850000}"/>
    <cellStyle name="Normal 37 2 19" xfId="19071" xr:uid="{00000000-0005-0000-0000-0000B3850000}"/>
    <cellStyle name="Normal 37 2 19 2" xfId="36434" xr:uid="{00000000-0005-0000-0000-0000B4850000}"/>
    <cellStyle name="Normal 37 2 2" xfId="19072" xr:uid="{00000000-0005-0000-0000-0000B5850000}"/>
    <cellStyle name="Normal 37 2 20" xfId="19073" xr:uid="{00000000-0005-0000-0000-0000B6850000}"/>
    <cellStyle name="Normal 37 2 20 2" xfId="36435" xr:uid="{00000000-0005-0000-0000-0000B7850000}"/>
    <cellStyle name="Normal 37 2 21" xfId="19074" xr:uid="{00000000-0005-0000-0000-0000B8850000}"/>
    <cellStyle name="Normal 37 2 21 2" xfId="36436" xr:uid="{00000000-0005-0000-0000-0000B9850000}"/>
    <cellStyle name="Normal 37 2 22" xfId="19075" xr:uid="{00000000-0005-0000-0000-0000BA850000}"/>
    <cellStyle name="Normal 37 2 22 2" xfId="36437" xr:uid="{00000000-0005-0000-0000-0000BB850000}"/>
    <cellStyle name="Normal 37 2 23" xfId="19076" xr:uid="{00000000-0005-0000-0000-0000BC850000}"/>
    <cellStyle name="Normal 37 2 23 2" xfId="36438" xr:uid="{00000000-0005-0000-0000-0000BD850000}"/>
    <cellStyle name="Normal 37 2 24" xfId="19077" xr:uid="{00000000-0005-0000-0000-0000BE850000}"/>
    <cellStyle name="Normal 37 2 24 2" xfId="36439" xr:uid="{00000000-0005-0000-0000-0000BF850000}"/>
    <cellStyle name="Normal 37 2 25" xfId="19078" xr:uid="{00000000-0005-0000-0000-0000C0850000}"/>
    <cellStyle name="Normal 37 2 25 2" xfId="36440" xr:uid="{00000000-0005-0000-0000-0000C1850000}"/>
    <cellStyle name="Normal 37 2 26" xfId="19079" xr:uid="{00000000-0005-0000-0000-0000C2850000}"/>
    <cellStyle name="Normal 37 2 26 2" xfId="36441" xr:uid="{00000000-0005-0000-0000-0000C3850000}"/>
    <cellStyle name="Normal 37 2 27" xfId="19080" xr:uid="{00000000-0005-0000-0000-0000C4850000}"/>
    <cellStyle name="Normal 37 2 27 2" xfId="36442" xr:uid="{00000000-0005-0000-0000-0000C5850000}"/>
    <cellStyle name="Normal 37 2 28" xfId="19081" xr:uid="{00000000-0005-0000-0000-0000C6850000}"/>
    <cellStyle name="Normal 37 2 28 2" xfId="36443" xr:uid="{00000000-0005-0000-0000-0000C7850000}"/>
    <cellStyle name="Normal 37 2 29" xfId="19082" xr:uid="{00000000-0005-0000-0000-0000C8850000}"/>
    <cellStyle name="Normal 37 2 29 2" xfId="36444" xr:uid="{00000000-0005-0000-0000-0000C9850000}"/>
    <cellStyle name="Normal 37 2 3" xfId="19083" xr:uid="{00000000-0005-0000-0000-0000CA850000}"/>
    <cellStyle name="Normal 37 2 30" xfId="19084" xr:uid="{00000000-0005-0000-0000-0000CB850000}"/>
    <cellStyle name="Normal 37 2 30 2" xfId="36445" xr:uid="{00000000-0005-0000-0000-0000CC850000}"/>
    <cellStyle name="Normal 37 2 31" xfId="18957" xr:uid="{00000000-0005-0000-0000-0000CD850000}"/>
    <cellStyle name="Normal 37 2 32" xfId="36320" xr:uid="{00000000-0005-0000-0000-0000CE850000}"/>
    <cellStyle name="Normal 37 2 4" xfId="19085" xr:uid="{00000000-0005-0000-0000-0000CF850000}"/>
    <cellStyle name="Normal 37 2 4 10" xfId="19086" xr:uid="{00000000-0005-0000-0000-0000D0850000}"/>
    <cellStyle name="Normal 37 2 4 10 2" xfId="36447" xr:uid="{00000000-0005-0000-0000-0000D1850000}"/>
    <cellStyle name="Normal 37 2 4 11" xfId="19087" xr:uid="{00000000-0005-0000-0000-0000D2850000}"/>
    <cellStyle name="Normal 37 2 4 11 2" xfId="36448" xr:uid="{00000000-0005-0000-0000-0000D3850000}"/>
    <cellStyle name="Normal 37 2 4 12" xfId="19088" xr:uid="{00000000-0005-0000-0000-0000D4850000}"/>
    <cellStyle name="Normal 37 2 4 12 2" xfId="36449" xr:uid="{00000000-0005-0000-0000-0000D5850000}"/>
    <cellStyle name="Normal 37 2 4 13" xfId="19089" xr:uid="{00000000-0005-0000-0000-0000D6850000}"/>
    <cellStyle name="Normal 37 2 4 13 2" xfId="36450" xr:uid="{00000000-0005-0000-0000-0000D7850000}"/>
    <cellStyle name="Normal 37 2 4 14" xfId="19090" xr:uid="{00000000-0005-0000-0000-0000D8850000}"/>
    <cellStyle name="Normal 37 2 4 14 2" xfId="36451" xr:uid="{00000000-0005-0000-0000-0000D9850000}"/>
    <cellStyle name="Normal 37 2 4 15" xfId="19091" xr:uid="{00000000-0005-0000-0000-0000DA850000}"/>
    <cellStyle name="Normal 37 2 4 15 2" xfId="36452" xr:uid="{00000000-0005-0000-0000-0000DB850000}"/>
    <cellStyle name="Normal 37 2 4 16" xfId="36446" xr:uid="{00000000-0005-0000-0000-0000DC850000}"/>
    <cellStyle name="Normal 37 2 4 2" xfId="19092" xr:uid="{00000000-0005-0000-0000-0000DD850000}"/>
    <cellStyle name="Normal 37 2 4 2 10" xfId="19093" xr:uid="{00000000-0005-0000-0000-0000DE850000}"/>
    <cellStyle name="Normal 37 2 4 2 10 2" xfId="36454" xr:uid="{00000000-0005-0000-0000-0000DF850000}"/>
    <cellStyle name="Normal 37 2 4 2 11" xfId="19094" xr:uid="{00000000-0005-0000-0000-0000E0850000}"/>
    <cellStyle name="Normal 37 2 4 2 11 2" xfId="36455" xr:uid="{00000000-0005-0000-0000-0000E1850000}"/>
    <cellStyle name="Normal 37 2 4 2 12" xfId="19095" xr:uid="{00000000-0005-0000-0000-0000E2850000}"/>
    <cellStyle name="Normal 37 2 4 2 12 2" xfId="36456" xr:uid="{00000000-0005-0000-0000-0000E3850000}"/>
    <cellStyle name="Normal 37 2 4 2 13" xfId="19096" xr:uid="{00000000-0005-0000-0000-0000E4850000}"/>
    <cellStyle name="Normal 37 2 4 2 13 2" xfId="36457" xr:uid="{00000000-0005-0000-0000-0000E5850000}"/>
    <cellStyle name="Normal 37 2 4 2 14" xfId="19097" xr:uid="{00000000-0005-0000-0000-0000E6850000}"/>
    <cellStyle name="Normal 37 2 4 2 14 2" xfId="36458" xr:uid="{00000000-0005-0000-0000-0000E7850000}"/>
    <cellStyle name="Normal 37 2 4 2 15" xfId="36453" xr:uid="{00000000-0005-0000-0000-0000E8850000}"/>
    <cellStyle name="Normal 37 2 4 2 2" xfId="19098" xr:uid="{00000000-0005-0000-0000-0000E9850000}"/>
    <cellStyle name="Normal 37 2 4 2 2 2" xfId="36459" xr:uid="{00000000-0005-0000-0000-0000EA850000}"/>
    <cellStyle name="Normal 37 2 4 2 3" xfId="19099" xr:uid="{00000000-0005-0000-0000-0000EB850000}"/>
    <cellStyle name="Normal 37 2 4 2 3 2" xfId="36460" xr:uid="{00000000-0005-0000-0000-0000EC850000}"/>
    <cellStyle name="Normal 37 2 4 2 4" xfId="19100" xr:uid="{00000000-0005-0000-0000-0000ED850000}"/>
    <cellStyle name="Normal 37 2 4 2 4 2" xfId="36461" xr:uid="{00000000-0005-0000-0000-0000EE850000}"/>
    <cellStyle name="Normal 37 2 4 2 5" xfId="19101" xr:uid="{00000000-0005-0000-0000-0000EF850000}"/>
    <cellStyle name="Normal 37 2 4 2 5 2" xfId="36462" xr:uid="{00000000-0005-0000-0000-0000F0850000}"/>
    <cellStyle name="Normal 37 2 4 2 6" xfId="19102" xr:uid="{00000000-0005-0000-0000-0000F1850000}"/>
    <cellStyle name="Normal 37 2 4 2 6 2" xfId="36463" xr:uid="{00000000-0005-0000-0000-0000F2850000}"/>
    <cellStyle name="Normal 37 2 4 2 7" xfId="19103" xr:uid="{00000000-0005-0000-0000-0000F3850000}"/>
    <cellStyle name="Normal 37 2 4 2 7 2" xfId="36464" xr:uid="{00000000-0005-0000-0000-0000F4850000}"/>
    <cellStyle name="Normal 37 2 4 2 8" xfId="19104" xr:uid="{00000000-0005-0000-0000-0000F5850000}"/>
    <cellStyle name="Normal 37 2 4 2 8 2" xfId="36465" xr:uid="{00000000-0005-0000-0000-0000F6850000}"/>
    <cellStyle name="Normal 37 2 4 2 9" xfId="19105" xr:uid="{00000000-0005-0000-0000-0000F7850000}"/>
    <cellStyle name="Normal 37 2 4 2 9 2" xfId="36466" xr:uid="{00000000-0005-0000-0000-0000F8850000}"/>
    <cellStyle name="Normal 37 2 4 3" xfId="19106" xr:uid="{00000000-0005-0000-0000-0000F9850000}"/>
    <cellStyle name="Normal 37 2 4 3 2" xfId="36467" xr:uid="{00000000-0005-0000-0000-0000FA850000}"/>
    <cellStyle name="Normal 37 2 4 4" xfId="19107" xr:uid="{00000000-0005-0000-0000-0000FB850000}"/>
    <cellStyle name="Normal 37 2 4 4 2" xfId="36468" xr:uid="{00000000-0005-0000-0000-0000FC850000}"/>
    <cellStyle name="Normal 37 2 4 5" xfId="19108" xr:uid="{00000000-0005-0000-0000-0000FD850000}"/>
    <cellStyle name="Normal 37 2 4 5 2" xfId="36469" xr:uid="{00000000-0005-0000-0000-0000FE850000}"/>
    <cellStyle name="Normal 37 2 4 6" xfId="19109" xr:uid="{00000000-0005-0000-0000-0000FF850000}"/>
    <cellStyle name="Normal 37 2 4 6 2" xfId="36470" xr:uid="{00000000-0005-0000-0000-000000860000}"/>
    <cellStyle name="Normal 37 2 4 7" xfId="19110" xr:uid="{00000000-0005-0000-0000-000001860000}"/>
    <cellStyle name="Normal 37 2 4 7 2" xfId="36471" xr:uid="{00000000-0005-0000-0000-000002860000}"/>
    <cellStyle name="Normal 37 2 4 8" xfId="19111" xr:uid="{00000000-0005-0000-0000-000003860000}"/>
    <cellStyle name="Normal 37 2 4 8 2" xfId="36472" xr:uid="{00000000-0005-0000-0000-000004860000}"/>
    <cellStyle name="Normal 37 2 4 9" xfId="19112" xr:uid="{00000000-0005-0000-0000-000005860000}"/>
    <cellStyle name="Normal 37 2 4 9 2" xfId="36473" xr:uid="{00000000-0005-0000-0000-000006860000}"/>
    <cellStyle name="Normal 37 2 5" xfId="19113" xr:uid="{00000000-0005-0000-0000-000007860000}"/>
    <cellStyle name="Normal 37 2 5 10" xfId="19114" xr:uid="{00000000-0005-0000-0000-000008860000}"/>
    <cellStyle name="Normal 37 2 5 10 2" xfId="36475" xr:uid="{00000000-0005-0000-0000-000009860000}"/>
    <cellStyle name="Normal 37 2 5 11" xfId="19115" xr:uid="{00000000-0005-0000-0000-00000A860000}"/>
    <cellStyle name="Normal 37 2 5 11 2" xfId="36476" xr:uid="{00000000-0005-0000-0000-00000B860000}"/>
    <cellStyle name="Normal 37 2 5 12" xfId="19116" xr:uid="{00000000-0005-0000-0000-00000C860000}"/>
    <cellStyle name="Normal 37 2 5 12 2" xfId="36477" xr:uid="{00000000-0005-0000-0000-00000D860000}"/>
    <cellStyle name="Normal 37 2 5 13" xfId="19117" xr:uid="{00000000-0005-0000-0000-00000E860000}"/>
    <cellStyle name="Normal 37 2 5 13 2" xfId="36478" xr:uid="{00000000-0005-0000-0000-00000F860000}"/>
    <cellStyle name="Normal 37 2 5 14" xfId="19118" xr:uid="{00000000-0005-0000-0000-000010860000}"/>
    <cellStyle name="Normal 37 2 5 14 2" xfId="36479" xr:uid="{00000000-0005-0000-0000-000011860000}"/>
    <cellStyle name="Normal 37 2 5 15" xfId="19119" xr:uid="{00000000-0005-0000-0000-000012860000}"/>
    <cellStyle name="Normal 37 2 5 15 2" xfId="36480" xr:uid="{00000000-0005-0000-0000-000013860000}"/>
    <cellStyle name="Normal 37 2 5 16" xfId="36474" xr:uid="{00000000-0005-0000-0000-000014860000}"/>
    <cellStyle name="Normal 37 2 5 2" xfId="19120" xr:uid="{00000000-0005-0000-0000-000015860000}"/>
    <cellStyle name="Normal 37 2 5 2 10" xfId="19121" xr:uid="{00000000-0005-0000-0000-000016860000}"/>
    <cellStyle name="Normal 37 2 5 2 10 2" xfId="36482" xr:uid="{00000000-0005-0000-0000-000017860000}"/>
    <cellStyle name="Normal 37 2 5 2 11" xfId="19122" xr:uid="{00000000-0005-0000-0000-000018860000}"/>
    <cellStyle name="Normal 37 2 5 2 11 2" xfId="36483" xr:uid="{00000000-0005-0000-0000-000019860000}"/>
    <cellStyle name="Normal 37 2 5 2 12" xfId="19123" xr:uid="{00000000-0005-0000-0000-00001A860000}"/>
    <cellStyle name="Normal 37 2 5 2 12 2" xfId="36484" xr:uid="{00000000-0005-0000-0000-00001B860000}"/>
    <cellStyle name="Normal 37 2 5 2 13" xfId="19124" xr:uid="{00000000-0005-0000-0000-00001C860000}"/>
    <cellStyle name="Normal 37 2 5 2 13 2" xfId="36485" xr:uid="{00000000-0005-0000-0000-00001D860000}"/>
    <cellStyle name="Normal 37 2 5 2 14" xfId="19125" xr:uid="{00000000-0005-0000-0000-00001E860000}"/>
    <cellStyle name="Normal 37 2 5 2 14 2" xfId="36486" xr:uid="{00000000-0005-0000-0000-00001F860000}"/>
    <cellStyle name="Normal 37 2 5 2 15" xfId="36481" xr:uid="{00000000-0005-0000-0000-000020860000}"/>
    <cellStyle name="Normal 37 2 5 2 2" xfId="19126" xr:uid="{00000000-0005-0000-0000-000021860000}"/>
    <cellStyle name="Normal 37 2 5 2 2 2" xfId="36487" xr:uid="{00000000-0005-0000-0000-000022860000}"/>
    <cellStyle name="Normal 37 2 5 2 3" xfId="19127" xr:uid="{00000000-0005-0000-0000-000023860000}"/>
    <cellStyle name="Normal 37 2 5 2 3 2" xfId="36488" xr:uid="{00000000-0005-0000-0000-000024860000}"/>
    <cellStyle name="Normal 37 2 5 2 4" xfId="19128" xr:uid="{00000000-0005-0000-0000-000025860000}"/>
    <cellStyle name="Normal 37 2 5 2 4 2" xfId="36489" xr:uid="{00000000-0005-0000-0000-000026860000}"/>
    <cellStyle name="Normal 37 2 5 2 5" xfId="19129" xr:uid="{00000000-0005-0000-0000-000027860000}"/>
    <cellStyle name="Normal 37 2 5 2 5 2" xfId="36490" xr:uid="{00000000-0005-0000-0000-000028860000}"/>
    <cellStyle name="Normal 37 2 5 2 6" xfId="19130" xr:uid="{00000000-0005-0000-0000-000029860000}"/>
    <cellStyle name="Normal 37 2 5 2 6 2" xfId="36491" xr:uid="{00000000-0005-0000-0000-00002A860000}"/>
    <cellStyle name="Normal 37 2 5 2 7" xfId="19131" xr:uid="{00000000-0005-0000-0000-00002B860000}"/>
    <cellStyle name="Normal 37 2 5 2 7 2" xfId="36492" xr:uid="{00000000-0005-0000-0000-00002C860000}"/>
    <cellStyle name="Normal 37 2 5 2 8" xfId="19132" xr:uid="{00000000-0005-0000-0000-00002D860000}"/>
    <cellStyle name="Normal 37 2 5 2 8 2" xfId="36493" xr:uid="{00000000-0005-0000-0000-00002E860000}"/>
    <cellStyle name="Normal 37 2 5 2 9" xfId="19133" xr:uid="{00000000-0005-0000-0000-00002F860000}"/>
    <cellStyle name="Normal 37 2 5 2 9 2" xfId="36494" xr:uid="{00000000-0005-0000-0000-000030860000}"/>
    <cellStyle name="Normal 37 2 5 3" xfId="19134" xr:uid="{00000000-0005-0000-0000-000031860000}"/>
    <cellStyle name="Normal 37 2 5 3 2" xfId="36495" xr:uid="{00000000-0005-0000-0000-000032860000}"/>
    <cellStyle name="Normal 37 2 5 4" xfId="19135" xr:uid="{00000000-0005-0000-0000-000033860000}"/>
    <cellStyle name="Normal 37 2 5 4 2" xfId="36496" xr:uid="{00000000-0005-0000-0000-000034860000}"/>
    <cellStyle name="Normal 37 2 5 5" xfId="19136" xr:uid="{00000000-0005-0000-0000-000035860000}"/>
    <cellStyle name="Normal 37 2 5 5 2" xfId="36497" xr:uid="{00000000-0005-0000-0000-000036860000}"/>
    <cellStyle name="Normal 37 2 5 6" xfId="19137" xr:uid="{00000000-0005-0000-0000-000037860000}"/>
    <cellStyle name="Normal 37 2 5 6 2" xfId="36498" xr:uid="{00000000-0005-0000-0000-000038860000}"/>
    <cellStyle name="Normal 37 2 5 7" xfId="19138" xr:uid="{00000000-0005-0000-0000-000039860000}"/>
    <cellStyle name="Normal 37 2 5 7 2" xfId="36499" xr:uid="{00000000-0005-0000-0000-00003A860000}"/>
    <cellStyle name="Normal 37 2 5 8" xfId="19139" xr:uid="{00000000-0005-0000-0000-00003B860000}"/>
    <cellStyle name="Normal 37 2 5 8 2" xfId="36500" xr:uid="{00000000-0005-0000-0000-00003C860000}"/>
    <cellStyle name="Normal 37 2 5 9" xfId="19140" xr:uid="{00000000-0005-0000-0000-00003D860000}"/>
    <cellStyle name="Normal 37 2 5 9 2" xfId="36501" xr:uid="{00000000-0005-0000-0000-00003E860000}"/>
    <cellStyle name="Normal 37 2 6" xfId="19141" xr:uid="{00000000-0005-0000-0000-00003F860000}"/>
    <cellStyle name="Normal 37 2 6 10" xfId="19142" xr:uid="{00000000-0005-0000-0000-000040860000}"/>
    <cellStyle name="Normal 37 2 6 10 2" xfId="36503" xr:uid="{00000000-0005-0000-0000-000041860000}"/>
    <cellStyle name="Normal 37 2 6 11" xfId="19143" xr:uid="{00000000-0005-0000-0000-000042860000}"/>
    <cellStyle name="Normal 37 2 6 11 2" xfId="36504" xr:uid="{00000000-0005-0000-0000-000043860000}"/>
    <cellStyle name="Normal 37 2 6 12" xfId="19144" xr:uid="{00000000-0005-0000-0000-000044860000}"/>
    <cellStyle name="Normal 37 2 6 12 2" xfId="36505" xr:uid="{00000000-0005-0000-0000-000045860000}"/>
    <cellStyle name="Normal 37 2 6 13" xfId="19145" xr:uid="{00000000-0005-0000-0000-000046860000}"/>
    <cellStyle name="Normal 37 2 6 13 2" xfId="36506" xr:uid="{00000000-0005-0000-0000-000047860000}"/>
    <cellStyle name="Normal 37 2 6 14" xfId="19146" xr:uid="{00000000-0005-0000-0000-000048860000}"/>
    <cellStyle name="Normal 37 2 6 14 2" xfId="36507" xr:uid="{00000000-0005-0000-0000-000049860000}"/>
    <cellStyle name="Normal 37 2 6 15" xfId="19147" xr:uid="{00000000-0005-0000-0000-00004A860000}"/>
    <cellStyle name="Normal 37 2 6 15 2" xfId="36508" xr:uid="{00000000-0005-0000-0000-00004B860000}"/>
    <cellStyle name="Normal 37 2 6 16" xfId="36502" xr:uid="{00000000-0005-0000-0000-00004C860000}"/>
    <cellStyle name="Normal 37 2 6 2" xfId="19148" xr:uid="{00000000-0005-0000-0000-00004D860000}"/>
    <cellStyle name="Normal 37 2 6 2 10" xfId="19149" xr:uid="{00000000-0005-0000-0000-00004E860000}"/>
    <cellStyle name="Normal 37 2 6 2 10 2" xfId="36510" xr:uid="{00000000-0005-0000-0000-00004F860000}"/>
    <cellStyle name="Normal 37 2 6 2 11" xfId="19150" xr:uid="{00000000-0005-0000-0000-000050860000}"/>
    <cellStyle name="Normal 37 2 6 2 11 2" xfId="36511" xr:uid="{00000000-0005-0000-0000-000051860000}"/>
    <cellStyle name="Normal 37 2 6 2 12" xfId="19151" xr:uid="{00000000-0005-0000-0000-000052860000}"/>
    <cellStyle name="Normal 37 2 6 2 12 2" xfId="36512" xr:uid="{00000000-0005-0000-0000-000053860000}"/>
    <cellStyle name="Normal 37 2 6 2 13" xfId="19152" xr:uid="{00000000-0005-0000-0000-000054860000}"/>
    <cellStyle name="Normal 37 2 6 2 13 2" xfId="36513" xr:uid="{00000000-0005-0000-0000-000055860000}"/>
    <cellStyle name="Normal 37 2 6 2 14" xfId="19153" xr:uid="{00000000-0005-0000-0000-000056860000}"/>
    <cellStyle name="Normal 37 2 6 2 14 2" xfId="36514" xr:uid="{00000000-0005-0000-0000-000057860000}"/>
    <cellStyle name="Normal 37 2 6 2 15" xfId="36509" xr:uid="{00000000-0005-0000-0000-000058860000}"/>
    <cellStyle name="Normal 37 2 6 2 2" xfId="19154" xr:uid="{00000000-0005-0000-0000-000059860000}"/>
    <cellStyle name="Normal 37 2 6 2 2 2" xfId="36515" xr:uid="{00000000-0005-0000-0000-00005A860000}"/>
    <cellStyle name="Normal 37 2 6 2 3" xfId="19155" xr:uid="{00000000-0005-0000-0000-00005B860000}"/>
    <cellStyle name="Normal 37 2 6 2 3 2" xfId="36516" xr:uid="{00000000-0005-0000-0000-00005C860000}"/>
    <cellStyle name="Normal 37 2 6 2 4" xfId="19156" xr:uid="{00000000-0005-0000-0000-00005D860000}"/>
    <cellStyle name="Normal 37 2 6 2 4 2" xfId="36517" xr:uid="{00000000-0005-0000-0000-00005E860000}"/>
    <cellStyle name="Normal 37 2 6 2 5" xfId="19157" xr:uid="{00000000-0005-0000-0000-00005F860000}"/>
    <cellStyle name="Normal 37 2 6 2 5 2" xfId="36518" xr:uid="{00000000-0005-0000-0000-000060860000}"/>
    <cellStyle name="Normal 37 2 6 2 6" xfId="19158" xr:uid="{00000000-0005-0000-0000-000061860000}"/>
    <cellStyle name="Normal 37 2 6 2 6 2" xfId="36519" xr:uid="{00000000-0005-0000-0000-000062860000}"/>
    <cellStyle name="Normal 37 2 6 2 7" xfId="19159" xr:uid="{00000000-0005-0000-0000-000063860000}"/>
    <cellStyle name="Normal 37 2 6 2 7 2" xfId="36520" xr:uid="{00000000-0005-0000-0000-000064860000}"/>
    <cellStyle name="Normal 37 2 6 2 8" xfId="19160" xr:uid="{00000000-0005-0000-0000-000065860000}"/>
    <cellStyle name="Normal 37 2 6 2 8 2" xfId="36521" xr:uid="{00000000-0005-0000-0000-000066860000}"/>
    <cellStyle name="Normal 37 2 6 2 9" xfId="19161" xr:uid="{00000000-0005-0000-0000-000067860000}"/>
    <cellStyle name="Normal 37 2 6 2 9 2" xfId="36522" xr:uid="{00000000-0005-0000-0000-000068860000}"/>
    <cellStyle name="Normal 37 2 6 3" xfId="19162" xr:uid="{00000000-0005-0000-0000-000069860000}"/>
    <cellStyle name="Normal 37 2 6 3 2" xfId="36523" xr:uid="{00000000-0005-0000-0000-00006A860000}"/>
    <cellStyle name="Normal 37 2 6 4" xfId="19163" xr:uid="{00000000-0005-0000-0000-00006B860000}"/>
    <cellStyle name="Normal 37 2 6 4 2" xfId="36524" xr:uid="{00000000-0005-0000-0000-00006C860000}"/>
    <cellStyle name="Normal 37 2 6 5" xfId="19164" xr:uid="{00000000-0005-0000-0000-00006D860000}"/>
    <cellStyle name="Normal 37 2 6 5 2" xfId="36525" xr:uid="{00000000-0005-0000-0000-00006E860000}"/>
    <cellStyle name="Normal 37 2 6 6" xfId="19165" xr:uid="{00000000-0005-0000-0000-00006F860000}"/>
    <cellStyle name="Normal 37 2 6 6 2" xfId="36526" xr:uid="{00000000-0005-0000-0000-000070860000}"/>
    <cellStyle name="Normal 37 2 6 7" xfId="19166" xr:uid="{00000000-0005-0000-0000-000071860000}"/>
    <cellStyle name="Normal 37 2 6 7 2" xfId="36527" xr:uid="{00000000-0005-0000-0000-000072860000}"/>
    <cellStyle name="Normal 37 2 6 8" xfId="19167" xr:uid="{00000000-0005-0000-0000-000073860000}"/>
    <cellStyle name="Normal 37 2 6 8 2" xfId="36528" xr:uid="{00000000-0005-0000-0000-000074860000}"/>
    <cellStyle name="Normal 37 2 6 9" xfId="19168" xr:uid="{00000000-0005-0000-0000-000075860000}"/>
    <cellStyle name="Normal 37 2 6 9 2" xfId="36529" xr:uid="{00000000-0005-0000-0000-000076860000}"/>
    <cellStyle name="Normal 37 2 7" xfId="19169" xr:uid="{00000000-0005-0000-0000-000077860000}"/>
    <cellStyle name="Normal 37 2 7 10" xfId="19170" xr:uid="{00000000-0005-0000-0000-000078860000}"/>
    <cellStyle name="Normal 37 2 7 10 2" xfId="36531" xr:uid="{00000000-0005-0000-0000-000079860000}"/>
    <cellStyle name="Normal 37 2 7 11" xfId="19171" xr:uid="{00000000-0005-0000-0000-00007A860000}"/>
    <cellStyle name="Normal 37 2 7 11 2" xfId="36532" xr:uid="{00000000-0005-0000-0000-00007B860000}"/>
    <cellStyle name="Normal 37 2 7 12" xfId="19172" xr:uid="{00000000-0005-0000-0000-00007C860000}"/>
    <cellStyle name="Normal 37 2 7 12 2" xfId="36533" xr:uid="{00000000-0005-0000-0000-00007D860000}"/>
    <cellStyle name="Normal 37 2 7 13" xfId="19173" xr:uid="{00000000-0005-0000-0000-00007E860000}"/>
    <cellStyle name="Normal 37 2 7 13 2" xfId="36534" xr:uid="{00000000-0005-0000-0000-00007F860000}"/>
    <cellStyle name="Normal 37 2 7 14" xfId="19174" xr:uid="{00000000-0005-0000-0000-000080860000}"/>
    <cellStyle name="Normal 37 2 7 14 2" xfId="36535" xr:uid="{00000000-0005-0000-0000-000081860000}"/>
    <cellStyle name="Normal 37 2 7 15" xfId="36530" xr:uid="{00000000-0005-0000-0000-000082860000}"/>
    <cellStyle name="Normal 37 2 7 2" xfId="19175" xr:uid="{00000000-0005-0000-0000-000083860000}"/>
    <cellStyle name="Normal 37 2 7 2 2" xfId="36536" xr:uid="{00000000-0005-0000-0000-000084860000}"/>
    <cellStyle name="Normal 37 2 7 3" xfId="19176" xr:uid="{00000000-0005-0000-0000-000085860000}"/>
    <cellStyle name="Normal 37 2 7 3 2" xfId="36537" xr:uid="{00000000-0005-0000-0000-000086860000}"/>
    <cellStyle name="Normal 37 2 7 4" xfId="19177" xr:uid="{00000000-0005-0000-0000-000087860000}"/>
    <cellStyle name="Normal 37 2 7 4 2" xfId="36538" xr:uid="{00000000-0005-0000-0000-000088860000}"/>
    <cellStyle name="Normal 37 2 7 5" xfId="19178" xr:uid="{00000000-0005-0000-0000-000089860000}"/>
    <cellStyle name="Normal 37 2 7 5 2" xfId="36539" xr:uid="{00000000-0005-0000-0000-00008A860000}"/>
    <cellStyle name="Normal 37 2 7 6" xfId="19179" xr:uid="{00000000-0005-0000-0000-00008B860000}"/>
    <cellStyle name="Normal 37 2 7 6 2" xfId="36540" xr:uid="{00000000-0005-0000-0000-00008C860000}"/>
    <cellStyle name="Normal 37 2 7 7" xfId="19180" xr:uid="{00000000-0005-0000-0000-00008D860000}"/>
    <cellStyle name="Normal 37 2 7 7 2" xfId="36541" xr:uid="{00000000-0005-0000-0000-00008E860000}"/>
    <cellStyle name="Normal 37 2 7 8" xfId="19181" xr:uid="{00000000-0005-0000-0000-00008F860000}"/>
    <cellStyle name="Normal 37 2 7 8 2" xfId="36542" xr:uid="{00000000-0005-0000-0000-000090860000}"/>
    <cellStyle name="Normal 37 2 7 9" xfId="19182" xr:uid="{00000000-0005-0000-0000-000091860000}"/>
    <cellStyle name="Normal 37 2 7 9 2" xfId="36543" xr:uid="{00000000-0005-0000-0000-000092860000}"/>
    <cellStyle name="Normal 37 2 8" xfId="19183" xr:uid="{00000000-0005-0000-0000-000093860000}"/>
    <cellStyle name="Normal 37 2 8 10" xfId="19184" xr:uid="{00000000-0005-0000-0000-000094860000}"/>
    <cellStyle name="Normal 37 2 8 10 2" xfId="36545" xr:uid="{00000000-0005-0000-0000-000095860000}"/>
    <cellStyle name="Normal 37 2 8 11" xfId="19185" xr:uid="{00000000-0005-0000-0000-000096860000}"/>
    <cellStyle name="Normal 37 2 8 11 2" xfId="36546" xr:uid="{00000000-0005-0000-0000-000097860000}"/>
    <cellStyle name="Normal 37 2 8 12" xfId="19186" xr:uid="{00000000-0005-0000-0000-000098860000}"/>
    <cellStyle name="Normal 37 2 8 12 2" xfId="36547" xr:uid="{00000000-0005-0000-0000-000099860000}"/>
    <cellStyle name="Normal 37 2 8 13" xfId="19187" xr:uid="{00000000-0005-0000-0000-00009A860000}"/>
    <cellStyle name="Normal 37 2 8 13 2" xfId="36548" xr:uid="{00000000-0005-0000-0000-00009B860000}"/>
    <cellStyle name="Normal 37 2 8 14" xfId="19188" xr:uid="{00000000-0005-0000-0000-00009C860000}"/>
    <cellStyle name="Normal 37 2 8 14 2" xfId="36549" xr:uid="{00000000-0005-0000-0000-00009D860000}"/>
    <cellStyle name="Normal 37 2 8 15" xfId="36544" xr:uid="{00000000-0005-0000-0000-00009E860000}"/>
    <cellStyle name="Normal 37 2 8 2" xfId="19189" xr:uid="{00000000-0005-0000-0000-00009F860000}"/>
    <cellStyle name="Normal 37 2 8 2 2" xfId="36550" xr:uid="{00000000-0005-0000-0000-0000A0860000}"/>
    <cellStyle name="Normal 37 2 8 3" xfId="19190" xr:uid="{00000000-0005-0000-0000-0000A1860000}"/>
    <cellStyle name="Normal 37 2 8 3 2" xfId="36551" xr:uid="{00000000-0005-0000-0000-0000A2860000}"/>
    <cellStyle name="Normal 37 2 8 4" xfId="19191" xr:uid="{00000000-0005-0000-0000-0000A3860000}"/>
    <cellStyle name="Normal 37 2 8 4 2" xfId="36552" xr:uid="{00000000-0005-0000-0000-0000A4860000}"/>
    <cellStyle name="Normal 37 2 8 5" xfId="19192" xr:uid="{00000000-0005-0000-0000-0000A5860000}"/>
    <cellStyle name="Normal 37 2 8 5 2" xfId="36553" xr:uid="{00000000-0005-0000-0000-0000A6860000}"/>
    <cellStyle name="Normal 37 2 8 6" xfId="19193" xr:uid="{00000000-0005-0000-0000-0000A7860000}"/>
    <cellStyle name="Normal 37 2 8 6 2" xfId="36554" xr:uid="{00000000-0005-0000-0000-0000A8860000}"/>
    <cellStyle name="Normal 37 2 8 7" xfId="19194" xr:uid="{00000000-0005-0000-0000-0000A9860000}"/>
    <cellStyle name="Normal 37 2 8 7 2" xfId="36555" xr:uid="{00000000-0005-0000-0000-0000AA860000}"/>
    <cellStyle name="Normal 37 2 8 8" xfId="19195" xr:uid="{00000000-0005-0000-0000-0000AB860000}"/>
    <cellStyle name="Normal 37 2 8 8 2" xfId="36556" xr:uid="{00000000-0005-0000-0000-0000AC860000}"/>
    <cellStyle name="Normal 37 2 8 9" xfId="19196" xr:uid="{00000000-0005-0000-0000-0000AD860000}"/>
    <cellStyle name="Normal 37 2 8 9 2" xfId="36557" xr:uid="{00000000-0005-0000-0000-0000AE860000}"/>
    <cellStyle name="Normal 37 2 9" xfId="19197" xr:uid="{00000000-0005-0000-0000-0000AF860000}"/>
    <cellStyle name="Normal 37 2 9 10" xfId="19198" xr:uid="{00000000-0005-0000-0000-0000B0860000}"/>
    <cellStyle name="Normal 37 2 9 10 2" xfId="36559" xr:uid="{00000000-0005-0000-0000-0000B1860000}"/>
    <cellStyle name="Normal 37 2 9 11" xfId="19199" xr:uid="{00000000-0005-0000-0000-0000B2860000}"/>
    <cellStyle name="Normal 37 2 9 11 2" xfId="36560" xr:uid="{00000000-0005-0000-0000-0000B3860000}"/>
    <cellStyle name="Normal 37 2 9 12" xfId="19200" xr:uid="{00000000-0005-0000-0000-0000B4860000}"/>
    <cellStyle name="Normal 37 2 9 12 2" xfId="36561" xr:uid="{00000000-0005-0000-0000-0000B5860000}"/>
    <cellStyle name="Normal 37 2 9 13" xfId="19201" xr:uid="{00000000-0005-0000-0000-0000B6860000}"/>
    <cellStyle name="Normal 37 2 9 13 2" xfId="36562" xr:uid="{00000000-0005-0000-0000-0000B7860000}"/>
    <cellStyle name="Normal 37 2 9 14" xfId="19202" xr:uid="{00000000-0005-0000-0000-0000B8860000}"/>
    <cellStyle name="Normal 37 2 9 14 2" xfId="36563" xr:uid="{00000000-0005-0000-0000-0000B9860000}"/>
    <cellStyle name="Normal 37 2 9 15" xfId="36558" xr:uid="{00000000-0005-0000-0000-0000BA860000}"/>
    <cellStyle name="Normal 37 2 9 2" xfId="19203" xr:uid="{00000000-0005-0000-0000-0000BB860000}"/>
    <cellStyle name="Normal 37 2 9 2 2" xfId="36564" xr:uid="{00000000-0005-0000-0000-0000BC860000}"/>
    <cellStyle name="Normal 37 2 9 3" xfId="19204" xr:uid="{00000000-0005-0000-0000-0000BD860000}"/>
    <cellStyle name="Normal 37 2 9 3 2" xfId="36565" xr:uid="{00000000-0005-0000-0000-0000BE860000}"/>
    <cellStyle name="Normal 37 2 9 4" xfId="19205" xr:uid="{00000000-0005-0000-0000-0000BF860000}"/>
    <cellStyle name="Normal 37 2 9 4 2" xfId="36566" xr:uid="{00000000-0005-0000-0000-0000C0860000}"/>
    <cellStyle name="Normal 37 2 9 5" xfId="19206" xr:uid="{00000000-0005-0000-0000-0000C1860000}"/>
    <cellStyle name="Normal 37 2 9 5 2" xfId="36567" xr:uid="{00000000-0005-0000-0000-0000C2860000}"/>
    <cellStyle name="Normal 37 2 9 6" xfId="19207" xr:uid="{00000000-0005-0000-0000-0000C3860000}"/>
    <cellStyle name="Normal 37 2 9 6 2" xfId="36568" xr:uid="{00000000-0005-0000-0000-0000C4860000}"/>
    <cellStyle name="Normal 37 2 9 7" xfId="19208" xr:uid="{00000000-0005-0000-0000-0000C5860000}"/>
    <cellStyle name="Normal 37 2 9 7 2" xfId="36569" xr:uid="{00000000-0005-0000-0000-0000C6860000}"/>
    <cellStyle name="Normal 37 2 9 8" xfId="19209" xr:uid="{00000000-0005-0000-0000-0000C7860000}"/>
    <cellStyle name="Normal 37 2 9 8 2" xfId="36570" xr:uid="{00000000-0005-0000-0000-0000C8860000}"/>
    <cellStyle name="Normal 37 2 9 9" xfId="19210" xr:uid="{00000000-0005-0000-0000-0000C9860000}"/>
    <cellStyle name="Normal 37 2 9 9 2" xfId="36571" xr:uid="{00000000-0005-0000-0000-0000CA860000}"/>
    <cellStyle name="Normal 37 3" xfId="19211" xr:uid="{00000000-0005-0000-0000-0000CB860000}"/>
    <cellStyle name="Normal 37 4" xfId="19212" xr:uid="{00000000-0005-0000-0000-0000CC860000}"/>
    <cellStyle name="Normal 37 4 10" xfId="19213" xr:uid="{00000000-0005-0000-0000-0000CD860000}"/>
    <cellStyle name="Normal 37 4 10 10" xfId="19214" xr:uid="{00000000-0005-0000-0000-0000CE860000}"/>
    <cellStyle name="Normal 37 4 10 10 2" xfId="36574" xr:uid="{00000000-0005-0000-0000-0000CF860000}"/>
    <cellStyle name="Normal 37 4 10 11" xfId="19215" xr:uid="{00000000-0005-0000-0000-0000D0860000}"/>
    <cellStyle name="Normal 37 4 10 11 2" xfId="36575" xr:uid="{00000000-0005-0000-0000-0000D1860000}"/>
    <cellStyle name="Normal 37 4 10 12" xfId="19216" xr:uid="{00000000-0005-0000-0000-0000D2860000}"/>
    <cellStyle name="Normal 37 4 10 12 2" xfId="36576" xr:uid="{00000000-0005-0000-0000-0000D3860000}"/>
    <cellStyle name="Normal 37 4 10 13" xfId="19217" xr:uid="{00000000-0005-0000-0000-0000D4860000}"/>
    <cellStyle name="Normal 37 4 10 13 2" xfId="36577" xr:uid="{00000000-0005-0000-0000-0000D5860000}"/>
    <cellStyle name="Normal 37 4 10 14" xfId="19218" xr:uid="{00000000-0005-0000-0000-0000D6860000}"/>
    <cellStyle name="Normal 37 4 10 14 2" xfId="36578" xr:uid="{00000000-0005-0000-0000-0000D7860000}"/>
    <cellStyle name="Normal 37 4 10 15" xfId="36573" xr:uid="{00000000-0005-0000-0000-0000D8860000}"/>
    <cellStyle name="Normal 37 4 10 2" xfId="19219" xr:uid="{00000000-0005-0000-0000-0000D9860000}"/>
    <cellStyle name="Normal 37 4 10 2 2" xfId="36579" xr:uid="{00000000-0005-0000-0000-0000DA860000}"/>
    <cellStyle name="Normal 37 4 10 3" xfId="19220" xr:uid="{00000000-0005-0000-0000-0000DB860000}"/>
    <cellStyle name="Normal 37 4 10 3 2" xfId="36580" xr:uid="{00000000-0005-0000-0000-0000DC860000}"/>
    <cellStyle name="Normal 37 4 10 4" xfId="19221" xr:uid="{00000000-0005-0000-0000-0000DD860000}"/>
    <cellStyle name="Normal 37 4 10 4 2" xfId="36581" xr:uid="{00000000-0005-0000-0000-0000DE860000}"/>
    <cellStyle name="Normal 37 4 10 5" xfId="19222" xr:uid="{00000000-0005-0000-0000-0000DF860000}"/>
    <cellStyle name="Normal 37 4 10 5 2" xfId="36582" xr:uid="{00000000-0005-0000-0000-0000E0860000}"/>
    <cellStyle name="Normal 37 4 10 6" xfId="19223" xr:uid="{00000000-0005-0000-0000-0000E1860000}"/>
    <cellStyle name="Normal 37 4 10 6 2" xfId="36583" xr:uid="{00000000-0005-0000-0000-0000E2860000}"/>
    <cellStyle name="Normal 37 4 10 7" xfId="19224" xr:uid="{00000000-0005-0000-0000-0000E3860000}"/>
    <cellStyle name="Normal 37 4 10 7 2" xfId="36584" xr:uid="{00000000-0005-0000-0000-0000E4860000}"/>
    <cellStyle name="Normal 37 4 10 8" xfId="19225" xr:uid="{00000000-0005-0000-0000-0000E5860000}"/>
    <cellStyle name="Normal 37 4 10 8 2" xfId="36585" xr:uid="{00000000-0005-0000-0000-0000E6860000}"/>
    <cellStyle name="Normal 37 4 10 9" xfId="19226" xr:uid="{00000000-0005-0000-0000-0000E7860000}"/>
    <cellStyle name="Normal 37 4 10 9 2" xfId="36586" xr:uid="{00000000-0005-0000-0000-0000E8860000}"/>
    <cellStyle name="Normal 37 4 11" xfId="19227" xr:uid="{00000000-0005-0000-0000-0000E9860000}"/>
    <cellStyle name="Normal 37 4 11 10" xfId="19228" xr:uid="{00000000-0005-0000-0000-0000EA860000}"/>
    <cellStyle name="Normal 37 4 11 10 2" xfId="36588" xr:uid="{00000000-0005-0000-0000-0000EB860000}"/>
    <cellStyle name="Normal 37 4 11 11" xfId="19229" xr:uid="{00000000-0005-0000-0000-0000EC860000}"/>
    <cellStyle name="Normal 37 4 11 11 2" xfId="36589" xr:uid="{00000000-0005-0000-0000-0000ED860000}"/>
    <cellStyle name="Normal 37 4 11 12" xfId="19230" xr:uid="{00000000-0005-0000-0000-0000EE860000}"/>
    <cellStyle name="Normal 37 4 11 12 2" xfId="36590" xr:uid="{00000000-0005-0000-0000-0000EF860000}"/>
    <cellStyle name="Normal 37 4 11 13" xfId="19231" xr:uid="{00000000-0005-0000-0000-0000F0860000}"/>
    <cellStyle name="Normal 37 4 11 13 2" xfId="36591" xr:uid="{00000000-0005-0000-0000-0000F1860000}"/>
    <cellStyle name="Normal 37 4 11 14" xfId="19232" xr:uid="{00000000-0005-0000-0000-0000F2860000}"/>
    <cellStyle name="Normal 37 4 11 14 2" xfId="36592" xr:uid="{00000000-0005-0000-0000-0000F3860000}"/>
    <cellStyle name="Normal 37 4 11 15" xfId="36587" xr:uid="{00000000-0005-0000-0000-0000F4860000}"/>
    <cellStyle name="Normal 37 4 11 2" xfId="19233" xr:uid="{00000000-0005-0000-0000-0000F5860000}"/>
    <cellStyle name="Normal 37 4 11 2 2" xfId="36593" xr:uid="{00000000-0005-0000-0000-0000F6860000}"/>
    <cellStyle name="Normal 37 4 11 3" xfId="19234" xr:uid="{00000000-0005-0000-0000-0000F7860000}"/>
    <cellStyle name="Normal 37 4 11 3 2" xfId="36594" xr:uid="{00000000-0005-0000-0000-0000F8860000}"/>
    <cellStyle name="Normal 37 4 11 4" xfId="19235" xr:uid="{00000000-0005-0000-0000-0000F9860000}"/>
    <cellStyle name="Normal 37 4 11 4 2" xfId="36595" xr:uid="{00000000-0005-0000-0000-0000FA860000}"/>
    <cellStyle name="Normal 37 4 11 5" xfId="19236" xr:uid="{00000000-0005-0000-0000-0000FB860000}"/>
    <cellStyle name="Normal 37 4 11 5 2" xfId="36596" xr:uid="{00000000-0005-0000-0000-0000FC860000}"/>
    <cellStyle name="Normal 37 4 11 6" xfId="19237" xr:uid="{00000000-0005-0000-0000-0000FD860000}"/>
    <cellStyle name="Normal 37 4 11 6 2" xfId="36597" xr:uid="{00000000-0005-0000-0000-0000FE860000}"/>
    <cellStyle name="Normal 37 4 11 7" xfId="19238" xr:uid="{00000000-0005-0000-0000-0000FF860000}"/>
    <cellStyle name="Normal 37 4 11 7 2" xfId="36598" xr:uid="{00000000-0005-0000-0000-000000870000}"/>
    <cellStyle name="Normal 37 4 11 8" xfId="19239" xr:uid="{00000000-0005-0000-0000-000001870000}"/>
    <cellStyle name="Normal 37 4 11 8 2" xfId="36599" xr:uid="{00000000-0005-0000-0000-000002870000}"/>
    <cellStyle name="Normal 37 4 11 9" xfId="19240" xr:uid="{00000000-0005-0000-0000-000003870000}"/>
    <cellStyle name="Normal 37 4 11 9 2" xfId="36600" xr:uid="{00000000-0005-0000-0000-000004870000}"/>
    <cellStyle name="Normal 37 4 12" xfId="19241" xr:uid="{00000000-0005-0000-0000-000005870000}"/>
    <cellStyle name="Normal 37 4 12 10" xfId="19242" xr:uid="{00000000-0005-0000-0000-000006870000}"/>
    <cellStyle name="Normal 37 4 12 10 2" xfId="36602" xr:uid="{00000000-0005-0000-0000-000007870000}"/>
    <cellStyle name="Normal 37 4 12 11" xfId="19243" xr:uid="{00000000-0005-0000-0000-000008870000}"/>
    <cellStyle name="Normal 37 4 12 11 2" xfId="36603" xr:uid="{00000000-0005-0000-0000-000009870000}"/>
    <cellStyle name="Normal 37 4 12 12" xfId="19244" xr:uid="{00000000-0005-0000-0000-00000A870000}"/>
    <cellStyle name="Normal 37 4 12 12 2" xfId="36604" xr:uid="{00000000-0005-0000-0000-00000B870000}"/>
    <cellStyle name="Normal 37 4 12 13" xfId="19245" xr:uid="{00000000-0005-0000-0000-00000C870000}"/>
    <cellStyle name="Normal 37 4 12 13 2" xfId="36605" xr:uid="{00000000-0005-0000-0000-00000D870000}"/>
    <cellStyle name="Normal 37 4 12 14" xfId="19246" xr:uid="{00000000-0005-0000-0000-00000E870000}"/>
    <cellStyle name="Normal 37 4 12 14 2" xfId="36606" xr:uid="{00000000-0005-0000-0000-00000F870000}"/>
    <cellStyle name="Normal 37 4 12 15" xfId="36601" xr:uid="{00000000-0005-0000-0000-000010870000}"/>
    <cellStyle name="Normal 37 4 12 2" xfId="19247" xr:uid="{00000000-0005-0000-0000-000011870000}"/>
    <cellStyle name="Normal 37 4 12 2 2" xfId="36607" xr:uid="{00000000-0005-0000-0000-000012870000}"/>
    <cellStyle name="Normal 37 4 12 3" xfId="19248" xr:uid="{00000000-0005-0000-0000-000013870000}"/>
    <cellStyle name="Normal 37 4 12 3 2" xfId="36608" xr:uid="{00000000-0005-0000-0000-000014870000}"/>
    <cellStyle name="Normal 37 4 12 4" xfId="19249" xr:uid="{00000000-0005-0000-0000-000015870000}"/>
    <cellStyle name="Normal 37 4 12 4 2" xfId="36609" xr:uid="{00000000-0005-0000-0000-000016870000}"/>
    <cellStyle name="Normal 37 4 12 5" xfId="19250" xr:uid="{00000000-0005-0000-0000-000017870000}"/>
    <cellStyle name="Normal 37 4 12 5 2" xfId="36610" xr:uid="{00000000-0005-0000-0000-000018870000}"/>
    <cellStyle name="Normal 37 4 12 6" xfId="19251" xr:uid="{00000000-0005-0000-0000-000019870000}"/>
    <cellStyle name="Normal 37 4 12 6 2" xfId="36611" xr:uid="{00000000-0005-0000-0000-00001A870000}"/>
    <cellStyle name="Normal 37 4 12 7" xfId="19252" xr:uid="{00000000-0005-0000-0000-00001B870000}"/>
    <cellStyle name="Normal 37 4 12 7 2" xfId="36612" xr:uid="{00000000-0005-0000-0000-00001C870000}"/>
    <cellStyle name="Normal 37 4 12 8" xfId="19253" xr:uid="{00000000-0005-0000-0000-00001D870000}"/>
    <cellStyle name="Normal 37 4 12 8 2" xfId="36613" xr:uid="{00000000-0005-0000-0000-00001E870000}"/>
    <cellStyle name="Normal 37 4 12 9" xfId="19254" xr:uid="{00000000-0005-0000-0000-00001F870000}"/>
    <cellStyle name="Normal 37 4 12 9 2" xfId="36614" xr:uid="{00000000-0005-0000-0000-000020870000}"/>
    <cellStyle name="Normal 37 4 13" xfId="19255" xr:uid="{00000000-0005-0000-0000-000021870000}"/>
    <cellStyle name="Normal 37 4 13 10" xfId="19256" xr:uid="{00000000-0005-0000-0000-000022870000}"/>
    <cellStyle name="Normal 37 4 13 10 2" xfId="36616" xr:uid="{00000000-0005-0000-0000-000023870000}"/>
    <cellStyle name="Normal 37 4 13 11" xfId="19257" xr:uid="{00000000-0005-0000-0000-000024870000}"/>
    <cellStyle name="Normal 37 4 13 11 2" xfId="36617" xr:uid="{00000000-0005-0000-0000-000025870000}"/>
    <cellStyle name="Normal 37 4 13 12" xfId="19258" xr:uid="{00000000-0005-0000-0000-000026870000}"/>
    <cellStyle name="Normal 37 4 13 12 2" xfId="36618" xr:uid="{00000000-0005-0000-0000-000027870000}"/>
    <cellStyle name="Normal 37 4 13 13" xfId="19259" xr:uid="{00000000-0005-0000-0000-000028870000}"/>
    <cellStyle name="Normal 37 4 13 13 2" xfId="36619" xr:uid="{00000000-0005-0000-0000-000029870000}"/>
    <cellStyle name="Normal 37 4 13 14" xfId="19260" xr:uid="{00000000-0005-0000-0000-00002A870000}"/>
    <cellStyle name="Normal 37 4 13 14 2" xfId="36620" xr:uid="{00000000-0005-0000-0000-00002B870000}"/>
    <cellStyle name="Normal 37 4 13 15" xfId="36615" xr:uid="{00000000-0005-0000-0000-00002C870000}"/>
    <cellStyle name="Normal 37 4 13 2" xfId="19261" xr:uid="{00000000-0005-0000-0000-00002D870000}"/>
    <cellStyle name="Normal 37 4 13 2 2" xfId="36621" xr:uid="{00000000-0005-0000-0000-00002E870000}"/>
    <cellStyle name="Normal 37 4 13 3" xfId="19262" xr:uid="{00000000-0005-0000-0000-00002F870000}"/>
    <cellStyle name="Normal 37 4 13 3 2" xfId="36622" xr:uid="{00000000-0005-0000-0000-000030870000}"/>
    <cellStyle name="Normal 37 4 13 4" xfId="19263" xr:uid="{00000000-0005-0000-0000-000031870000}"/>
    <cellStyle name="Normal 37 4 13 4 2" xfId="36623" xr:uid="{00000000-0005-0000-0000-000032870000}"/>
    <cellStyle name="Normal 37 4 13 5" xfId="19264" xr:uid="{00000000-0005-0000-0000-000033870000}"/>
    <cellStyle name="Normal 37 4 13 5 2" xfId="36624" xr:uid="{00000000-0005-0000-0000-000034870000}"/>
    <cellStyle name="Normal 37 4 13 6" xfId="19265" xr:uid="{00000000-0005-0000-0000-000035870000}"/>
    <cellStyle name="Normal 37 4 13 6 2" xfId="36625" xr:uid="{00000000-0005-0000-0000-000036870000}"/>
    <cellStyle name="Normal 37 4 13 7" xfId="19266" xr:uid="{00000000-0005-0000-0000-000037870000}"/>
    <cellStyle name="Normal 37 4 13 7 2" xfId="36626" xr:uid="{00000000-0005-0000-0000-000038870000}"/>
    <cellStyle name="Normal 37 4 13 8" xfId="19267" xr:uid="{00000000-0005-0000-0000-000039870000}"/>
    <cellStyle name="Normal 37 4 13 8 2" xfId="36627" xr:uid="{00000000-0005-0000-0000-00003A870000}"/>
    <cellStyle name="Normal 37 4 13 9" xfId="19268" xr:uid="{00000000-0005-0000-0000-00003B870000}"/>
    <cellStyle name="Normal 37 4 13 9 2" xfId="36628" xr:uid="{00000000-0005-0000-0000-00003C870000}"/>
    <cellStyle name="Normal 37 4 14" xfId="19269" xr:uid="{00000000-0005-0000-0000-00003D870000}"/>
    <cellStyle name="Normal 37 4 14 10" xfId="19270" xr:uid="{00000000-0005-0000-0000-00003E870000}"/>
    <cellStyle name="Normal 37 4 14 10 2" xfId="36630" xr:uid="{00000000-0005-0000-0000-00003F870000}"/>
    <cellStyle name="Normal 37 4 14 11" xfId="19271" xr:uid="{00000000-0005-0000-0000-000040870000}"/>
    <cellStyle name="Normal 37 4 14 11 2" xfId="36631" xr:uid="{00000000-0005-0000-0000-000041870000}"/>
    <cellStyle name="Normal 37 4 14 12" xfId="19272" xr:uid="{00000000-0005-0000-0000-000042870000}"/>
    <cellStyle name="Normal 37 4 14 12 2" xfId="36632" xr:uid="{00000000-0005-0000-0000-000043870000}"/>
    <cellStyle name="Normal 37 4 14 13" xfId="19273" xr:uid="{00000000-0005-0000-0000-000044870000}"/>
    <cellStyle name="Normal 37 4 14 13 2" xfId="36633" xr:uid="{00000000-0005-0000-0000-000045870000}"/>
    <cellStyle name="Normal 37 4 14 14" xfId="19274" xr:uid="{00000000-0005-0000-0000-000046870000}"/>
    <cellStyle name="Normal 37 4 14 14 2" xfId="36634" xr:uid="{00000000-0005-0000-0000-000047870000}"/>
    <cellStyle name="Normal 37 4 14 15" xfId="36629" xr:uid="{00000000-0005-0000-0000-000048870000}"/>
    <cellStyle name="Normal 37 4 14 2" xfId="19275" xr:uid="{00000000-0005-0000-0000-000049870000}"/>
    <cellStyle name="Normal 37 4 14 2 2" xfId="36635" xr:uid="{00000000-0005-0000-0000-00004A870000}"/>
    <cellStyle name="Normal 37 4 14 3" xfId="19276" xr:uid="{00000000-0005-0000-0000-00004B870000}"/>
    <cellStyle name="Normal 37 4 14 3 2" xfId="36636" xr:uid="{00000000-0005-0000-0000-00004C870000}"/>
    <cellStyle name="Normal 37 4 14 4" xfId="19277" xr:uid="{00000000-0005-0000-0000-00004D870000}"/>
    <cellStyle name="Normal 37 4 14 4 2" xfId="36637" xr:uid="{00000000-0005-0000-0000-00004E870000}"/>
    <cellStyle name="Normal 37 4 14 5" xfId="19278" xr:uid="{00000000-0005-0000-0000-00004F870000}"/>
    <cellStyle name="Normal 37 4 14 5 2" xfId="36638" xr:uid="{00000000-0005-0000-0000-000050870000}"/>
    <cellStyle name="Normal 37 4 14 6" xfId="19279" xr:uid="{00000000-0005-0000-0000-000051870000}"/>
    <cellStyle name="Normal 37 4 14 6 2" xfId="36639" xr:uid="{00000000-0005-0000-0000-000052870000}"/>
    <cellStyle name="Normal 37 4 14 7" xfId="19280" xr:uid="{00000000-0005-0000-0000-000053870000}"/>
    <cellStyle name="Normal 37 4 14 7 2" xfId="36640" xr:uid="{00000000-0005-0000-0000-000054870000}"/>
    <cellStyle name="Normal 37 4 14 8" xfId="19281" xr:uid="{00000000-0005-0000-0000-000055870000}"/>
    <cellStyle name="Normal 37 4 14 8 2" xfId="36641" xr:uid="{00000000-0005-0000-0000-000056870000}"/>
    <cellStyle name="Normal 37 4 14 9" xfId="19282" xr:uid="{00000000-0005-0000-0000-000057870000}"/>
    <cellStyle name="Normal 37 4 14 9 2" xfId="36642" xr:uid="{00000000-0005-0000-0000-000058870000}"/>
    <cellStyle name="Normal 37 4 15" xfId="19283" xr:uid="{00000000-0005-0000-0000-000059870000}"/>
    <cellStyle name="Normal 37 4 15 10" xfId="19284" xr:uid="{00000000-0005-0000-0000-00005A870000}"/>
    <cellStyle name="Normal 37 4 15 10 2" xfId="36644" xr:uid="{00000000-0005-0000-0000-00005B870000}"/>
    <cellStyle name="Normal 37 4 15 11" xfId="19285" xr:uid="{00000000-0005-0000-0000-00005C870000}"/>
    <cellStyle name="Normal 37 4 15 11 2" xfId="36645" xr:uid="{00000000-0005-0000-0000-00005D870000}"/>
    <cellStyle name="Normal 37 4 15 12" xfId="19286" xr:uid="{00000000-0005-0000-0000-00005E870000}"/>
    <cellStyle name="Normal 37 4 15 12 2" xfId="36646" xr:uid="{00000000-0005-0000-0000-00005F870000}"/>
    <cellStyle name="Normal 37 4 15 13" xfId="19287" xr:uid="{00000000-0005-0000-0000-000060870000}"/>
    <cellStyle name="Normal 37 4 15 13 2" xfId="36647" xr:uid="{00000000-0005-0000-0000-000061870000}"/>
    <cellStyle name="Normal 37 4 15 14" xfId="19288" xr:uid="{00000000-0005-0000-0000-000062870000}"/>
    <cellStyle name="Normal 37 4 15 14 2" xfId="36648" xr:uid="{00000000-0005-0000-0000-000063870000}"/>
    <cellStyle name="Normal 37 4 15 15" xfId="36643" xr:uid="{00000000-0005-0000-0000-000064870000}"/>
    <cellStyle name="Normal 37 4 15 2" xfId="19289" xr:uid="{00000000-0005-0000-0000-000065870000}"/>
    <cellStyle name="Normal 37 4 15 2 2" xfId="36649" xr:uid="{00000000-0005-0000-0000-000066870000}"/>
    <cellStyle name="Normal 37 4 15 3" xfId="19290" xr:uid="{00000000-0005-0000-0000-000067870000}"/>
    <cellStyle name="Normal 37 4 15 3 2" xfId="36650" xr:uid="{00000000-0005-0000-0000-000068870000}"/>
    <cellStyle name="Normal 37 4 15 4" xfId="19291" xr:uid="{00000000-0005-0000-0000-000069870000}"/>
    <cellStyle name="Normal 37 4 15 4 2" xfId="36651" xr:uid="{00000000-0005-0000-0000-00006A870000}"/>
    <cellStyle name="Normal 37 4 15 5" xfId="19292" xr:uid="{00000000-0005-0000-0000-00006B870000}"/>
    <cellStyle name="Normal 37 4 15 5 2" xfId="36652" xr:uid="{00000000-0005-0000-0000-00006C870000}"/>
    <cellStyle name="Normal 37 4 15 6" xfId="19293" xr:uid="{00000000-0005-0000-0000-00006D870000}"/>
    <cellStyle name="Normal 37 4 15 6 2" xfId="36653" xr:uid="{00000000-0005-0000-0000-00006E870000}"/>
    <cellStyle name="Normal 37 4 15 7" xfId="19294" xr:uid="{00000000-0005-0000-0000-00006F870000}"/>
    <cellStyle name="Normal 37 4 15 7 2" xfId="36654" xr:uid="{00000000-0005-0000-0000-000070870000}"/>
    <cellStyle name="Normal 37 4 15 8" xfId="19295" xr:uid="{00000000-0005-0000-0000-000071870000}"/>
    <cellStyle name="Normal 37 4 15 8 2" xfId="36655" xr:uid="{00000000-0005-0000-0000-000072870000}"/>
    <cellStyle name="Normal 37 4 15 9" xfId="19296" xr:uid="{00000000-0005-0000-0000-000073870000}"/>
    <cellStyle name="Normal 37 4 15 9 2" xfId="36656" xr:uid="{00000000-0005-0000-0000-000074870000}"/>
    <cellStyle name="Normal 37 4 16" xfId="19297" xr:uid="{00000000-0005-0000-0000-000075870000}"/>
    <cellStyle name="Normal 37 4 16 2" xfId="36657" xr:uid="{00000000-0005-0000-0000-000076870000}"/>
    <cellStyle name="Normal 37 4 17" xfId="19298" xr:uid="{00000000-0005-0000-0000-000077870000}"/>
    <cellStyle name="Normal 37 4 17 2" xfId="36658" xr:uid="{00000000-0005-0000-0000-000078870000}"/>
    <cellStyle name="Normal 37 4 18" xfId="19299" xr:uid="{00000000-0005-0000-0000-000079870000}"/>
    <cellStyle name="Normal 37 4 18 2" xfId="36659" xr:uid="{00000000-0005-0000-0000-00007A870000}"/>
    <cellStyle name="Normal 37 4 19" xfId="19300" xr:uid="{00000000-0005-0000-0000-00007B870000}"/>
    <cellStyle name="Normal 37 4 19 2" xfId="36660" xr:uid="{00000000-0005-0000-0000-00007C870000}"/>
    <cellStyle name="Normal 37 4 2" xfId="19301" xr:uid="{00000000-0005-0000-0000-00007D870000}"/>
    <cellStyle name="Normal 37 4 2 10" xfId="19302" xr:uid="{00000000-0005-0000-0000-00007E870000}"/>
    <cellStyle name="Normal 37 4 2 10 2" xfId="36662" xr:uid="{00000000-0005-0000-0000-00007F870000}"/>
    <cellStyle name="Normal 37 4 2 11" xfId="19303" xr:uid="{00000000-0005-0000-0000-000080870000}"/>
    <cellStyle name="Normal 37 4 2 11 2" xfId="36663" xr:uid="{00000000-0005-0000-0000-000081870000}"/>
    <cellStyle name="Normal 37 4 2 12" xfId="19304" xr:uid="{00000000-0005-0000-0000-000082870000}"/>
    <cellStyle name="Normal 37 4 2 12 2" xfId="36664" xr:uid="{00000000-0005-0000-0000-000083870000}"/>
    <cellStyle name="Normal 37 4 2 13" xfId="19305" xr:uid="{00000000-0005-0000-0000-000084870000}"/>
    <cellStyle name="Normal 37 4 2 13 2" xfId="36665" xr:uid="{00000000-0005-0000-0000-000085870000}"/>
    <cellStyle name="Normal 37 4 2 14" xfId="19306" xr:uid="{00000000-0005-0000-0000-000086870000}"/>
    <cellStyle name="Normal 37 4 2 14 2" xfId="36666" xr:uid="{00000000-0005-0000-0000-000087870000}"/>
    <cellStyle name="Normal 37 4 2 15" xfId="19307" xr:uid="{00000000-0005-0000-0000-000088870000}"/>
    <cellStyle name="Normal 37 4 2 15 2" xfId="36667" xr:uid="{00000000-0005-0000-0000-000089870000}"/>
    <cellStyle name="Normal 37 4 2 16" xfId="36661" xr:uid="{00000000-0005-0000-0000-00008A870000}"/>
    <cellStyle name="Normal 37 4 2 2" xfId="19308" xr:uid="{00000000-0005-0000-0000-00008B870000}"/>
    <cellStyle name="Normal 37 4 2 2 10" xfId="19309" xr:uid="{00000000-0005-0000-0000-00008C870000}"/>
    <cellStyle name="Normal 37 4 2 2 10 2" xfId="36669" xr:uid="{00000000-0005-0000-0000-00008D870000}"/>
    <cellStyle name="Normal 37 4 2 2 11" xfId="19310" xr:uid="{00000000-0005-0000-0000-00008E870000}"/>
    <cellStyle name="Normal 37 4 2 2 11 2" xfId="36670" xr:uid="{00000000-0005-0000-0000-00008F870000}"/>
    <cellStyle name="Normal 37 4 2 2 12" xfId="19311" xr:uid="{00000000-0005-0000-0000-000090870000}"/>
    <cellStyle name="Normal 37 4 2 2 12 2" xfId="36671" xr:uid="{00000000-0005-0000-0000-000091870000}"/>
    <cellStyle name="Normal 37 4 2 2 13" xfId="19312" xr:uid="{00000000-0005-0000-0000-000092870000}"/>
    <cellStyle name="Normal 37 4 2 2 13 2" xfId="36672" xr:uid="{00000000-0005-0000-0000-000093870000}"/>
    <cellStyle name="Normal 37 4 2 2 14" xfId="19313" xr:uid="{00000000-0005-0000-0000-000094870000}"/>
    <cellStyle name="Normal 37 4 2 2 14 2" xfId="36673" xr:uid="{00000000-0005-0000-0000-000095870000}"/>
    <cellStyle name="Normal 37 4 2 2 15" xfId="36668" xr:uid="{00000000-0005-0000-0000-000096870000}"/>
    <cellStyle name="Normal 37 4 2 2 2" xfId="19314" xr:uid="{00000000-0005-0000-0000-000097870000}"/>
    <cellStyle name="Normal 37 4 2 2 2 2" xfId="36674" xr:uid="{00000000-0005-0000-0000-000098870000}"/>
    <cellStyle name="Normal 37 4 2 2 3" xfId="19315" xr:uid="{00000000-0005-0000-0000-000099870000}"/>
    <cellStyle name="Normal 37 4 2 2 3 2" xfId="36675" xr:uid="{00000000-0005-0000-0000-00009A870000}"/>
    <cellStyle name="Normal 37 4 2 2 4" xfId="19316" xr:uid="{00000000-0005-0000-0000-00009B870000}"/>
    <cellStyle name="Normal 37 4 2 2 4 2" xfId="36676" xr:uid="{00000000-0005-0000-0000-00009C870000}"/>
    <cellStyle name="Normal 37 4 2 2 5" xfId="19317" xr:uid="{00000000-0005-0000-0000-00009D870000}"/>
    <cellStyle name="Normal 37 4 2 2 5 2" xfId="36677" xr:uid="{00000000-0005-0000-0000-00009E870000}"/>
    <cellStyle name="Normal 37 4 2 2 6" xfId="19318" xr:uid="{00000000-0005-0000-0000-00009F870000}"/>
    <cellStyle name="Normal 37 4 2 2 6 2" xfId="36678" xr:uid="{00000000-0005-0000-0000-0000A0870000}"/>
    <cellStyle name="Normal 37 4 2 2 7" xfId="19319" xr:uid="{00000000-0005-0000-0000-0000A1870000}"/>
    <cellStyle name="Normal 37 4 2 2 7 2" xfId="36679" xr:uid="{00000000-0005-0000-0000-0000A2870000}"/>
    <cellStyle name="Normal 37 4 2 2 8" xfId="19320" xr:uid="{00000000-0005-0000-0000-0000A3870000}"/>
    <cellStyle name="Normal 37 4 2 2 8 2" xfId="36680" xr:uid="{00000000-0005-0000-0000-0000A4870000}"/>
    <cellStyle name="Normal 37 4 2 2 9" xfId="19321" xr:uid="{00000000-0005-0000-0000-0000A5870000}"/>
    <cellStyle name="Normal 37 4 2 2 9 2" xfId="36681" xr:uid="{00000000-0005-0000-0000-0000A6870000}"/>
    <cellStyle name="Normal 37 4 2 3" xfId="19322" xr:uid="{00000000-0005-0000-0000-0000A7870000}"/>
    <cellStyle name="Normal 37 4 2 3 2" xfId="36682" xr:uid="{00000000-0005-0000-0000-0000A8870000}"/>
    <cellStyle name="Normal 37 4 2 4" xfId="19323" xr:uid="{00000000-0005-0000-0000-0000A9870000}"/>
    <cellStyle name="Normal 37 4 2 4 2" xfId="36683" xr:uid="{00000000-0005-0000-0000-0000AA870000}"/>
    <cellStyle name="Normal 37 4 2 5" xfId="19324" xr:uid="{00000000-0005-0000-0000-0000AB870000}"/>
    <cellStyle name="Normal 37 4 2 5 2" xfId="36684" xr:uid="{00000000-0005-0000-0000-0000AC870000}"/>
    <cellStyle name="Normal 37 4 2 6" xfId="19325" xr:uid="{00000000-0005-0000-0000-0000AD870000}"/>
    <cellStyle name="Normal 37 4 2 6 2" xfId="36685" xr:uid="{00000000-0005-0000-0000-0000AE870000}"/>
    <cellStyle name="Normal 37 4 2 7" xfId="19326" xr:uid="{00000000-0005-0000-0000-0000AF870000}"/>
    <cellStyle name="Normal 37 4 2 7 2" xfId="36686" xr:uid="{00000000-0005-0000-0000-0000B0870000}"/>
    <cellStyle name="Normal 37 4 2 8" xfId="19327" xr:uid="{00000000-0005-0000-0000-0000B1870000}"/>
    <cellStyle name="Normal 37 4 2 8 2" xfId="36687" xr:uid="{00000000-0005-0000-0000-0000B2870000}"/>
    <cellStyle name="Normal 37 4 2 9" xfId="19328" xr:uid="{00000000-0005-0000-0000-0000B3870000}"/>
    <cellStyle name="Normal 37 4 2 9 2" xfId="36688" xr:uid="{00000000-0005-0000-0000-0000B4870000}"/>
    <cellStyle name="Normal 37 4 20" xfId="19329" xr:uid="{00000000-0005-0000-0000-0000B5870000}"/>
    <cellStyle name="Normal 37 4 20 2" xfId="36689" xr:uid="{00000000-0005-0000-0000-0000B6870000}"/>
    <cellStyle name="Normal 37 4 21" xfId="19330" xr:uid="{00000000-0005-0000-0000-0000B7870000}"/>
    <cellStyle name="Normal 37 4 21 2" xfId="36690" xr:uid="{00000000-0005-0000-0000-0000B8870000}"/>
    <cellStyle name="Normal 37 4 22" xfId="19331" xr:uid="{00000000-0005-0000-0000-0000B9870000}"/>
    <cellStyle name="Normal 37 4 22 2" xfId="36691" xr:uid="{00000000-0005-0000-0000-0000BA870000}"/>
    <cellStyle name="Normal 37 4 23" xfId="19332" xr:uid="{00000000-0005-0000-0000-0000BB870000}"/>
    <cellStyle name="Normal 37 4 23 2" xfId="36692" xr:uid="{00000000-0005-0000-0000-0000BC870000}"/>
    <cellStyle name="Normal 37 4 24" xfId="19333" xr:uid="{00000000-0005-0000-0000-0000BD870000}"/>
    <cellStyle name="Normal 37 4 24 2" xfId="36693" xr:uid="{00000000-0005-0000-0000-0000BE870000}"/>
    <cellStyle name="Normal 37 4 25" xfId="19334" xr:uid="{00000000-0005-0000-0000-0000BF870000}"/>
    <cellStyle name="Normal 37 4 25 2" xfId="36694" xr:uid="{00000000-0005-0000-0000-0000C0870000}"/>
    <cellStyle name="Normal 37 4 26" xfId="19335" xr:uid="{00000000-0005-0000-0000-0000C1870000}"/>
    <cellStyle name="Normal 37 4 26 2" xfId="36695" xr:uid="{00000000-0005-0000-0000-0000C2870000}"/>
    <cellStyle name="Normal 37 4 27" xfId="19336" xr:uid="{00000000-0005-0000-0000-0000C3870000}"/>
    <cellStyle name="Normal 37 4 27 2" xfId="36696" xr:uid="{00000000-0005-0000-0000-0000C4870000}"/>
    <cellStyle name="Normal 37 4 28" xfId="19337" xr:uid="{00000000-0005-0000-0000-0000C5870000}"/>
    <cellStyle name="Normal 37 4 28 2" xfId="36697" xr:uid="{00000000-0005-0000-0000-0000C6870000}"/>
    <cellStyle name="Normal 37 4 29" xfId="36572" xr:uid="{00000000-0005-0000-0000-0000C7870000}"/>
    <cellStyle name="Normal 37 4 3" xfId="19338" xr:uid="{00000000-0005-0000-0000-0000C8870000}"/>
    <cellStyle name="Normal 37 4 3 10" xfId="19339" xr:uid="{00000000-0005-0000-0000-0000C9870000}"/>
    <cellStyle name="Normal 37 4 3 10 2" xfId="36699" xr:uid="{00000000-0005-0000-0000-0000CA870000}"/>
    <cellStyle name="Normal 37 4 3 11" xfId="19340" xr:uid="{00000000-0005-0000-0000-0000CB870000}"/>
    <cellStyle name="Normal 37 4 3 11 2" xfId="36700" xr:uid="{00000000-0005-0000-0000-0000CC870000}"/>
    <cellStyle name="Normal 37 4 3 12" xfId="19341" xr:uid="{00000000-0005-0000-0000-0000CD870000}"/>
    <cellStyle name="Normal 37 4 3 12 2" xfId="36701" xr:uid="{00000000-0005-0000-0000-0000CE870000}"/>
    <cellStyle name="Normal 37 4 3 13" xfId="19342" xr:uid="{00000000-0005-0000-0000-0000CF870000}"/>
    <cellStyle name="Normal 37 4 3 13 2" xfId="36702" xr:uid="{00000000-0005-0000-0000-0000D0870000}"/>
    <cellStyle name="Normal 37 4 3 14" xfId="19343" xr:uid="{00000000-0005-0000-0000-0000D1870000}"/>
    <cellStyle name="Normal 37 4 3 14 2" xfId="36703" xr:uid="{00000000-0005-0000-0000-0000D2870000}"/>
    <cellStyle name="Normal 37 4 3 15" xfId="19344" xr:uid="{00000000-0005-0000-0000-0000D3870000}"/>
    <cellStyle name="Normal 37 4 3 15 2" xfId="36704" xr:uid="{00000000-0005-0000-0000-0000D4870000}"/>
    <cellStyle name="Normal 37 4 3 16" xfId="36698" xr:uid="{00000000-0005-0000-0000-0000D5870000}"/>
    <cellStyle name="Normal 37 4 3 2" xfId="19345" xr:uid="{00000000-0005-0000-0000-0000D6870000}"/>
    <cellStyle name="Normal 37 4 3 2 10" xfId="19346" xr:uid="{00000000-0005-0000-0000-0000D7870000}"/>
    <cellStyle name="Normal 37 4 3 2 10 2" xfId="36706" xr:uid="{00000000-0005-0000-0000-0000D8870000}"/>
    <cellStyle name="Normal 37 4 3 2 11" xfId="19347" xr:uid="{00000000-0005-0000-0000-0000D9870000}"/>
    <cellStyle name="Normal 37 4 3 2 11 2" xfId="36707" xr:uid="{00000000-0005-0000-0000-0000DA870000}"/>
    <cellStyle name="Normal 37 4 3 2 12" xfId="19348" xr:uid="{00000000-0005-0000-0000-0000DB870000}"/>
    <cellStyle name="Normal 37 4 3 2 12 2" xfId="36708" xr:uid="{00000000-0005-0000-0000-0000DC870000}"/>
    <cellStyle name="Normal 37 4 3 2 13" xfId="19349" xr:uid="{00000000-0005-0000-0000-0000DD870000}"/>
    <cellStyle name="Normal 37 4 3 2 13 2" xfId="36709" xr:uid="{00000000-0005-0000-0000-0000DE870000}"/>
    <cellStyle name="Normal 37 4 3 2 14" xfId="19350" xr:uid="{00000000-0005-0000-0000-0000DF870000}"/>
    <cellStyle name="Normal 37 4 3 2 14 2" xfId="36710" xr:uid="{00000000-0005-0000-0000-0000E0870000}"/>
    <cellStyle name="Normal 37 4 3 2 15" xfId="36705" xr:uid="{00000000-0005-0000-0000-0000E1870000}"/>
    <cellStyle name="Normal 37 4 3 2 2" xfId="19351" xr:uid="{00000000-0005-0000-0000-0000E2870000}"/>
    <cellStyle name="Normal 37 4 3 2 2 2" xfId="36711" xr:uid="{00000000-0005-0000-0000-0000E3870000}"/>
    <cellStyle name="Normal 37 4 3 2 3" xfId="19352" xr:uid="{00000000-0005-0000-0000-0000E4870000}"/>
    <cellStyle name="Normal 37 4 3 2 3 2" xfId="36712" xr:uid="{00000000-0005-0000-0000-0000E5870000}"/>
    <cellStyle name="Normal 37 4 3 2 4" xfId="19353" xr:uid="{00000000-0005-0000-0000-0000E6870000}"/>
    <cellStyle name="Normal 37 4 3 2 4 2" xfId="36713" xr:uid="{00000000-0005-0000-0000-0000E7870000}"/>
    <cellStyle name="Normal 37 4 3 2 5" xfId="19354" xr:uid="{00000000-0005-0000-0000-0000E8870000}"/>
    <cellStyle name="Normal 37 4 3 2 5 2" xfId="36714" xr:uid="{00000000-0005-0000-0000-0000E9870000}"/>
    <cellStyle name="Normal 37 4 3 2 6" xfId="19355" xr:uid="{00000000-0005-0000-0000-0000EA870000}"/>
    <cellStyle name="Normal 37 4 3 2 6 2" xfId="36715" xr:uid="{00000000-0005-0000-0000-0000EB870000}"/>
    <cellStyle name="Normal 37 4 3 2 7" xfId="19356" xr:uid="{00000000-0005-0000-0000-0000EC870000}"/>
    <cellStyle name="Normal 37 4 3 2 7 2" xfId="36716" xr:uid="{00000000-0005-0000-0000-0000ED870000}"/>
    <cellStyle name="Normal 37 4 3 2 8" xfId="19357" xr:uid="{00000000-0005-0000-0000-0000EE870000}"/>
    <cellStyle name="Normal 37 4 3 2 8 2" xfId="36717" xr:uid="{00000000-0005-0000-0000-0000EF870000}"/>
    <cellStyle name="Normal 37 4 3 2 9" xfId="19358" xr:uid="{00000000-0005-0000-0000-0000F0870000}"/>
    <cellStyle name="Normal 37 4 3 2 9 2" xfId="36718" xr:uid="{00000000-0005-0000-0000-0000F1870000}"/>
    <cellStyle name="Normal 37 4 3 3" xfId="19359" xr:uid="{00000000-0005-0000-0000-0000F2870000}"/>
    <cellStyle name="Normal 37 4 3 3 2" xfId="36719" xr:uid="{00000000-0005-0000-0000-0000F3870000}"/>
    <cellStyle name="Normal 37 4 3 4" xfId="19360" xr:uid="{00000000-0005-0000-0000-0000F4870000}"/>
    <cellStyle name="Normal 37 4 3 4 2" xfId="36720" xr:uid="{00000000-0005-0000-0000-0000F5870000}"/>
    <cellStyle name="Normal 37 4 3 5" xfId="19361" xr:uid="{00000000-0005-0000-0000-0000F6870000}"/>
    <cellStyle name="Normal 37 4 3 5 2" xfId="36721" xr:uid="{00000000-0005-0000-0000-0000F7870000}"/>
    <cellStyle name="Normal 37 4 3 6" xfId="19362" xr:uid="{00000000-0005-0000-0000-0000F8870000}"/>
    <cellStyle name="Normal 37 4 3 6 2" xfId="36722" xr:uid="{00000000-0005-0000-0000-0000F9870000}"/>
    <cellStyle name="Normal 37 4 3 7" xfId="19363" xr:uid="{00000000-0005-0000-0000-0000FA870000}"/>
    <cellStyle name="Normal 37 4 3 7 2" xfId="36723" xr:uid="{00000000-0005-0000-0000-0000FB870000}"/>
    <cellStyle name="Normal 37 4 3 8" xfId="19364" xr:uid="{00000000-0005-0000-0000-0000FC870000}"/>
    <cellStyle name="Normal 37 4 3 8 2" xfId="36724" xr:uid="{00000000-0005-0000-0000-0000FD870000}"/>
    <cellStyle name="Normal 37 4 3 9" xfId="19365" xr:uid="{00000000-0005-0000-0000-0000FE870000}"/>
    <cellStyle name="Normal 37 4 3 9 2" xfId="36725" xr:uid="{00000000-0005-0000-0000-0000FF870000}"/>
    <cellStyle name="Normal 37 4 4" xfId="19366" xr:uid="{00000000-0005-0000-0000-000000880000}"/>
    <cellStyle name="Normal 37 4 4 10" xfId="19367" xr:uid="{00000000-0005-0000-0000-000001880000}"/>
    <cellStyle name="Normal 37 4 4 10 2" xfId="36727" xr:uid="{00000000-0005-0000-0000-000002880000}"/>
    <cellStyle name="Normal 37 4 4 11" xfId="19368" xr:uid="{00000000-0005-0000-0000-000003880000}"/>
    <cellStyle name="Normal 37 4 4 11 2" xfId="36728" xr:uid="{00000000-0005-0000-0000-000004880000}"/>
    <cellStyle name="Normal 37 4 4 12" xfId="19369" xr:uid="{00000000-0005-0000-0000-000005880000}"/>
    <cellStyle name="Normal 37 4 4 12 2" xfId="36729" xr:uid="{00000000-0005-0000-0000-000006880000}"/>
    <cellStyle name="Normal 37 4 4 13" xfId="19370" xr:uid="{00000000-0005-0000-0000-000007880000}"/>
    <cellStyle name="Normal 37 4 4 13 2" xfId="36730" xr:uid="{00000000-0005-0000-0000-000008880000}"/>
    <cellStyle name="Normal 37 4 4 14" xfId="19371" xr:uid="{00000000-0005-0000-0000-000009880000}"/>
    <cellStyle name="Normal 37 4 4 14 2" xfId="36731" xr:uid="{00000000-0005-0000-0000-00000A880000}"/>
    <cellStyle name="Normal 37 4 4 15" xfId="19372" xr:uid="{00000000-0005-0000-0000-00000B880000}"/>
    <cellStyle name="Normal 37 4 4 15 2" xfId="36732" xr:uid="{00000000-0005-0000-0000-00000C880000}"/>
    <cellStyle name="Normal 37 4 4 16" xfId="36726" xr:uid="{00000000-0005-0000-0000-00000D880000}"/>
    <cellStyle name="Normal 37 4 4 2" xfId="19373" xr:uid="{00000000-0005-0000-0000-00000E880000}"/>
    <cellStyle name="Normal 37 4 4 2 10" xfId="19374" xr:uid="{00000000-0005-0000-0000-00000F880000}"/>
    <cellStyle name="Normal 37 4 4 2 10 2" xfId="36734" xr:uid="{00000000-0005-0000-0000-000010880000}"/>
    <cellStyle name="Normal 37 4 4 2 11" xfId="19375" xr:uid="{00000000-0005-0000-0000-000011880000}"/>
    <cellStyle name="Normal 37 4 4 2 11 2" xfId="36735" xr:uid="{00000000-0005-0000-0000-000012880000}"/>
    <cellStyle name="Normal 37 4 4 2 12" xfId="19376" xr:uid="{00000000-0005-0000-0000-000013880000}"/>
    <cellStyle name="Normal 37 4 4 2 12 2" xfId="36736" xr:uid="{00000000-0005-0000-0000-000014880000}"/>
    <cellStyle name="Normal 37 4 4 2 13" xfId="19377" xr:uid="{00000000-0005-0000-0000-000015880000}"/>
    <cellStyle name="Normal 37 4 4 2 13 2" xfId="36737" xr:uid="{00000000-0005-0000-0000-000016880000}"/>
    <cellStyle name="Normal 37 4 4 2 14" xfId="19378" xr:uid="{00000000-0005-0000-0000-000017880000}"/>
    <cellStyle name="Normal 37 4 4 2 14 2" xfId="36738" xr:uid="{00000000-0005-0000-0000-000018880000}"/>
    <cellStyle name="Normal 37 4 4 2 15" xfId="36733" xr:uid="{00000000-0005-0000-0000-000019880000}"/>
    <cellStyle name="Normal 37 4 4 2 2" xfId="19379" xr:uid="{00000000-0005-0000-0000-00001A880000}"/>
    <cellStyle name="Normal 37 4 4 2 2 2" xfId="36739" xr:uid="{00000000-0005-0000-0000-00001B880000}"/>
    <cellStyle name="Normal 37 4 4 2 3" xfId="19380" xr:uid="{00000000-0005-0000-0000-00001C880000}"/>
    <cellStyle name="Normal 37 4 4 2 3 2" xfId="36740" xr:uid="{00000000-0005-0000-0000-00001D880000}"/>
    <cellStyle name="Normal 37 4 4 2 4" xfId="19381" xr:uid="{00000000-0005-0000-0000-00001E880000}"/>
    <cellStyle name="Normal 37 4 4 2 4 2" xfId="36741" xr:uid="{00000000-0005-0000-0000-00001F880000}"/>
    <cellStyle name="Normal 37 4 4 2 5" xfId="19382" xr:uid="{00000000-0005-0000-0000-000020880000}"/>
    <cellStyle name="Normal 37 4 4 2 5 2" xfId="36742" xr:uid="{00000000-0005-0000-0000-000021880000}"/>
    <cellStyle name="Normal 37 4 4 2 6" xfId="19383" xr:uid="{00000000-0005-0000-0000-000022880000}"/>
    <cellStyle name="Normal 37 4 4 2 6 2" xfId="36743" xr:uid="{00000000-0005-0000-0000-000023880000}"/>
    <cellStyle name="Normal 37 4 4 2 7" xfId="19384" xr:uid="{00000000-0005-0000-0000-000024880000}"/>
    <cellStyle name="Normal 37 4 4 2 7 2" xfId="36744" xr:uid="{00000000-0005-0000-0000-000025880000}"/>
    <cellStyle name="Normal 37 4 4 2 8" xfId="19385" xr:uid="{00000000-0005-0000-0000-000026880000}"/>
    <cellStyle name="Normal 37 4 4 2 8 2" xfId="36745" xr:uid="{00000000-0005-0000-0000-000027880000}"/>
    <cellStyle name="Normal 37 4 4 2 9" xfId="19386" xr:uid="{00000000-0005-0000-0000-000028880000}"/>
    <cellStyle name="Normal 37 4 4 2 9 2" xfId="36746" xr:uid="{00000000-0005-0000-0000-000029880000}"/>
    <cellStyle name="Normal 37 4 4 3" xfId="19387" xr:uid="{00000000-0005-0000-0000-00002A880000}"/>
    <cellStyle name="Normal 37 4 4 3 2" xfId="36747" xr:uid="{00000000-0005-0000-0000-00002B880000}"/>
    <cellStyle name="Normal 37 4 4 4" xfId="19388" xr:uid="{00000000-0005-0000-0000-00002C880000}"/>
    <cellStyle name="Normal 37 4 4 4 2" xfId="36748" xr:uid="{00000000-0005-0000-0000-00002D880000}"/>
    <cellStyle name="Normal 37 4 4 5" xfId="19389" xr:uid="{00000000-0005-0000-0000-00002E880000}"/>
    <cellStyle name="Normal 37 4 4 5 2" xfId="36749" xr:uid="{00000000-0005-0000-0000-00002F880000}"/>
    <cellStyle name="Normal 37 4 4 6" xfId="19390" xr:uid="{00000000-0005-0000-0000-000030880000}"/>
    <cellStyle name="Normal 37 4 4 6 2" xfId="36750" xr:uid="{00000000-0005-0000-0000-000031880000}"/>
    <cellStyle name="Normal 37 4 4 7" xfId="19391" xr:uid="{00000000-0005-0000-0000-000032880000}"/>
    <cellStyle name="Normal 37 4 4 7 2" xfId="36751" xr:uid="{00000000-0005-0000-0000-000033880000}"/>
    <cellStyle name="Normal 37 4 4 8" xfId="19392" xr:uid="{00000000-0005-0000-0000-000034880000}"/>
    <cellStyle name="Normal 37 4 4 8 2" xfId="36752" xr:uid="{00000000-0005-0000-0000-000035880000}"/>
    <cellStyle name="Normal 37 4 4 9" xfId="19393" xr:uid="{00000000-0005-0000-0000-000036880000}"/>
    <cellStyle name="Normal 37 4 4 9 2" xfId="36753" xr:uid="{00000000-0005-0000-0000-000037880000}"/>
    <cellStyle name="Normal 37 4 5" xfId="19394" xr:uid="{00000000-0005-0000-0000-000038880000}"/>
    <cellStyle name="Normal 37 4 5 10" xfId="19395" xr:uid="{00000000-0005-0000-0000-000039880000}"/>
    <cellStyle name="Normal 37 4 5 10 2" xfId="36755" xr:uid="{00000000-0005-0000-0000-00003A880000}"/>
    <cellStyle name="Normal 37 4 5 11" xfId="19396" xr:uid="{00000000-0005-0000-0000-00003B880000}"/>
    <cellStyle name="Normal 37 4 5 11 2" xfId="36756" xr:uid="{00000000-0005-0000-0000-00003C880000}"/>
    <cellStyle name="Normal 37 4 5 12" xfId="19397" xr:uid="{00000000-0005-0000-0000-00003D880000}"/>
    <cellStyle name="Normal 37 4 5 12 2" xfId="36757" xr:uid="{00000000-0005-0000-0000-00003E880000}"/>
    <cellStyle name="Normal 37 4 5 13" xfId="19398" xr:uid="{00000000-0005-0000-0000-00003F880000}"/>
    <cellStyle name="Normal 37 4 5 13 2" xfId="36758" xr:uid="{00000000-0005-0000-0000-000040880000}"/>
    <cellStyle name="Normal 37 4 5 14" xfId="19399" xr:uid="{00000000-0005-0000-0000-000041880000}"/>
    <cellStyle name="Normal 37 4 5 14 2" xfId="36759" xr:uid="{00000000-0005-0000-0000-000042880000}"/>
    <cellStyle name="Normal 37 4 5 15" xfId="36754" xr:uid="{00000000-0005-0000-0000-000043880000}"/>
    <cellStyle name="Normal 37 4 5 2" xfId="19400" xr:uid="{00000000-0005-0000-0000-000044880000}"/>
    <cellStyle name="Normal 37 4 5 2 2" xfId="36760" xr:uid="{00000000-0005-0000-0000-000045880000}"/>
    <cellStyle name="Normal 37 4 5 3" xfId="19401" xr:uid="{00000000-0005-0000-0000-000046880000}"/>
    <cellStyle name="Normal 37 4 5 3 2" xfId="36761" xr:uid="{00000000-0005-0000-0000-000047880000}"/>
    <cellStyle name="Normal 37 4 5 4" xfId="19402" xr:uid="{00000000-0005-0000-0000-000048880000}"/>
    <cellStyle name="Normal 37 4 5 4 2" xfId="36762" xr:uid="{00000000-0005-0000-0000-000049880000}"/>
    <cellStyle name="Normal 37 4 5 5" xfId="19403" xr:uid="{00000000-0005-0000-0000-00004A880000}"/>
    <cellStyle name="Normal 37 4 5 5 2" xfId="36763" xr:uid="{00000000-0005-0000-0000-00004B880000}"/>
    <cellStyle name="Normal 37 4 5 6" xfId="19404" xr:uid="{00000000-0005-0000-0000-00004C880000}"/>
    <cellStyle name="Normal 37 4 5 6 2" xfId="36764" xr:uid="{00000000-0005-0000-0000-00004D880000}"/>
    <cellStyle name="Normal 37 4 5 7" xfId="19405" xr:uid="{00000000-0005-0000-0000-00004E880000}"/>
    <cellStyle name="Normal 37 4 5 7 2" xfId="36765" xr:uid="{00000000-0005-0000-0000-00004F880000}"/>
    <cellStyle name="Normal 37 4 5 8" xfId="19406" xr:uid="{00000000-0005-0000-0000-000050880000}"/>
    <cellStyle name="Normal 37 4 5 8 2" xfId="36766" xr:uid="{00000000-0005-0000-0000-000051880000}"/>
    <cellStyle name="Normal 37 4 5 9" xfId="19407" xr:uid="{00000000-0005-0000-0000-000052880000}"/>
    <cellStyle name="Normal 37 4 5 9 2" xfId="36767" xr:uid="{00000000-0005-0000-0000-000053880000}"/>
    <cellStyle name="Normal 37 4 6" xfId="19408" xr:uid="{00000000-0005-0000-0000-000054880000}"/>
    <cellStyle name="Normal 37 4 6 10" xfId="19409" xr:uid="{00000000-0005-0000-0000-000055880000}"/>
    <cellStyle name="Normal 37 4 6 10 2" xfId="36769" xr:uid="{00000000-0005-0000-0000-000056880000}"/>
    <cellStyle name="Normal 37 4 6 11" xfId="19410" xr:uid="{00000000-0005-0000-0000-000057880000}"/>
    <cellStyle name="Normal 37 4 6 11 2" xfId="36770" xr:uid="{00000000-0005-0000-0000-000058880000}"/>
    <cellStyle name="Normal 37 4 6 12" xfId="19411" xr:uid="{00000000-0005-0000-0000-000059880000}"/>
    <cellStyle name="Normal 37 4 6 12 2" xfId="36771" xr:uid="{00000000-0005-0000-0000-00005A880000}"/>
    <cellStyle name="Normal 37 4 6 13" xfId="19412" xr:uid="{00000000-0005-0000-0000-00005B880000}"/>
    <cellStyle name="Normal 37 4 6 13 2" xfId="36772" xr:uid="{00000000-0005-0000-0000-00005C880000}"/>
    <cellStyle name="Normal 37 4 6 14" xfId="19413" xr:uid="{00000000-0005-0000-0000-00005D880000}"/>
    <cellStyle name="Normal 37 4 6 14 2" xfId="36773" xr:uid="{00000000-0005-0000-0000-00005E880000}"/>
    <cellStyle name="Normal 37 4 6 15" xfId="36768" xr:uid="{00000000-0005-0000-0000-00005F880000}"/>
    <cellStyle name="Normal 37 4 6 2" xfId="19414" xr:uid="{00000000-0005-0000-0000-000060880000}"/>
    <cellStyle name="Normal 37 4 6 2 2" xfId="36774" xr:uid="{00000000-0005-0000-0000-000061880000}"/>
    <cellStyle name="Normal 37 4 6 3" xfId="19415" xr:uid="{00000000-0005-0000-0000-000062880000}"/>
    <cellStyle name="Normal 37 4 6 3 2" xfId="36775" xr:uid="{00000000-0005-0000-0000-000063880000}"/>
    <cellStyle name="Normal 37 4 6 4" xfId="19416" xr:uid="{00000000-0005-0000-0000-000064880000}"/>
    <cellStyle name="Normal 37 4 6 4 2" xfId="36776" xr:uid="{00000000-0005-0000-0000-000065880000}"/>
    <cellStyle name="Normal 37 4 6 5" xfId="19417" xr:uid="{00000000-0005-0000-0000-000066880000}"/>
    <cellStyle name="Normal 37 4 6 5 2" xfId="36777" xr:uid="{00000000-0005-0000-0000-000067880000}"/>
    <cellStyle name="Normal 37 4 6 6" xfId="19418" xr:uid="{00000000-0005-0000-0000-000068880000}"/>
    <cellStyle name="Normal 37 4 6 6 2" xfId="36778" xr:uid="{00000000-0005-0000-0000-000069880000}"/>
    <cellStyle name="Normal 37 4 6 7" xfId="19419" xr:uid="{00000000-0005-0000-0000-00006A880000}"/>
    <cellStyle name="Normal 37 4 6 7 2" xfId="36779" xr:uid="{00000000-0005-0000-0000-00006B880000}"/>
    <cellStyle name="Normal 37 4 6 8" xfId="19420" xr:uid="{00000000-0005-0000-0000-00006C880000}"/>
    <cellStyle name="Normal 37 4 6 8 2" xfId="36780" xr:uid="{00000000-0005-0000-0000-00006D880000}"/>
    <cellStyle name="Normal 37 4 6 9" xfId="19421" xr:uid="{00000000-0005-0000-0000-00006E880000}"/>
    <cellStyle name="Normal 37 4 6 9 2" xfId="36781" xr:uid="{00000000-0005-0000-0000-00006F880000}"/>
    <cellStyle name="Normal 37 4 7" xfId="19422" xr:uid="{00000000-0005-0000-0000-000070880000}"/>
    <cellStyle name="Normal 37 4 7 10" xfId="19423" xr:uid="{00000000-0005-0000-0000-000071880000}"/>
    <cellStyle name="Normal 37 4 7 10 2" xfId="36783" xr:uid="{00000000-0005-0000-0000-000072880000}"/>
    <cellStyle name="Normal 37 4 7 11" xfId="19424" xr:uid="{00000000-0005-0000-0000-000073880000}"/>
    <cellStyle name="Normal 37 4 7 11 2" xfId="36784" xr:uid="{00000000-0005-0000-0000-000074880000}"/>
    <cellStyle name="Normal 37 4 7 12" xfId="19425" xr:uid="{00000000-0005-0000-0000-000075880000}"/>
    <cellStyle name="Normal 37 4 7 12 2" xfId="36785" xr:uid="{00000000-0005-0000-0000-000076880000}"/>
    <cellStyle name="Normal 37 4 7 13" xfId="19426" xr:uid="{00000000-0005-0000-0000-000077880000}"/>
    <cellStyle name="Normal 37 4 7 13 2" xfId="36786" xr:uid="{00000000-0005-0000-0000-000078880000}"/>
    <cellStyle name="Normal 37 4 7 14" xfId="19427" xr:uid="{00000000-0005-0000-0000-000079880000}"/>
    <cellStyle name="Normal 37 4 7 14 2" xfId="36787" xr:uid="{00000000-0005-0000-0000-00007A880000}"/>
    <cellStyle name="Normal 37 4 7 15" xfId="36782" xr:uid="{00000000-0005-0000-0000-00007B880000}"/>
    <cellStyle name="Normal 37 4 7 2" xfId="19428" xr:uid="{00000000-0005-0000-0000-00007C880000}"/>
    <cellStyle name="Normal 37 4 7 2 2" xfId="36788" xr:uid="{00000000-0005-0000-0000-00007D880000}"/>
    <cellStyle name="Normal 37 4 7 3" xfId="19429" xr:uid="{00000000-0005-0000-0000-00007E880000}"/>
    <cellStyle name="Normal 37 4 7 3 2" xfId="36789" xr:uid="{00000000-0005-0000-0000-00007F880000}"/>
    <cellStyle name="Normal 37 4 7 4" xfId="19430" xr:uid="{00000000-0005-0000-0000-000080880000}"/>
    <cellStyle name="Normal 37 4 7 4 2" xfId="36790" xr:uid="{00000000-0005-0000-0000-000081880000}"/>
    <cellStyle name="Normal 37 4 7 5" xfId="19431" xr:uid="{00000000-0005-0000-0000-000082880000}"/>
    <cellStyle name="Normal 37 4 7 5 2" xfId="36791" xr:uid="{00000000-0005-0000-0000-000083880000}"/>
    <cellStyle name="Normal 37 4 7 6" xfId="19432" xr:uid="{00000000-0005-0000-0000-000084880000}"/>
    <cellStyle name="Normal 37 4 7 6 2" xfId="36792" xr:uid="{00000000-0005-0000-0000-000085880000}"/>
    <cellStyle name="Normal 37 4 7 7" xfId="19433" xr:uid="{00000000-0005-0000-0000-000086880000}"/>
    <cellStyle name="Normal 37 4 7 7 2" xfId="36793" xr:uid="{00000000-0005-0000-0000-000087880000}"/>
    <cellStyle name="Normal 37 4 7 8" xfId="19434" xr:uid="{00000000-0005-0000-0000-000088880000}"/>
    <cellStyle name="Normal 37 4 7 8 2" xfId="36794" xr:uid="{00000000-0005-0000-0000-000089880000}"/>
    <cellStyle name="Normal 37 4 7 9" xfId="19435" xr:uid="{00000000-0005-0000-0000-00008A880000}"/>
    <cellStyle name="Normal 37 4 7 9 2" xfId="36795" xr:uid="{00000000-0005-0000-0000-00008B880000}"/>
    <cellStyle name="Normal 37 4 8" xfId="19436" xr:uid="{00000000-0005-0000-0000-00008C880000}"/>
    <cellStyle name="Normal 37 4 8 10" xfId="19437" xr:uid="{00000000-0005-0000-0000-00008D880000}"/>
    <cellStyle name="Normal 37 4 8 10 2" xfId="36797" xr:uid="{00000000-0005-0000-0000-00008E880000}"/>
    <cellStyle name="Normal 37 4 8 11" xfId="19438" xr:uid="{00000000-0005-0000-0000-00008F880000}"/>
    <cellStyle name="Normal 37 4 8 11 2" xfId="36798" xr:uid="{00000000-0005-0000-0000-000090880000}"/>
    <cellStyle name="Normal 37 4 8 12" xfId="19439" xr:uid="{00000000-0005-0000-0000-000091880000}"/>
    <cellStyle name="Normal 37 4 8 12 2" xfId="36799" xr:uid="{00000000-0005-0000-0000-000092880000}"/>
    <cellStyle name="Normal 37 4 8 13" xfId="19440" xr:uid="{00000000-0005-0000-0000-000093880000}"/>
    <cellStyle name="Normal 37 4 8 13 2" xfId="36800" xr:uid="{00000000-0005-0000-0000-000094880000}"/>
    <cellStyle name="Normal 37 4 8 14" xfId="19441" xr:uid="{00000000-0005-0000-0000-000095880000}"/>
    <cellStyle name="Normal 37 4 8 14 2" xfId="36801" xr:uid="{00000000-0005-0000-0000-000096880000}"/>
    <cellStyle name="Normal 37 4 8 15" xfId="36796" xr:uid="{00000000-0005-0000-0000-000097880000}"/>
    <cellStyle name="Normal 37 4 8 2" xfId="19442" xr:uid="{00000000-0005-0000-0000-000098880000}"/>
    <cellStyle name="Normal 37 4 8 2 2" xfId="36802" xr:uid="{00000000-0005-0000-0000-000099880000}"/>
    <cellStyle name="Normal 37 4 8 3" xfId="19443" xr:uid="{00000000-0005-0000-0000-00009A880000}"/>
    <cellStyle name="Normal 37 4 8 3 2" xfId="36803" xr:uid="{00000000-0005-0000-0000-00009B880000}"/>
    <cellStyle name="Normal 37 4 8 4" xfId="19444" xr:uid="{00000000-0005-0000-0000-00009C880000}"/>
    <cellStyle name="Normal 37 4 8 4 2" xfId="36804" xr:uid="{00000000-0005-0000-0000-00009D880000}"/>
    <cellStyle name="Normal 37 4 8 5" xfId="19445" xr:uid="{00000000-0005-0000-0000-00009E880000}"/>
    <cellStyle name="Normal 37 4 8 5 2" xfId="36805" xr:uid="{00000000-0005-0000-0000-00009F880000}"/>
    <cellStyle name="Normal 37 4 8 6" xfId="19446" xr:uid="{00000000-0005-0000-0000-0000A0880000}"/>
    <cellStyle name="Normal 37 4 8 6 2" xfId="36806" xr:uid="{00000000-0005-0000-0000-0000A1880000}"/>
    <cellStyle name="Normal 37 4 8 7" xfId="19447" xr:uid="{00000000-0005-0000-0000-0000A2880000}"/>
    <cellStyle name="Normal 37 4 8 7 2" xfId="36807" xr:uid="{00000000-0005-0000-0000-0000A3880000}"/>
    <cellStyle name="Normal 37 4 8 8" xfId="19448" xr:uid="{00000000-0005-0000-0000-0000A4880000}"/>
    <cellStyle name="Normal 37 4 8 8 2" xfId="36808" xr:uid="{00000000-0005-0000-0000-0000A5880000}"/>
    <cellStyle name="Normal 37 4 8 9" xfId="19449" xr:uid="{00000000-0005-0000-0000-0000A6880000}"/>
    <cellStyle name="Normal 37 4 8 9 2" xfId="36809" xr:uid="{00000000-0005-0000-0000-0000A7880000}"/>
    <cellStyle name="Normal 37 4 9" xfId="19450" xr:uid="{00000000-0005-0000-0000-0000A8880000}"/>
    <cellStyle name="Normal 37 4 9 10" xfId="19451" xr:uid="{00000000-0005-0000-0000-0000A9880000}"/>
    <cellStyle name="Normal 37 4 9 10 2" xfId="36811" xr:uid="{00000000-0005-0000-0000-0000AA880000}"/>
    <cellStyle name="Normal 37 4 9 11" xfId="19452" xr:uid="{00000000-0005-0000-0000-0000AB880000}"/>
    <cellStyle name="Normal 37 4 9 11 2" xfId="36812" xr:uid="{00000000-0005-0000-0000-0000AC880000}"/>
    <cellStyle name="Normal 37 4 9 12" xfId="19453" xr:uid="{00000000-0005-0000-0000-0000AD880000}"/>
    <cellStyle name="Normal 37 4 9 12 2" xfId="36813" xr:uid="{00000000-0005-0000-0000-0000AE880000}"/>
    <cellStyle name="Normal 37 4 9 13" xfId="19454" xr:uid="{00000000-0005-0000-0000-0000AF880000}"/>
    <cellStyle name="Normal 37 4 9 13 2" xfId="36814" xr:uid="{00000000-0005-0000-0000-0000B0880000}"/>
    <cellStyle name="Normal 37 4 9 14" xfId="19455" xr:uid="{00000000-0005-0000-0000-0000B1880000}"/>
    <cellStyle name="Normal 37 4 9 14 2" xfId="36815" xr:uid="{00000000-0005-0000-0000-0000B2880000}"/>
    <cellStyle name="Normal 37 4 9 15" xfId="36810" xr:uid="{00000000-0005-0000-0000-0000B3880000}"/>
    <cellStyle name="Normal 37 4 9 2" xfId="19456" xr:uid="{00000000-0005-0000-0000-0000B4880000}"/>
    <cellStyle name="Normal 37 4 9 2 2" xfId="36816" xr:uid="{00000000-0005-0000-0000-0000B5880000}"/>
    <cellStyle name="Normal 37 4 9 3" xfId="19457" xr:uid="{00000000-0005-0000-0000-0000B6880000}"/>
    <cellStyle name="Normal 37 4 9 3 2" xfId="36817" xr:uid="{00000000-0005-0000-0000-0000B7880000}"/>
    <cellStyle name="Normal 37 4 9 4" xfId="19458" xr:uid="{00000000-0005-0000-0000-0000B8880000}"/>
    <cellStyle name="Normal 37 4 9 4 2" xfId="36818" xr:uid="{00000000-0005-0000-0000-0000B9880000}"/>
    <cellStyle name="Normal 37 4 9 5" xfId="19459" xr:uid="{00000000-0005-0000-0000-0000BA880000}"/>
    <cellStyle name="Normal 37 4 9 5 2" xfId="36819" xr:uid="{00000000-0005-0000-0000-0000BB880000}"/>
    <cellStyle name="Normal 37 4 9 6" xfId="19460" xr:uid="{00000000-0005-0000-0000-0000BC880000}"/>
    <cellStyle name="Normal 37 4 9 6 2" xfId="36820" xr:uid="{00000000-0005-0000-0000-0000BD880000}"/>
    <cellStyle name="Normal 37 4 9 7" xfId="19461" xr:uid="{00000000-0005-0000-0000-0000BE880000}"/>
    <cellStyle name="Normal 37 4 9 7 2" xfId="36821" xr:uid="{00000000-0005-0000-0000-0000BF880000}"/>
    <cellStyle name="Normal 37 4 9 8" xfId="19462" xr:uid="{00000000-0005-0000-0000-0000C0880000}"/>
    <cellStyle name="Normal 37 4 9 8 2" xfId="36822" xr:uid="{00000000-0005-0000-0000-0000C1880000}"/>
    <cellStyle name="Normal 37 4 9 9" xfId="19463" xr:uid="{00000000-0005-0000-0000-0000C2880000}"/>
    <cellStyle name="Normal 37 4 9 9 2" xfId="36823" xr:uid="{00000000-0005-0000-0000-0000C3880000}"/>
    <cellStyle name="Normal 38" xfId="66" xr:uid="{00000000-0005-0000-0000-0000C4880000}"/>
    <cellStyle name="Normal 38 10" xfId="19464" xr:uid="{00000000-0005-0000-0000-0000C5880000}"/>
    <cellStyle name="Normal 38 10 10" xfId="19465" xr:uid="{00000000-0005-0000-0000-0000C6880000}"/>
    <cellStyle name="Normal 38 10 10 2" xfId="36826" xr:uid="{00000000-0005-0000-0000-0000C7880000}"/>
    <cellStyle name="Normal 38 10 11" xfId="19466" xr:uid="{00000000-0005-0000-0000-0000C8880000}"/>
    <cellStyle name="Normal 38 10 11 2" xfId="36827" xr:uid="{00000000-0005-0000-0000-0000C9880000}"/>
    <cellStyle name="Normal 38 10 12" xfId="19467" xr:uid="{00000000-0005-0000-0000-0000CA880000}"/>
    <cellStyle name="Normal 38 10 12 2" xfId="36828" xr:uid="{00000000-0005-0000-0000-0000CB880000}"/>
    <cellStyle name="Normal 38 10 13" xfId="19468" xr:uid="{00000000-0005-0000-0000-0000CC880000}"/>
    <cellStyle name="Normal 38 10 13 2" xfId="36829" xr:uid="{00000000-0005-0000-0000-0000CD880000}"/>
    <cellStyle name="Normal 38 10 14" xfId="19469" xr:uid="{00000000-0005-0000-0000-0000CE880000}"/>
    <cellStyle name="Normal 38 10 14 2" xfId="36830" xr:uid="{00000000-0005-0000-0000-0000CF880000}"/>
    <cellStyle name="Normal 38 10 15" xfId="36825" xr:uid="{00000000-0005-0000-0000-0000D0880000}"/>
    <cellStyle name="Normal 38 10 2" xfId="19470" xr:uid="{00000000-0005-0000-0000-0000D1880000}"/>
    <cellStyle name="Normal 38 10 2 2" xfId="36831" xr:uid="{00000000-0005-0000-0000-0000D2880000}"/>
    <cellStyle name="Normal 38 10 3" xfId="19471" xr:uid="{00000000-0005-0000-0000-0000D3880000}"/>
    <cellStyle name="Normal 38 10 3 2" xfId="36832" xr:uid="{00000000-0005-0000-0000-0000D4880000}"/>
    <cellStyle name="Normal 38 10 4" xfId="19472" xr:uid="{00000000-0005-0000-0000-0000D5880000}"/>
    <cellStyle name="Normal 38 10 4 2" xfId="36833" xr:uid="{00000000-0005-0000-0000-0000D6880000}"/>
    <cellStyle name="Normal 38 10 5" xfId="19473" xr:uid="{00000000-0005-0000-0000-0000D7880000}"/>
    <cellStyle name="Normal 38 10 5 2" xfId="36834" xr:uid="{00000000-0005-0000-0000-0000D8880000}"/>
    <cellStyle name="Normal 38 10 6" xfId="19474" xr:uid="{00000000-0005-0000-0000-0000D9880000}"/>
    <cellStyle name="Normal 38 10 6 2" xfId="36835" xr:uid="{00000000-0005-0000-0000-0000DA880000}"/>
    <cellStyle name="Normal 38 10 7" xfId="19475" xr:uid="{00000000-0005-0000-0000-0000DB880000}"/>
    <cellStyle name="Normal 38 10 7 2" xfId="36836" xr:uid="{00000000-0005-0000-0000-0000DC880000}"/>
    <cellStyle name="Normal 38 10 8" xfId="19476" xr:uid="{00000000-0005-0000-0000-0000DD880000}"/>
    <cellStyle name="Normal 38 10 8 2" xfId="36837" xr:uid="{00000000-0005-0000-0000-0000DE880000}"/>
    <cellStyle name="Normal 38 10 9" xfId="19477" xr:uid="{00000000-0005-0000-0000-0000DF880000}"/>
    <cellStyle name="Normal 38 10 9 2" xfId="36838" xr:uid="{00000000-0005-0000-0000-0000E0880000}"/>
    <cellStyle name="Normal 38 11" xfId="19478" xr:uid="{00000000-0005-0000-0000-0000E1880000}"/>
    <cellStyle name="Normal 38 11 10" xfId="19479" xr:uid="{00000000-0005-0000-0000-0000E2880000}"/>
    <cellStyle name="Normal 38 11 10 2" xfId="36840" xr:uid="{00000000-0005-0000-0000-0000E3880000}"/>
    <cellStyle name="Normal 38 11 11" xfId="19480" xr:uid="{00000000-0005-0000-0000-0000E4880000}"/>
    <cellStyle name="Normal 38 11 11 2" xfId="36841" xr:uid="{00000000-0005-0000-0000-0000E5880000}"/>
    <cellStyle name="Normal 38 11 12" xfId="19481" xr:uid="{00000000-0005-0000-0000-0000E6880000}"/>
    <cellStyle name="Normal 38 11 12 2" xfId="36842" xr:uid="{00000000-0005-0000-0000-0000E7880000}"/>
    <cellStyle name="Normal 38 11 13" xfId="19482" xr:uid="{00000000-0005-0000-0000-0000E8880000}"/>
    <cellStyle name="Normal 38 11 13 2" xfId="36843" xr:uid="{00000000-0005-0000-0000-0000E9880000}"/>
    <cellStyle name="Normal 38 11 14" xfId="19483" xr:uid="{00000000-0005-0000-0000-0000EA880000}"/>
    <cellStyle name="Normal 38 11 14 2" xfId="36844" xr:uid="{00000000-0005-0000-0000-0000EB880000}"/>
    <cellStyle name="Normal 38 11 15" xfId="36839" xr:uid="{00000000-0005-0000-0000-0000EC880000}"/>
    <cellStyle name="Normal 38 11 2" xfId="19484" xr:uid="{00000000-0005-0000-0000-0000ED880000}"/>
    <cellStyle name="Normal 38 11 2 2" xfId="36845" xr:uid="{00000000-0005-0000-0000-0000EE880000}"/>
    <cellStyle name="Normal 38 11 3" xfId="19485" xr:uid="{00000000-0005-0000-0000-0000EF880000}"/>
    <cellStyle name="Normal 38 11 3 2" xfId="36846" xr:uid="{00000000-0005-0000-0000-0000F0880000}"/>
    <cellStyle name="Normal 38 11 4" xfId="19486" xr:uid="{00000000-0005-0000-0000-0000F1880000}"/>
    <cellStyle name="Normal 38 11 4 2" xfId="36847" xr:uid="{00000000-0005-0000-0000-0000F2880000}"/>
    <cellStyle name="Normal 38 11 5" xfId="19487" xr:uid="{00000000-0005-0000-0000-0000F3880000}"/>
    <cellStyle name="Normal 38 11 5 2" xfId="36848" xr:uid="{00000000-0005-0000-0000-0000F4880000}"/>
    <cellStyle name="Normal 38 11 6" xfId="19488" xr:uid="{00000000-0005-0000-0000-0000F5880000}"/>
    <cellStyle name="Normal 38 11 6 2" xfId="36849" xr:uid="{00000000-0005-0000-0000-0000F6880000}"/>
    <cellStyle name="Normal 38 11 7" xfId="19489" xr:uid="{00000000-0005-0000-0000-0000F7880000}"/>
    <cellStyle name="Normal 38 11 7 2" xfId="36850" xr:uid="{00000000-0005-0000-0000-0000F8880000}"/>
    <cellStyle name="Normal 38 11 8" xfId="19490" xr:uid="{00000000-0005-0000-0000-0000F9880000}"/>
    <cellStyle name="Normal 38 11 8 2" xfId="36851" xr:uid="{00000000-0005-0000-0000-0000FA880000}"/>
    <cellStyle name="Normal 38 11 9" xfId="19491" xr:uid="{00000000-0005-0000-0000-0000FB880000}"/>
    <cellStyle name="Normal 38 11 9 2" xfId="36852" xr:uid="{00000000-0005-0000-0000-0000FC880000}"/>
    <cellStyle name="Normal 38 12" xfId="19492" xr:uid="{00000000-0005-0000-0000-0000FD880000}"/>
    <cellStyle name="Normal 38 12 10" xfId="19493" xr:uid="{00000000-0005-0000-0000-0000FE880000}"/>
    <cellStyle name="Normal 38 12 10 2" xfId="36854" xr:uid="{00000000-0005-0000-0000-0000FF880000}"/>
    <cellStyle name="Normal 38 12 11" xfId="19494" xr:uid="{00000000-0005-0000-0000-000000890000}"/>
    <cellStyle name="Normal 38 12 11 2" xfId="36855" xr:uid="{00000000-0005-0000-0000-000001890000}"/>
    <cellStyle name="Normal 38 12 12" xfId="19495" xr:uid="{00000000-0005-0000-0000-000002890000}"/>
    <cellStyle name="Normal 38 12 12 2" xfId="36856" xr:uid="{00000000-0005-0000-0000-000003890000}"/>
    <cellStyle name="Normal 38 12 13" xfId="19496" xr:uid="{00000000-0005-0000-0000-000004890000}"/>
    <cellStyle name="Normal 38 12 13 2" xfId="36857" xr:uid="{00000000-0005-0000-0000-000005890000}"/>
    <cellStyle name="Normal 38 12 14" xfId="19497" xr:uid="{00000000-0005-0000-0000-000006890000}"/>
    <cellStyle name="Normal 38 12 14 2" xfId="36858" xr:uid="{00000000-0005-0000-0000-000007890000}"/>
    <cellStyle name="Normal 38 12 15" xfId="36853" xr:uid="{00000000-0005-0000-0000-000008890000}"/>
    <cellStyle name="Normal 38 12 2" xfId="19498" xr:uid="{00000000-0005-0000-0000-000009890000}"/>
    <cellStyle name="Normal 38 12 2 2" xfId="36859" xr:uid="{00000000-0005-0000-0000-00000A890000}"/>
    <cellStyle name="Normal 38 12 3" xfId="19499" xr:uid="{00000000-0005-0000-0000-00000B890000}"/>
    <cellStyle name="Normal 38 12 3 2" xfId="36860" xr:uid="{00000000-0005-0000-0000-00000C890000}"/>
    <cellStyle name="Normal 38 12 4" xfId="19500" xr:uid="{00000000-0005-0000-0000-00000D890000}"/>
    <cellStyle name="Normal 38 12 4 2" xfId="36861" xr:uid="{00000000-0005-0000-0000-00000E890000}"/>
    <cellStyle name="Normal 38 12 5" xfId="19501" xr:uid="{00000000-0005-0000-0000-00000F890000}"/>
    <cellStyle name="Normal 38 12 5 2" xfId="36862" xr:uid="{00000000-0005-0000-0000-000010890000}"/>
    <cellStyle name="Normal 38 12 6" xfId="19502" xr:uid="{00000000-0005-0000-0000-000011890000}"/>
    <cellStyle name="Normal 38 12 6 2" xfId="36863" xr:uid="{00000000-0005-0000-0000-000012890000}"/>
    <cellStyle name="Normal 38 12 7" xfId="19503" xr:uid="{00000000-0005-0000-0000-000013890000}"/>
    <cellStyle name="Normal 38 12 7 2" xfId="36864" xr:uid="{00000000-0005-0000-0000-000014890000}"/>
    <cellStyle name="Normal 38 12 8" xfId="19504" xr:uid="{00000000-0005-0000-0000-000015890000}"/>
    <cellStyle name="Normal 38 12 8 2" xfId="36865" xr:uid="{00000000-0005-0000-0000-000016890000}"/>
    <cellStyle name="Normal 38 12 9" xfId="19505" xr:uid="{00000000-0005-0000-0000-000017890000}"/>
    <cellStyle name="Normal 38 12 9 2" xfId="36866" xr:uid="{00000000-0005-0000-0000-000018890000}"/>
    <cellStyle name="Normal 38 13" xfId="19506" xr:uid="{00000000-0005-0000-0000-000019890000}"/>
    <cellStyle name="Normal 38 13 10" xfId="19507" xr:uid="{00000000-0005-0000-0000-00001A890000}"/>
    <cellStyle name="Normal 38 13 10 2" xfId="36868" xr:uid="{00000000-0005-0000-0000-00001B890000}"/>
    <cellStyle name="Normal 38 13 11" xfId="19508" xr:uid="{00000000-0005-0000-0000-00001C890000}"/>
    <cellStyle name="Normal 38 13 11 2" xfId="36869" xr:uid="{00000000-0005-0000-0000-00001D890000}"/>
    <cellStyle name="Normal 38 13 12" xfId="19509" xr:uid="{00000000-0005-0000-0000-00001E890000}"/>
    <cellStyle name="Normal 38 13 12 2" xfId="36870" xr:uid="{00000000-0005-0000-0000-00001F890000}"/>
    <cellStyle name="Normal 38 13 13" xfId="19510" xr:uid="{00000000-0005-0000-0000-000020890000}"/>
    <cellStyle name="Normal 38 13 13 2" xfId="36871" xr:uid="{00000000-0005-0000-0000-000021890000}"/>
    <cellStyle name="Normal 38 13 14" xfId="19511" xr:uid="{00000000-0005-0000-0000-000022890000}"/>
    <cellStyle name="Normal 38 13 14 2" xfId="36872" xr:uid="{00000000-0005-0000-0000-000023890000}"/>
    <cellStyle name="Normal 38 13 15" xfId="36867" xr:uid="{00000000-0005-0000-0000-000024890000}"/>
    <cellStyle name="Normal 38 13 2" xfId="19512" xr:uid="{00000000-0005-0000-0000-000025890000}"/>
    <cellStyle name="Normal 38 13 2 2" xfId="36873" xr:uid="{00000000-0005-0000-0000-000026890000}"/>
    <cellStyle name="Normal 38 13 3" xfId="19513" xr:uid="{00000000-0005-0000-0000-000027890000}"/>
    <cellStyle name="Normal 38 13 3 2" xfId="36874" xr:uid="{00000000-0005-0000-0000-000028890000}"/>
    <cellStyle name="Normal 38 13 4" xfId="19514" xr:uid="{00000000-0005-0000-0000-000029890000}"/>
    <cellStyle name="Normal 38 13 4 2" xfId="36875" xr:uid="{00000000-0005-0000-0000-00002A890000}"/>
    <cellStyle name="Normal 38 13 5" xfId="19515" xr:uid="{00000000-0005-0000-0000-00002B890000}"/>
    <cellStyle name="Normal 38 13 5 2" xfId="36876" xr:uid="{00000000-0005-0000-0000-00002C890000}"/>
    <cellStyle name="Normal 38 13 6" xfId="19516" xr:uid="{00000000-0005-0000-0000-00002D890000}"/>
    <cellStyle name="Normal 38 13 6 2" xfId="36877" xr:uid="{00000000-0005-0000-0000-00002E890000}"/>
    <cellStyle name="Normal 38 13 7" xfId="19517" xr:uid="{00000000-0005-0000-0000-00002F890000}"/>
    <cellStyle name="Normal 38 13 7 2" xfId="36878" xr:uid="{00000000-0005-0000-0000-000030890000}"/>
    <cellStyle name="Normal 38 13 8" xfId="19518" xr:uid="{00000000-0005-0000-0000-000031890000}"/>
    <cellStyle name="Normal 38 13 8 2" xfId="36879" xr:uid="{00000000-0005-0000-0000-000032890000}"/>
    <cellStyle name="Normal 38 13 9" xfId="19519" xr:uid="{00000000-0005-0000-0000-000033890000}"/>
    <cellStyle name="Normal 38 13 9 2" xfId="36880" xr:uid="{00000000-0005-0000-0000-000034890000}"/>
    <cellStyle name="Normal 38 14" xfId="19520" xr:uid="{00000000-0005-0000-0000-000035890000}"/>
    <cellStyle name="Normal 38 14 10" xfId="19521" xr:uid="{00000000-0005-0000-0000-000036890000}"/>
    <cellStyle name="Normal 38 14 10 2" xfId="36882" xr:uid="{00000000-0005-0000-0000-000037890000}"/>
    <cellStyle name="Normal 38 14 11" xfId="19522" xr:uid="{00000000-0005-0000-0000-000038890000}"/>
    <cellStyle name="Normal 38 14 11 2" xfId="36883" xr:uid="{00000000-0005-0000-0000-000039890000}"/>
    <cellStyle name="Normal 38 14 12" xfId="19523" xr:uid="{00000000-0005-0000-0000-00003A890000}"/>
    <cellStyle name="Normal 38 14 12 2" xfId="36884" xr:uid="{00000000-0005-0000-0000-00003B890000}"/>
    <cellStyle name="Normal 38 14 13" xfId="19524" xr:uid="{00000000-0005-0000-0000-00003C890000}"/>
    <cellStyle name="Normal 38 14 13 2" xfId="36885" xr:uid="{00000000-0005-0000-0000-00003D890000}"/>
    <cellStyle name="Normal 38 14 14" xfId="19525" xr:uid="{00000000-0005-0000-0000-00003E890000}"/>
    <cellStyle name="Normal 38 14 14 2" xfId="36886" xr:uid="{00000000-0005-0000-0000-00003F890000}"/>
    <cellStyle name="Normal 38 14 15" xfId="36881" xr:uid="{00000000-0005-0000-0000-000040890000}"/>
    <cellStyle name="Normal 38 14 2" xfId="19526" xr:uid="{00000000-0005-0000-0000-000041890000}"/>
    <cellStyle name="Normal 38 14 2 2" xfId="36887" xr:uid="{00000000-0005-0000-0000-000042890000}"/>
    <cellStyle name="Normal 38 14 3" xfId="19527" xr:uid="{00000000-0005-0000-0000-000043890000}"/>
    <cellStyle name="Normal 38 14 3 2" xfId="36888" xr:uid="{00000000-0005-0000-0000-000044890000}"/>
    <cellStyle name="Normal 38 14 4" xfId="19528" xr:uid="{00000000-0005-0000-0000-000045890000}"/>
    <cellStyle name="Normal 38 14 4 2" xfId="36889" xr:uid="{00000000-0005-0000-0000-000046890000}"/>
    <cellStyle name="Normal 38 14 5" xfId="19529" xr:uid="{00000000-0005-0000-0000-000047890000}"/>
    <cellStyle name="Normal 38 14 5 2" xfId="36890" xr:uid="{00000000-0005-0000-0000-000048890000}"/>
    <cellStyle name="Normal 38 14 6" xfId="19530" xr:uid="{00000000-0005-0000-0000-000049890000}"/>
    <cellStyle name="Normal 38 14 6 2" xfId="36891" xr:uid="{00000000-0005-0000-0000-00004A890000}"/>
    <cellStyle name="Normal 38 14 7" xfId="19531" xr:uid="{00000000-0005-0000-0000-00004B890000}"/>
    <cellStyle name="Normal 38 14 7 2" xfId="36892" xr:uid="{00000000-0005-0000-0000-00004C890000}"/>
    <cellStyle name="Normal 38 14 8" xfId="19532" xr:uid="{00000000-0005-0000-0000-00004D890000}"/>
    <cellStyle name="Normal 38 14 8 2" xfId="36893" xr:uid="{00000000-0005-0000-0000-00004E890000}"/>
    <cellStyle name="Normal 38 14 9" xfId="19533" xr:uid="{00000000-0005-0000-0000-00004F890000}"/>
    <cellStyle name="Normal 38 14 9 2" xfId="36894" xr:uid="{00000000-0005-0000-0000-000050890000}"/>
    <cellStyle name="Normal 38 15" xfId="19534" xr:uid="{00000000-0005-0000-0000-000051890000}"/>
    <cellStyle name="Normal 38 15 10" xfId="19535" xr:uid="{00000000-0005-0000-0000-000052890000}"/>
    <cellStyle name="Normal 38 15 10 2" xfId="36896" xr:uid="{00000000-0005-0000-0000-000053890000}"/>
    <cellStyle name="Normal 38 15 11" xfId="19536" xr:uid="{00000000-0005-0000-0000-000054890000}"/>
    <cellStyle name="Normal 38 15 11 2" xfId="36897" xr:uid="{00000000-0005-0000-0000-000055890000}"/>
    <cellStyle name="Normal 38 15 12" xfId="19537" xr:uid="{00000000-0005-0000-0000-000056890000}"/>
    <cellStyle name="Normal 38 15 12 2" xfId="36898" xr:uid="{00000000-0005-0000-0000-000057890000}"/>
    <cellStyle name="Normal 38 15 13" xfId="19538" xr:uid="{00000000-0005-0000-0000-000058890000}"/>
    <cellStyle name="Normal 38 15 13 2" xfId="36899" xr:uid="{00000000-0005-0000-0000-000059890000}"/>
    <cellStyle name="Normal 38 15 14" xfId="19539" xr:uid="{00000000-0005-0000-0000-00005A890000}"/>
    <cellStyle name="Normal 38 15 14 2" xfId="36900" xr:uid="{00000000-0005-0000-0000-00005B890000}"/>
    <cellStyle name="Normal 38 15 15" xfId="36895" xr:uid="{00000000-0005-0000-0000-00005C890000}"/>
    <cellStyle name="Normal 38 15 2" xfId="19540" xr:uid="{00000000-0005-0000-0000-00005D890000}"/>
    <cellStyle name="Normal 38 15 2 2" xfId="36901" xr:uid="{00000000-0005-0000-0000-00005E890000}"/>
    <cellStyle name="Normal 38 15 3" xfId="19541" xr:uid="{00000000-0005-0000-0000-00005F890000}"/>
    <cellStyle name="Normal 38 15 3 2" xfId="36902" xr:uid="{00000000-0005-0000-0000-000060890000}"/>
    <cellStyle name="Normal 38 15 4" xfId="19542" xr:uid="{00000000-0005-0000-0000-000061890000}"/>
    <cellStyle name="Normal 38 15 4 2" xfId="36903" xr:uid="{00000000-0005-0000-0000-000062890000}"/>
    <cellStyle name="Normal 38 15 5" xfId="19543" xr:uid="{00000000-0005-0000-0000-000063890000}"/>
    <cellStyle name="Normal 38 15 5 2" xfId="36904" xr:uid="{00000000-0005-0000-0000-000064890000}"/>
    <cellStyle name="Normal 38 15 6" xfId="19544" xr:uid="{00000000-0005-0000-0000-000065890000}"/>
    <cellStyle name="Normal 38 15 6 2" xfId="36905" xr:uid="{00000000-0005-0000-0000-000066890000}"/>
    <cellStyle name="Normal 38 15 7" xfId="19545" xr:uid="{00000000-0005-0000-0000-000067890000}"/>
    <cellStyle name="Normal 38 15 7 2" xfId="36906" xr:uid="{00000000-0005-0000-0000-000068890000}"/>
    <cellStyle name="Normal 38 15 8" xfId="19546" xr:uid="{00000000-0005-0000-0000-000069890000}"/>
    <cellStyle name="Normal 38 15 8 2" xfId="36907" xr:uid="{00000000-0005-0000-0000-00006A890000}"/>
    <cellStyle name="Normal 38 15 9" xfId="19547" xr:uid="{00000000-0005-0000-0000-00006B890000}"/>
    <cellStyle name="Normal 38 15 9 2" xfId="36908" xr:uid="{00000000-0005-0000-0000-00006C890000}"/>
    <cellStyle name="Normal 38 16" xfId="19548" xr:uid="{00000000-0005-0000-0000-00006D890000}"/>
    <cellStyle name="Normal 38 16 10" xfId="19549" xr:uid="{00000000-0005-0000-0000-00006E890000}"/>
    <cellStyle name="Normal 38 16 10 2" xfId="36910" xr:uid="{00000000-0005-0000-0000-00006F890000}"/>
    <cellStyle name="Normal 38 16 11" xfId="19550" xr:uid="{00000000-0005-0000-0000-000070890000}"/>
    <cellStyle name="Normal 38 16 11 2" xfId="36911" xr:uid="{00000000-0005-0000-0000-000071890000}"/>
    <cellStyle name="Normal 38 16 12" xfId="19551" xr:uid="{00000000-0005-0000-0000-000072890000}"/>
    <cellStyle name="Normal 38 16 12 2" xfId="36912" xr:uid="{00000000-0005-0000-0000-000073890000}"/>
    <cellStyle name="Normal 38 16 13" xfId="19552" xr:uid="{00000000-0005-0000-0000-000074890000}"/>
    <cellStyle name="Normal 38 16 13 2" xfId="36913" xr:uid="{00000000-0005-0000-0000-000075890000}"/>
    <cellStyle name="Normal 38 16 14" xfId="19553" xr:uid="{00000000-0005-0000-0000-000076890000}"/>
    <cellStyle name="Normal 38 16 14 2" xfId="36914" xr:uid="{00000000-0005-0000-0000-000077890000}"/>
    <cellStyle name="Normal 38 16 15" xfId="36909" xr:uid="{00000000-0005-0000-0000-000078890000}"/>
    <cellStyle name="Normal 38 16 2" xfId="19554" xr:uid="{00000000-0005-0000-0000-000079890000}"/>
    <cellStyle name="Normal 38 16 2 2" xfId="36915" xr:uid="{00000000-0005-0000-0000-00007A890000}"/>
    <cellStyle name="Normal 38 16 3" xfId="19555" xr:uid="{00000000-0005-0000-0000-00007B890000}"/>
    <cellStyle name="Normal 38 16 3 2" xfId="36916" xr:uid="{00000000-0005-0000-0000-00007C890000}"/>
    <cellStyle name="Normal 38 16 4" xfId="19556" xr:uid="{00000000-0005-0000-0000-00007D890000}"/>
    <cellStyle name="Normal 38 16 4 2" xfId="36917" xr:uid="{00000000-0005-0000-0000-00007E890000}"/>
    <cellStyle name="Normal 38 16 5" xfId="19557" xr:uid="{00000000-0005-0000-0000-00007F890000}"/>
    <cellStyle name="Normal 38 16 5 2" xfId="36918" xr:uid="{00000000-0005-0000-0000-000080890000}"/>
    <cellStyle name="Normal 38 16 6" xfId="19558" xr:uid="{00000000-0005-0000-0000-000081890000}"/>
    <cellStyle name="Normal 38 16 6 2" xfId="36919" xr:uid="{00000000-0005-0000-0000-000082890000}"/>
    <cellStyle name="Normal 38 16 7" xfId="19559" xr:uid="{00000000-0005-0000-0000-000083890000}"/>
    <cellStyle name="Normal 38 16 7 2" xfId="36920" xr:uid="{00000000-0005-0000-0000-000084890000}"/>
    <cellStyle name="Normal 38 16 8" xfId="19560" xr:uid="{00000000-0005-0000-0000-000085890000}"/>
    <cellStyle name="Normal 38 16 8 2" xfId="36921" xr:uid="{00000000-0005-0000-0000-000086890000}"/>
    <cellStyle name="Normal 38 16 9" xfId="19561" xr:uid="{00000000-0005-0000-0000-000087890000}"/>
    <cellStyle name="Normal 38 16 9 2" xfId="36922" xr:uid="{00000000-0005-0000-0000-000088890000}"/>
    <cellStyle name="Normal 38 17" xfId="19562" xr:uid="{00000000-0005-0000-0000-000089890000}"/>
    <cellStyle name="Normal 38 17 10" xfId="19563" xr:uid="{00000000-0005-0000-0000-00008A890000}"/>
    <cellStyle name="Normal 38 17 10 2" xfId="36924" xr:uid="{00000000-0005-0000-0000-00008B890000}"/>
    <cellStyle name="Normal 38 17 11" xfId="19564" xr:uid="{00000000-0005-0000-0000-00008C890000}"/>
    <cellStyle name="Normal 38 17 11 2" xfId="36925" xr:uid="{00000000-0005-0000-0000-00008D890000}"/>
    <cellStyle name="Normal 38 17 12" xfId="19565" xr:uid="{00000000-0005-0000-0000-00008E890000}"/>
    <cellStyle name="Normal 38 17 12 2" xfId="36926" xr:uid="{00000000-0005-0000-0000-00008F890000}"/>
    <cellStyle name="Normal 38 17 13" xfId="19566" xr:uid="{00000000-0005-0000-0000-000090890000}"/>
    <cellStyle name="Normal 38 17 13 2" xfId="36927" xr:uid="{00000000-0005-0000-0000-000091890000}"/>
    <cellStyle name="Normal 38 17 14" xfId="19567" xr:uid="{00000000-0005-0000-0000-000092890000}"/>
    <cellStyle name="Normal 38 17 14 2" xfId="36928" xr:uid="{00000000-0005-0000-0000-000093890000}"/>
    <cellStyle name="Normal 38 17 15" xfId="36923" xr:uid="{00000000-0005-0000-0000-000094890000}"/>
    <cellStyle name="Normal 38 17 2" xfId="19568" xr:uid="{00000000-0005-0000-0000-000095890000}"/>
    <cellStyle name="Normal 38 17 2 2" xfId="36929" xr:uid="{00000000-0005-0000-0000-000096890000}"/>
    <cellStyle name="Normal 38 17 3" xfId="19569" xr:uid="{00000000-0005-0000-0000-000097890000}"/>
    <cellStyle name="Normal 38 17 3 2" xfId="36930" xr:uid="{00000000-0005-0000-0000-000098890000}"/>
    <cellStyle name="Normal 38 17 4" xfId="19570" xr:uid="{00000000-0005-0000-0000-000099890000}"/>
    <cellStyle name="Normal 38 17 4 2" xfId="36931" xr:uid="{00000000-0005-0000-0000-00009A890000}"/>
    <cellStyle name="Normal 38 17 5" xfId="19571" xr:uid="{00000000-0005-0000-0000-00009B890000}"/>
    <cellStyle name="Normal 38 17 5 2" xfId="36932" xr:uid="{00000000-0005-0000-0000-00009C890000}"/>
    <cellStyle name="Normal 38 17 6" xfId="19572" xr:uid="{00000000-0005-0000-0000-00009D890000}"/>
    <cellStyle name="Normal 38 17 6 2" xfId="36933" xr:uid="{00000000-0005-0000-0000-00009E890000}"/>
    <cellStyle name="Normal 38 17 7" xfId="19573" xr:uid="{00000000-0005-0000-0000-00009F890000}"/>
    <cellStyle name="Normal 38 17 7 2" xfId="36934" xr:uid="{00000000-0005-0000-0000-0000A0890000}"/>
    <cellStyle name="Normal 38 17 8" xfId="19574" xr:uid="{00000000-0005-0000-0000-0000A1890000}"/>
    <cellStyle name="Normal 38 17 8 2" xfId="36935" xr:uid="{00000000-0005-0000-0000-0000A2890000}"/>
    <cellStyle name="Normal 38 17 9" xfId="19575" xr:uid="{00000000-0005-0000-0000-0000A3890000}"/>
    <cellStyle name="Normal 38 17 9 2" xfId="36936" xr:uid="{00000000-0005-0000-0000-0000A4890000}"/>
    <cellStyle name="Normal 38 18" xfId="19576" xr:uid="{00000000-0005-0000-0000-0000A5890000}"/>
    <cellStyle name="Normal 38 18 2" xfId="36937" xr:uid="{00000000-0005-0000-0000-0000A6890000}"/>
    <cellStyle name="Normal 38 19" xfId="19577" xr:uid="{00000000-0005-0000-0000-0000A7890000}"/>
    <cellStyle name="Normal 38 19 2" xfId="36938" xr:uid="{00000000-0005-0000-0000-0000A8890000}"/>
    <cellStyle name="Normal 38 2" xfId="226" xr:uid="{00000000-0005-0000-0000-0000A9890000}"/>
    <cellStyle name="Normal 38 20" xfId="19578" xr:uid="{00000000-0005-0000-0000-0000AA890000}"/>
    <cellStyle name="Normal 38 20 2" xfId="36939" xr:uid="{00000000-0005-0000-0000-0000AB890000}"/>
    <cellStyle name="Normal 38 21" xfId="19579" xr:uid="{00000000-0005-0000-0000-0000AC890000}"/>
    <cellStyle name="Normal 38 21 2" xfId="36940" xr:uid="{00000000-0005-0000-0000-0000AD890000}"/>
    <cellStyle name="Normal 38 22" xfId="19580" xr:uid="{00000000-0005-0000-0000-0000AE890000}"/>
    <cellStyle name="Normal 38 22 2" xfId="36941" xr:uid="{00000000-0005-0000-0000-0000AF890000}"/>
    <cellStyle name="Normal 38 23" xfId="19581" xr:uid="{00000000-0005-0000-0000-0000B0890000}"/>
    <cellStyle name="Normal 38 23 2" xfId="36942" xr:uid="{00000000-0005-0000-0000-0000B1890000}"/>
    <cellStyle name="Normal 38 24" xfId="19582" xr:uid="{00000000-0005-0000-0000-0000B2890000}"/>
    <cellStyle name="Normal 38 24 2" xfId="36943" xr:uid="{00000000-0005-0000-0000-0000B3890000}"/>
    <cellStyle name="Normal 38 25" xfId="19583" xr:uid="{00000000-0005-0000-0000-0000B4890000}"/>
    <cellStyle name="Normal 38 25 2" xfId="36944" xr:uid="{00000000-0005-0000-0000-0000B5890000}"/>
    <cellStyle name="Normal 38 26" xfId="19584" xr:uid="{00000000-0005-0000-0000-0000B6890000}"/>
    <cellStyle name="Normal 38 26 2" xfId="36945" xr:uid="{00000000-0005-0000-0000-0000B7890000}"/>
    <cellStyle name="Normal 38 27" xfId="19585" xr:uid="{00000000-0005-0000-0000-0000B8890000}"/>
    <cellStyle name="Normal 38 27 2" xfId="36946" xr:uid="{00000000-0005-0000-0000-0000B9890000}"/>
    <cellStyle name="Normal 38 28" xfId="19586" xr:uid="{00000000-0005-0000-0000-0000BA890000}"/>
    <cellStyle name="Normal 38 28 2" xfId="36947" xr:uid="{00000000-0005-0000-0000-0000BB890000}"/>
    <cellStyle name="Normal 38 29" xfId="19587" xr:uid="{00000000-0005-0000-0000-0000BC890000}"/>
    <cellStyle name="Normal 38 29 2" xfId="36948" xr:uid="{00000000-0005-0000-0000-0000BD890000}"/>
    <cellStyle name="Normal 38 3" xfId="19588" xr:uid="{00000000-0005-0000-0000-0000BE890000}"/>
    <cellStyle name="Normal 38 30" xfId="19589" xr:uid="{00000000-0005-0000-0000-0000BF890000}"/>
    <cellStyle name="Normal 38 30 2" xfId="36949" xr:uid="{00000000-0005-0000-0000-0000C0890000}"/>
    <cellStyle name="Normal 38 31" xfId="36824" xr:uid="{00000000-0005-0000-0000-0000C1890000}"/>
    <cellStyle name="Normal 38 4" xfId="19590" xr:uid="{00000000-0005-0000-0000-0000C2890000}"/>
    <cellStyle name="Normal 38 4 10" xfId="19591" xr:uid="{00000000-0005-0000-0000-0000C3890000}"/>
    <cellStyle name="Normal 38 4 10 2" xfId="36951" xr:uid="{00000000-0005-0000-0000-0000C4890000}"/>
    <cellStyle name="Normal 38 4 11" xfId="19592" xr:uid="{00000000-0005-0000-0000-0000C5890000}"/>
    <cellStyle name="Normal 38 4 11 2" xfId="36952" xr:uid="{00000000-0005-0000-0000-0000C6890000}"/>
    <cellStyle name="Normal 38 4 12" xfId="19593" xr:uid="{00000000-0005-0000-0000-0000C7890000}"/>
    <cellStyle name="Normal 38 4 12 2" xfId="36953" xr:uid="{00000000-0005-0000-0000-0000C8890000}"/>
    <cellStyle name="Normal 38 4 13" xfId="19594" xr:uid="{00000000-0005-0000-0000-0000C9890000}"/>
    <cellStyle name="Normal 38 4 13 2" xfId="36954" xr:uid="{00000000-0005-0000-0000-0000CA890000}"/>
    <cellStyle name="Normal 38 4 14" xfId="19595" xr:uid="{00000000-0005-0000-0000-0000CB890000}"/>
    <cellStyle name="Normal 38 4 14 2" xfId="36955" xr:uid="{00000000-0005-0000-0000-0000CC890000}"/>
    <cellStyle name="Normal 38 4 15" xfId="19596" xr:uid="{00000000-0005-0000-0000-0000CD890000}"/>
    <cellStyle name="Normal 38 4 15 2" xfId="36956" xr:uid="{00000000-0005-0000-0000-0000CE890000}"/>
    <cellStyle name="Normal 38 4 16" xfId="36950" xr:uid="{00000000-0005-0000-0000-0000CF890000}"/>
    <cellStyle name="Normal 38 4 2" xfId="19597" xr:uid="{00000000-0005-0000-0000-0000D0890000}"/>
    <cellStyle name="Normal 38 4 2 10" xfId="19598" xr:uid="{00000000-0005-0000-0000-0000D1890000}"/>
    <cellStyle name="Normal 38 4 2 10 2" xfId="36958" xr:uid="{00000000-0005-0000-0000-0000D2890000}"/>
    <cellStyle name="Normal 38 4 2 11" xfId="19599" xr:uid="{00000000-0005-0000-0000-0000D3890000}"/>
    <cellStyle name="Normal 38 4 2 11 2" xfId="36959" xr:uid="{00000000-0005-0000-0000-0000D4890000}"/>
    <cellStyle name="Normal 38 4 2 12" xfId="19600" xr:uid="{00000000-0005-0000-0000-0000D5890000}"/>
    <cellStyle name="Normal 38 4 2 12 2" xfId="36960" xr:uid="{00000000-0005-0000-0000-0000D6890000}"/>
    <cellStyle name="Normal 38 4 2 13" xfId="19601" xr:uid="{00000000-0005-0000-0000-0000D7890000}"/>
    <cellStyle name="Normal 38 4 2 13 2" xfId="36961" xr:uid="{00000000-0005-0000-0000-0000D8890000}"/>
    <cellStyle name="Normal 38 4 2 14" xfId="19602" xr:uid="{00000000-0005-0000-0000-0000D9890000}"/>
    <cellStyle name="Normal 38 4 2 14 2" xfId="36962" xr:uid="{00000000-0005-0000-0000-0000DA890000}"/>
    <cellStyle name="Normal 38 4 2 15" xfId="36957" xr:uid="{00000000-0005-0000-0000-0000DB890000}"/>
    <cellStyle name="Normal 38 4 2 2" xfId="19603" xr:uid="{00000000-0005-0000-0000-0000DC890000}"/>
    <cellStyle name="Normal 38 4 2 2 2" xfId="36963" xr:uid="{00000000-0005-0000-0000-0000DD890000}"/>
    <cellStyle name="Normal 38 4 2 3" xfId="19604" xr:uid="{00000000-0005-0000-0000-0000DE890000}"/>
    <cellStyle name="Normal 38 4 2 3 2" xfId="36964" xr:uid="{00000000-0005-0000-0000-0000DF890000}"/>
    <cellStyle name="Normal 38 4 2 4" xfId="19605" xr:uid="{00000000-0005-0000-0000-0000E0890000}"/>
    <cellStyle name="Normal 38 4 2 4 2" xfId="36965" xr:uid="{00000000-0005-0000-0000-0000E1890000}"/>
    <cellStyle name="Normal 38 4 2 5" xfId="19606" xr:uid="{00000000-0005-0000-0000-0000E2890000}"/>
    <cellStyle name="Normal 38 4 2 5 2" xfId="36966" xr:uid="{00000000-0005-0000-0000-0000E3890000}"/>
    <cellStyle name="Normal 38 4 2 6" xfId="19607" xr:uid="{00000000-0005-0000-0000-0000E4890000}"/>
    <cellStyle name="Normal 38 4 2 6 2" xfId="36967" xr:uid="{00000000-0005-0000-0000-0000E5890000}"/>
    <cellStyle name="Normal 38 4 2 7" xfId="19608" xr:uid="{00000000-0005-0000-0000-0000E6890000}"/>
    <cellStyle name="Normal 38 4 2 7 2" xfId="36968" xr:uid="{00000000-0005-0000-0000-0000E7890000}"/>
    <cellStyle name="Normal 38 4 2 8" xfId="19609" xr:uid="{00000000-0005-0000-0000-0000E8890000}"/>
    <cellStyle name="Normal 38 4 2 8 2" xfId="36969" xr:uid="{00000000-0005-0000-0000-0000E9890000}"/>
    <cellStyle name="Normal 38 4 2 9" xfId="19610" xr:uid="{00000000-0005-0000-0000-0000EA890000}"/>
    <cellStyle name="Normal 38 4 2 9 2" xfId="36970" xr:uid="{00000000-0005-0000-0000-0000EB890000}"/>
    <cellStyle name="Normal 38 4 3" xfId="19611" xr:uid="{00000000-0005-0000-0000-0000EC890000}"/>
    <cellStyle name="Normal 38 4 3 2" xfId="36971" xr:uid="{00000000-0005-0000-0000-0000ED890000}"/>
    <cellStyle name="Normal 38 4 4" xfId="19612" xr:uid="{00000000-0005-0000-0000-0000EE890000}"/>
    <cellStyle name="Normal 38 4 4 2" xfId="36972" xr:uid="{00000000-0005-0000-0000-0000EF890000}"/>
    <cellStyle name="Normal 38 4 5" xfId="19613" xr:uid="{00000000-0005-0000-0000-0000F0890000}"/>
    <cellStyle name="Normal 38 4 5 2" xfId="36973" xr:uid="{00000000-0005-0000-0000-0000F1890000}"/>
    <cellStyle name="Normal 38 4 6" xfId="19614" xr:uid="{00000000-0005-0000-0000-0000F2890000}"/>
    <cellStyle name="Normal 38 4 6 2" xfId="36974" xr:uid="{00000000-0005-0000-0000-0000F3890000}"/>
    <cellStyle name="Normal 38 4 7" xfId="19615" xr:uid="{00000000-0005-0000-0000-0000F4890000}"/>
    <cellStyle name="Normal 38 4 7 2" xfId="36975" xr:uid="{00000000-0005-0000-0000-0000F5890000}"/>
    <cellStyle name="Normal 38 4 8" xfId="19616" xr:uid="{00000000-0005-0000-0000-0000F6890000}"/>
    <cellStyle name="Normal 38 4 8 2" xfId="36976" xr:uid="{00000000-0005-0000-0000-0000F7890000}"/>
    <cellStyle name="Normal 38 4 9" xfId="19617" xr:uid="{00000000-0005-0000-0000-0000F8890000}"/>
    <cellStyle name="Normal 38 4 9 2" xfId="36977" xr:uid="{00000000-0005-0000-0000-0000F9890000}"/>
    <cellStyle name="Normal 38 5" xfId="19618" xr:uid="{00000000-0005-0000-0000-0000FA890000}"/>
    <cellStyle name="Normal 38 5 10" xfId="19619" xr:uid="{00000000-0005-0000-0000-0000FB890000}"/>
    <cellStyle name="Normal 38 5 10 2" xfId="36979" xr:uid="{00000000-0005-0000-0000-0000FC890000}"/>
    <cellStyle name="Normal 38 5 11" xfId="19620" xr:uid="{00000000-0005-0000-0000-0000FD890000}"/>
    <cellStyle name="Normal 38 5 11 2" xfId="36980" xr:uid="{00000000-0005-0000-0000-0000FE890000}"/>
    <cellStyle name="Normal 38 5 12" xfId="19621" xr:uid="{00000000-0005-0000-0000-0000FF890000}"/>
    <cellStyle name="Normal 38 5 12 2" xfId="36981" xr:uid="{00000000-0005-0000-0000-0000008A0000}"/>
    <cellStyle name="Normal 38 5 13" xfId="19622" xr:uid="{00000000-0005-0000-0000-0000018A0000}"/>
    <cellStyle name="Normal 38 5 13 2" xfId="36982" xr:uid="{00000000-0005-0000-0000-0000028A0000}"/>
    <cellStyle name="Normal 38 5 14" xfId="19623" xr:uid="{00000000-0005-0000-0000-0000038A0000}"/>
    <cellStyle name="Normal 38 5 14 2" xfId="36983" xr:uid="{00000000-0005-0000-0000-0000048A0000}"/>
    <cellStyle name="Normal 38 5 15" xfId="19624" xr:uid="{00000000-0005-0000-0000-0000058A0000}"/>
    <cellStyle name="Normal 38 5 15 2" xfId="36984" xr:uid="{00000000-0005-0000-0000-0000068A0000}"/>
    <cellStyle name="Normal 38 5 16" xfId="36978" xr:uid="{00000000-0005-0000-0000-0000078A0000}"/>
    <cellStyle name="Normal 38 5 2" xfId="19625" xr:uid="{00000000-0005-0000-0000-0000088A0000}"/>
    <cellStyle name="Normal 38 5 2 10" xfId="19626" xr:uid="{00000000-0005-0000-0000-0000098A0000}"/>
    <cellStyle name="Normal 38 5 2 10 2" xfId="36986" xr:uid="{00000000-0005-0000-0000-00000A8A0000}"/>
    <cellStyle name="Normal 38 5 2 11" xfId="19627" xr:uid="{00000000-0005-0000-0000-00000B8A0000}"/>
    <cellStyle name="Normal 38 5 2 11 2" xfId="36987" xr:uid="{00000000-0005-0000-0000-00000C8A0000}"/>
    <cellStyle name="Normal 38 5 2 12" xfId="19628" xr:uid="{00000000-0005-0000-0000-00000D8A0000}"/>
    <cellStyle name="Normal 38 5 2 12 2" xfId="36988" xr:uid="{00000000-0005-0000-0000-00000E8A0000}"/>
    <cellStyle name="Normal 38 5 2 13" xfId="19629" xr:uid="{00000000-0005-0000-0000-00000F8A0000}"/>
    <cellStyle name="Normal 38 5 2 13 2" xfId="36989" xr:uid="{00000000-0005-0000-0000-0000108A0000}"/>
    <cellStyle name="Normal 38 5 2 14" xfId="19630" xr:uid="{00000000-0005-0000-0000-0000118A0000}"/>
    <cellStyle name="Normal 38 5 2 14 2" xfId="36990" xr:uid="{00000000-0005-0000-0000-0000128A0000}"/>
    <cellStyle name="Normal 38 5 2 15" xfId="36985" xr:uid="{00000000-0005-0000-0000-0000138A0000}"/>
    <cellStyle name="Normal 38 5 2 2" xfId="19631" xr:uid="{00000000-0005-0000-0000-0000148A0000}"/>
    <cellStyle name="Normal 38 5 2 2 2" xfId="36991" xr:uid="{00000000-0005-0000-0000-0000158A0000}"/>
    <cellStyle name="Normal 38 5 2 3" xfId="19632" xr:uid="{00000000-0005-0000-0000-0000168A0000}"/>
    <cellStyle name="Normal 38 5 2 3 2" xfId="36992" xr:uid="{00000000-0005-0000-0000-0000178A0000}"/>
    <cellStyle name="Normal 38 5 2 4" xfId="19633" xr:uid="{00000000-0005-0000-0000-0000188A0000}"/>
    <cellStyle name="Normal 38 5 2 4 2" xfId="36993" xr:uid="{00000000-0005-0000-0000-0000198A0000}"/>
    <cellStyle name="Normal 38 5 2 5" xfId="19634" xr:uid="{00000000-0005-0000-0000-00001A8A0000}"/>
    <cellStyle name="Normal 38 5 2 5 2" xfId="36994" xr:uid="{00000000-0005-0000-0000-00001B8A0000}"/>
    <cellStyle name="Normal 38 5 2 6" xfId="19635" xr:uid="{00000000-0005-0000-0000-00001C8A0000}"/>
    <cellStyle name="Normal 38 5 2 6 2" xfId="36995" xr:uid="{00000000-0005-0000-0000-00001D8A0000}"/>
    <cellStyle name="Normal 38 5 2 7" xfId="19636" xr:uid="{00000000-0005-0000-0000-00001E8A0000}"/>
    <cellStyle name="Normal 38 5 2 7 2" xfId="36996" xr:uid="{00000000-0005-0000-0000-00001F8A0000}"/>
    <cellStyle name="Normal 38 5 2 8" xfId="19637" xr:uid="{00000000-0005-0000-0000-0000208A0000}"/>
    <cellStyle name="Normal 38 5 2 8 2" xfId="36997" xr:uid="{00000000-0005-0000-0000-0000218A0000}"/>
    <cellStyle name="Normal 38 5 2 9" xfId="19638" xr:uid="{00000000-0005-0000-0000-0000228A0000}"/>
    <cellStyle name="Normal 38 5 2 9 2" xfId="36998" xr:uid="{00000000-0005-0000-0000-0000238A0000}"/>
    <cellStyle name="Normal 38 5 3" xfId="19639" xr:uid="{00000000-0005-0000-0000-0000248A0000}"/>
    <cellStyle name="Normal 38 5 3 2" xfId="36999" xr:uid="{00000000-0005-0000-0000-0000258A0000}"/>
    <cellStyle name="Normal 38 5 4" xfId="19640" xr:uid="{00000000-0005-0000-0000-0000268A0000}"/>
    <cellStyle name="Normal 38 5 4 2" xfId="37000" xr:uid="{00000000-0005-0000-0000-0000278A0000}"/>
    <cellStyle name="Normal 38 5 5" xfId="19641" xr:uid="{00000000-0005-0000-0000-0000288A0000}"/>
    <cellStyle name="Normal 38 5 5 2" xfId="37001" xr:uid="{00000000-0005-0000-0000-0000298A0000}"/>
    <cellStyle name="Normal 38 5 6" xfId="19642" xr:uid="{00000000-0005-0000-0000-00002A8A0000}"/>
    <cellStyle name="Normal 38 5 6 2" xfId="37002" xr:uid="{00000000-0005-0000-0000-00002B8A0000}"/>
    <cellStyle name="Normal 38 5 7" xfId="19643" xr:uid="{00000000-0005-0000-0000-00002C8A0000}"/>
    <cellStyle name="Normal 38 5 7 2" xfId="37003" xr:uid="{00000000-0005-0000-0000-00002D8A0000}"/>
    <cellStyle name="Normal 38 5 8" xfId="19644" xr:uid="{00000000-0005-0000-0000-00002E8A0000}"/>
    <cellStyle name="Normal 38 5 8 2" xfId="37004" xr:uid="{00000000-0005-0000-0000-00002F8A0000}"/>
    <cellStyle name="Normal 38 5 9" xfId="19645" xr:uid="{00000000-0005-0000-0000-0000308A0000}"/>
    <cellStyle name="Normal 38 5 9 2" xfId="37005" xr:uid="{00000000-0005-0000-0000-0000318A0000}"/>
    <cellStyle name="Normal 38 6" xfId="19646" xr:uid="{00000000-0005-0000-0000-0000328A0000}"/>
    <cellStyle name="Normal 38 6 10" xfId="19647" xr:uid="{00000000-0005-0000-0000-0000338A0000}"/>
    <cellStyle name="Normal 38 6 10 2" xfId="37007" xr:uid="{00000000-0005-0000-0000-0000348A0000}"/>
    <cellStyle name="Normal 38 6 11" xfId="19648" xr:uid="{00000000-0005-0000-0000-0000358A0000}"/>
    <cellStyle name="Normal 38 6 11 2" xfId="37008" xr:uid="{00000000-0005-0000-0000-0000368A0000}"/>
    <cellStyle name="Normal 38 6 12" xfId="19649" xr:uid="{00000000-0005-0000-0000-0000378A0000}"/>
    <cellStyle name="Normal 38 6 12 2" xfId="37009" xr:uid="{00000000-0005-0000-0000-0000388A0000}"/>
    <cellStyle name="Normal 38 6 13" xfId="19650" xr:uid="{00000000-0005-0000-0000-0000398A0000}"/>
    <cellStyle name="Normal 38 6 13 2" xfId="37010" xr:uid="{00000000-0005-0000-0000-00003A8A0000}"/>
    <cellStyle name="Normal 38 6 14" xfId="19651" xr:uid="{00000000-0005-0000-0000-00003B8A0000}"/>
    <cellStyle name="Normal 38 6 14 2" xfId="37011" xr:uid="{00000000-0005-0000-0000-00003C8A0000}"/>
    <cellStyle name="Normal 38 6 15" xfId="19652" xr:uid="{00000000-0005-0000-0000-00003D8A0000}"/>
    <cellStyle name="Normal 38 6 15 2" xfId="37012" xr:uid="{00000000-0005-0000-0000-00003E8A0000}"/>
    <cellStyle name="Normal 38 6 16" xfId="37006" xr:uid="{00000000-0005-0000-0000-00003F8A0000}"/>
    <cellStyle name="Normal 38 6 2" xfId="19653" xr:uid="{00000000-0005-0000-0000-0000408A0000}"/>
    <cellStyle name="Normal 38 6 2 10" xfId="19654" xr:uid="{00000000-0005-0000-0000-0000418A0000}"/>
    <cellStyle name="Normal 38 6 2 10 2" xfId="37014" xr:uid="{00000000-0005-0000-0000-0000428A0000}"/>
    <cellStyle name="Normal 38 6 2 11" xfId="19655" xr:uid="{00000000-0005-0000-0000-0000438A0000}"/>
    <cellStyle name="Normal 38 6 2 11 2" xfId="37015" xr:uid="{00000000-0005-0000-0000-0000448A0000}"/>
    <cellStyle name="Normal 38 6 2 12" xfId="19656" xr:uid="{00000000-0005-0000-0000-0000458A0000}"/>
    <cellStyle name="Normal 38 6 2 12 2" xfId="37016" xr:uid="{00000000-0005-0000-0000-0000468A0000}"/>
    <cellStyle name="Normal 38 6 2 13" xfId="19657" xr:uid="{00000000-0005-0000-0000-0000478A0000}"/>
    <cellStyle name="Normal 38 6 2 13 2" xfId="37017" xr:uid="{00000000-0005-0000-0000-0000488A0000}"/>
    <cellStyle name="Normal 38 6 2 14" xfId="19658" xr:uid="{00000000-0005-0000-0000-0000498A0000}"/>
    <cellStyle name="Normal 38 6 2 14 2" xfId="37018" xr:uid="{00000000-0005-0000-0000-00004A8A0000}"/>
    <cellStyle name="Normal 38 6 2 15" xfId="37013" xr:uid="{00000000-0005-0000-0000-00004B8A0000}"/>
    <cellStyle name="Normal 38 6 2 2" xfId="19659" xr:uid="{00000000-0005-0000-0000-00004C8A0000}"/>
    <cellStyle name="Normal 38 6 2 2 2" xfId="37019" xr:uid="{00000000-0005-0000-0000-00004D8A0000}"/>
    <cellStyle name="Normal 38 6 2 3" xfId="19660" xr:uid="{00000000-0005-0000-0000-00004E8A0000}"/>
    <cellStyle name="Normal 38 6 2 3 2" xfId="37020" xr:uid="{00000000-0005-0000-0000-00004F8A0000}"/>
    <cellStyle name="Normal 38 6 2 4" xfId="19661" xr:uid="{00000000-0005-0000-0000-0000508A0000}"/>
    <cellStyle name="Normal 38 6 2 4 2" xfId="37021" xr:uid="{00000000-0005-0000-0000-0000518A0000}"/>
    <cellStyle name="Normal 38 6 2 5" xfId="19662" xr:uid="{00000000-0005-0000-0000-0000528A0000}"/>
    <cellStyle name="Normal 38 6 2 5 2" xfId="37022" xr:uid="{00000000-0005-0000-0000-0000538A0000}"/>
    <cellStyle name="Normal 38 6 2 6" xfId="19663" xr:uid="{00000000-0005-0000-0000-0000548A0000}"/>
    <cellStyle name="Normal 38 6 2 6 2" xfId="37023" xr:uid="{00000000-0005-0000-0000-0000558A0000}"/>
    <cellStyle name="Normal 38 6 2 7" xfId="19664" xr:uid="{00000000-0005-0000-0000-0000568A0000}"/>
    <cellStyle name="Normal 38 6 2 7 2" xfId="37024" xr:uid="{00000000-0005-0000-0000-0000578A0000}"/>
    <cellStyle name="Normal 38 6 2 8" xfId="19665" xr:uid="{00000000-0005-0000-0000-0000588A0000}"/>
    <cellStyle name="Normal 38 6 2 8 2" xfId="37025" xr:uid="{00000000-0005-0000-0000-0000598A0000}"/>
    <cellStyle name="Normal 38 6 2 9" xfId="19666" xr:uid="{00000000-0005-0000-0000-00005A8A0000}"/>
    <cellStyle name="Normal 38 6 2 9 2" xfId="37026" xr:uid="{00000000-0005-0000-0000-00005B8A0000}"/>
    <cellStyle name="Normal 38 6 3" xfId="19667" xr:uid="{00000000-0005-0000-0000-00005C8A0000}"/>
    <cellStyle name="Normal 38 6 3 2" xfId="37027" xr:uid="{00000000-0005-0000-0000-00005D8A0000}"/>
    <cellStyle name="Normal 38 6 4" xfId="19668" xr:uid="{00000000-0005-0000-0000-00005E8A0000}"/>
    <cellStyle name="Normal 38 6 4 2" xfId="37028" xr:uid="{00000000-0005-0000-0000-00005F8A0000}"/>
    <cellStyle name="Normal 38 6 5" xfId="19669" xr:uid="{00000000-0005-0000-0000-0000608A0000}"/>
    <cellStyle name="Normal 38 6 5 2" xfId="37029" xr:uid="{00000000-0005-0000-0000-0000618A0000}"/>
    <cellStyle name="Normal 38 6 6" xfId="19670" xr:uid="{00000000-0005-0000-0000-0000628A0000}"/>
    <cellStyle name="Normal 38 6 6 2" xfId="37030" xr:uid="{00000000-0005-0000-0000-0000638A0000}"/>
    <cellStyle name="Normal 38 6 7" xfId="19671" xr:uid="{00000000-0005-0000-0000-0000648A0000}"/>
    <cellStyle name="Normal 38 6 7 2" xfId="37031" xr:uid="{00000000-0005-0000-0000-0000658A0000}"/>
    <cellStyle name="Normal 38 6 8" xfId="19672" xr:uid="{00000000-0005-0000-0000-0000668A0000}"/>
    <cellStyle name="Normal 38 6 8 2" xfId="37032" xr:uid="{00000000-0005-0000-0000-0000678A0000}"/>
    <cellStyle name="Normal 38 6 9" xfId="19673" xr:uid="{00000000-0005-0000-0000-0000688A0000}"/>
    <cellStyle name="Normal 38 6 9 2" xfId="37033" xr:uid="{00000000-0005-0000-0000-0000698A0000}"/>
    <cellStyle name="Normal 38 7" xfId="19674" xr:uid="{00000000-0005-0000-0000-00006A8A0000}"/>
    <cellStyle name="Normal 38 7 10" xfId="19675" xr:uid="{00000000-0005-0000-0000-00006B8A0000}"/>
    <cellStyle name="Normal 38 7 10 2" xfId="37035" xr:uid="{00000000-0005-0000-0000-00006C8A0000}"/>
    <cellStyle name="Normal 38 7 11" xfId="19676" xr:uid="{00000000-0005-0000-0000-00006D8A0000}"/>
    <cellStyle name="Normal 38 7 11 2" xfId="37036" xr:uid="{00000000-0005-0000-0000-00006E8A0000}"/>
    <cellStyle name="Normal 38 7 12" xfId="19677" xr:uid="{00000000-0005-0000-0000-00006F8A0000}"/>
    <cellStyle name="Normal 38 7 12 2" xfId="37037" xr:uid="{00000000-0005-0000-0000-0000708A0000}"/>
    <cellStyle name="Normal 38 7 13" xfId="19678" xr:uid="{00000000-0005-0000-0000-0000718A0000}"/>
    <cellStyle name="Normal 38 7 13 2" xfId="37038" xr:uid="{00000000-0005-0000-0000-0000728A0000}"/>
    <cellStyle name="Normal 38 7 14" xfId="19679" xr:uid="{00000000-0005-0000-0000-0000738A0000}"/>
    <cellStyle name="Normal 38 7 14 2" xfId="37039" xr:uid="{00000000-0005-0000-0000-0000748A0000}"/>
    <cellStyle name="Normal 38 7 15" xfId="37034" xr:uid="{00000000-0005-0000-0000-0000758A0000}"/>
    <cellStyle name="Normal 38 7 2" xfId="19680" xr:uid="{00000000-0005-0000-0000-0000768A0000}"/>
    <cellStyle name="Normal 38 7 2 2" xfId="37040" xr:uid="{00000000-0005-0000-0000-0000778A0000}"/>
    <cellStyle name="Normal 38 7 3" xfId="19681" xr:uid="{00000000-0005-0000-0000-0000788A0000}"/>
    <cellStyle name="Normal 38 7 3 2" xfId="37041" xr:uid="{00000000-0005-0000-0000-0000798A0000}"/>
    <cellStyle name="Normal 38 7 4" xfId="19682" xr:uid="{00000000-0005-0000-0000-00007A8A0000}"/>
    <cellStyle name="Normal 38 7 4 2" xfId="37042" xr:uid="{00000000-0005-0000-0000-00007B8A0000}"/>
    <cellStyle name="Normal 38 7 5" xfId="19683" xr:uid="{00000000-0005-0000-0000-00007C8A0000}"/>
    <cellStyle name="Normal 38 7 5 2" xfId="37043" xr:uid="{00000000-0005-0000-0000-00007D8A0000}"/>
    <cellStyle name="Normal 38 7 6" xfId="19684" xr:uid="{00000000-0005-0000-0000-00007E8A0000}"/>
    <cellStyle name="Normal 38 7 6 2" xfId="37044" xr:uid="{00000000-0005-0000-0000-00007F8A0000}"/>
    <cellStyle name="Normal 38 7 7" xfId="19685" xr:uid="{00000000-0005-0000-0000-0000808A0000}"/>
    <cellStyle name="Normal 38 7 7 2" xfId="37045" xr:uid="{00000000-0005-0000-0000-0000818A0000}"/>
    <cellStyle name="Normal 38 7 8" xfId="19686" xr:uid="{00000000-0005-0000-0000-0000828A0000}"/>
    <cellStyle name="Normal 38 7 8 2" xfId="37046" xr:uid="{00000000-0005-0000-0000-0000838A0000}"/>
    <cellStyle name="Normal 38 7 9" xfId="19687" xr:uid="{00000000-0005-0000-0000-0000848A0000}"/>
    <cellStyle name="Normal 38 7 9 2" xfId="37047" xr:uid="{00000000-0005-0000-0000-0000858A0000}"/>
    <cellStyle name="Normal 38 8" xfId="19688" xr:uid="{00000000-0005-0000-0000-0000868A0000}"/>
    <cellStyle name="Normal 38 8 10" xfId="19689" xr:uid="{00000000-0005-0000-0000-0000878A0000}"/>
    <cellStyle name="Normal 38 8 10 2" xfId="37049" xr:uid="{00000000-0005-0000-0000-0000888A0000}"/>
    <cellStyle name="Normal 38 8 11" xfId="19690" xr:uid="{00000000-0005-0000-0000-0000898A0000}"/>
    <cellStyle name="Normal 38 8 11 2" xfId="37050" xr:uid="{00000000-0005-0000-0000-00008A8A0000}"/>
    <cellStyle name="Normal 38 8 12" xfId="19691" xr:uid="{00000000-0005-0000-0000-00008B8A0000}"/>
    <cellStyle name="Normal 38 8 12 2" xfId="37051" xr:uid="{00000000-0005-0000-0000-00008C8A0000}"/>
    <cellStyle name="Normal 38 8 13" xfId="19692" xr:uid="{00000000-0005-0000-0000-00008D8A0000}"/>
    <cellStyle name="Normal 38 8 13 2" xfId="37052" xr:uid="{00000000-0005-0000-0000-00008E8A0000}"/>
    <cellStyle name="Normal 38 8 14" xfId="19693" xr:uid="{00000000-0005-0000-0000-00008F8A0000}"/>
    <cellStyle name="Normal 38 8 14 2" xfId="37053" xr:uid="{00000000-0005-0000-0000-0000908A0000}"/>
    <cellStyle name="Normal 38 8 15" xfId="37048" xr:uid="{00000000-0005-0000-0000-0000918A0000}"/>
    <cellStyle name="Normal 38 8 2" xfId="19694" xr:uid="{00000000-0005-0000-0000-0000928A0000}"/>
    <cellStyle name="Normal 38 8 2 2" xfId="37054" xr:uid="{00000000-0005-0000-0000-0000938A0000}"/>
    <cellStyle name="Normal 38 8 3" xfId="19695" xr:uid="{00000000-0005-0000-0000-0000948A0000}"/>
    <cellStyle name="Normal 38 8 3 2" xfId="37055" xr:uid="{00000000-0005-0000-0000-0000958A0000}"/>
    <cellStyle name="Normal 38 8 4" xfId="19696" xr:uid="{00000000-0005-0000-0000-0000968A0000}"/>
    <cellStyle name="Normal 38 8 4 2" xfId="37056" xr:uid="{00000000-0005-0000-0000-0000978A0000}"/>
    <cellStyle name="Normal 38 8 5" xfId="19697" xr:uid="{00000000-0005-0000-0000-0000988A0000}"/>
    <cellStyle name="Normal 38 8 5 2" xfId="37057" xr:uid="{00000000-0005-0000-0000-0000998A0000}"/>
    <cellStyle name="Normal 38 8 6" xfId="19698" xr:uid="{00000000-0005-0000-0000-00009A8A0000}"/>
    <cellStyle name="Normal 38 8 6 2" xfId="37058" xr:uid="{00000000-0005-0000-0000-00009B8A0000}"/>
    <cellStyle name="Normal 38 8 7" xfId="19699" xr:uid="{00000000-0005-0000-0000-00009C8A0000}"/>
    <cellStyle name="Normal 38 8 7 2" xfId="37059" xr:uid="{00000000-0005-0000-0000-00009D8A0000}"/>
    <cellStyle name="Normal 38 8 8" xfId="19700" xr:uid="{00000000-0005-0000-0000-00009E8A0000}"/>
    <cellStyle name="Normal 38 8 8 2" xfId="37060" xr:uid="{00000000-0005-0000-0000-00009F8A0000}"/>
    <cellStyle name="Normal 38 8 9" xfId="19701" xr:uid="{00000000-0005-0000-0000-0000A08A0000}"/>
    <cellStyle name="Normal 38 8 9 2" xfId="37061" xr:uid="{00000000-0005-0000-0000-0000A18A0000}"/>
    <cellStyle name="Normal 38 9" xfId="19702" xr:uid="{00000000-0005-0000-0000-0000A28A0000}"/>
    <cellStyle name="Normal 38 9 10" xfId="19703" xr:uid="{00000000-0005-0000-0000-0000A38A0000}"/>
    <cellStyle name="Normal 38 9 10 2" xfId="37063" xr:uid="{00000000-0005-0000-0000-0000A48A0000}"/>
    <cellStyle name="Normal 38 9 11" xfId="19704" xr:uid="{00000000-0005-0000-0000-0000A58A0000}"/>
    <cellStyle name="Normal 38 9 11 2" xfId="37064" xr:uid="{00000000-0005-0000-0000-0000A68A0000}"/>
    <cellStyle name="Normal 38 9 12" xfId="19705" xr:uid="{00000000-0005-0000-0000-0000A78A0000}"/>
    <cellStyle name="Normal 38 9 12 2" xfId="37065" xr:uid="{00000000-0005-0000-0000-0000A88A0000}"/>
    <cellStyle name="Normal 38 9 13" xfId="19706" xr:uid="{00000000-0005-0000-0000-0000A98A0000}"/>
    <cellStyle name="Normal 38 9 13 2" xfId="37066" xr:uid="{00000000-0005-0000-0000-0000AA8A0000}"/>
    <cellStyle name="Normal 38 9 14" xfId="19707" xr:uid="{00000000-0005-0000-0000-0000AB8A0000}"/>
    <cellStyle name="Normal 38 9 14 2" xfId="37067" xr:uid="{00000000-0005-0000-0000-0000AC8A0000}"/>
    <cellStyle name="Normal 38 9 15" xfId="37062" xr:uid="{00000000-0005-0000-0000-0000AD8A0000}"/>
    <cellStyle name="Normal 38 9 2" xfId="19708" xr:uid="{00000000-0005-0000-0000-0000AE8A0000}"/>
    <cellStyle name="Normal 38 9 2 2" xfId="37068" xr:uid="{00000000-0005-0000-0000-0000AF8A0000}"/>
    <cellStyle name="Normal 38 9 3" xfId="19709" xr:uid="{00000000-0005-0000-0000-0000B08A0000}"/>
    <cellStyle name="Normal 38 9 3 2" xfId="37069" xr:uid="{00000000-0005-0000-0000-0000B18A0000}"/>
    <cellStyle name="Normal 38 9 4" xfId="19710" xr:uid="{00000000-0005-0000-0000-0000B28A0000}"/>
    <cellStyle name="Normal 38 9 4 2" xfId="37070" xr:uid="{00000000-0005-0000-0000-0000B38A0000}"/>
    <cellStyle name="Normal 38 9 5" xfId="19711" xr:uid="{00000000-0005-0000-0000-0000B48A0000}"/>
    <cellStyle name="Normal 38 9 5 2" xfId="37071" xr:uid="{00000000-0005-0000-0000-0000B58A0000}"/>
    <cellStyle name="Normal 38 9 6" xfId="19712" xr:uid="{00000000-0005-0000-0000-0000B68A0000}"/>
    <cellStyle name="Normal 38 9 6 2" xfId="37072" xr:uid="{00000000-0005-0000-0000-0000B78A0000}"/>
    <cellStyle name="Normal 38 9 7" xfId="19713" xr:uid="{00000000-0005-0000-0000-0000B88A0000}"/>
    <cellStyle name="Normal 38 9 7 2" xfId="37073" xr:uid="{00000000-0005-0000-0000-0000B98A0000}"/>
    <cellStyle name="Normal 38 9 8" xfId="19714" xr:uid="{00000000-0005-0000-0000-0000BA8A0000}"/>
    <cellStyle name="Normal 38 9 8 2" xfId="37074" xr:uid="{00000000-0005-0000-0000-0000BB8A0000}"/>
    <cellStyle name="Normal 38 9 9" xfId="19715" xr:uid="{00000000-0005-0000-0000-0000BC8A0000}"/>
    <cellStyle name="Normal 38 9 9 2" xfId="37075" xr:uid="{00000000-0005-0000-0000-0000BD8A0000}"/>
    <cellStyle name="Normal 39" xfId="67" xr:uid="{00000000-0005-0000-0000-0000BE8A0000}"/>
    <cellStyle name="Normal 39 10" xfId="19716" xr:uid="{00000000-0005-0000-0000-0000BF8A0000}"/>
    <cellStyle name="Normal 39 10 10" xfId="19717" xr:uid="{00000000-0005-0000-0000-0000C08A0000}"/>
    <cellStyle name="Normal 39 10 10 2" xfId="37078" xr:uid="{00000000-0005-0000-0000-0000C18A0000}"/>
    <cellStyle name="Normal 39 10 11" xfId="19718" xr:uid="{00000000-0005-0000-0000-0000C28A0000}"/>
    <cellStyle name="Normal 39 10 11 2" xfId="37079" xr:uid="{00000000-0005-0000-0000-0000C38A0000}"/>
    <cellStyle name="Normal 39 10 12" xfId="19719" xr:uid="{00000000-0005-0000-0000-0000C48A0000}"/>
    <cellStyle name="Normal 39 10 12 2" xfId="37080" xr:uid="{00000000-0005-0000-0000-0000C58A0000}"/>
    <cellStyle name="Normal 39 10 13" xfId="19720" xr:uid="{00000000-0005-0000-0000-0000C68A0000}"/>
    <cellStyle name="Normal 39 10 13 2" xfId="37081" xr:uid="{00000000-0005-0000-0000-0000C78A0000}"/>
    <cellStyle name="Normal 39 10 14" xfId="19721" xr:uid="{00000000-0005-0000-0000-0000C88A0000}"/>
    <cellStyle name="Normal 39 10 14 2" xfId="37082" xr:uid="{00000000-0005-0000-0000-0000C98A0000}"/>
    <cellStyle name="Normal 39 10 15" xfId="37077" xr:uid="{00000000-0005-0000-0000-0000CA8A0000}"/>
    <cellStyle name="Normal 39 10 2" xfId="19722" xr:uid="{00000000-0005-0000-0000-0000CB8A0000}"/>
    <cellStyle name="Normal 39 10 2 2" xfId="37083" xr:uid="{00000000-0005-0000-0000-0000CC8A0000}"/>
    <cellStyle name="Normal 39 10 3" xfId="19723" xr:uid="{00000000-0005-0000-0000-0000CD8A0000}"/>
    <cellStyle name="Normal 39 10 3 2" xfId="37084" xr:uid="{00000000-0005-0000-0000-0000CE8A0000}"/>
    <cellStyle name="Normal 39 10 4" xfId="19724" xr:uid="{00000000-0005-0000-0000-0000CF8A0000}"/>
    <cellStyle name="Normal 39 10 4 2" xfId="37085" xr:uid="{00000000-0005-0000-0000-0000D08A0000}"/>
    <cellStyle name="Normal 39 10 5" xfId="19725" xr:uid="{00000000-0005-0000-0000-0000D18A0000}"/>
    <cellStyle name="Normal 39 10 5 2" xfId="37086" xr:uid="{00000000-0005-0000-0000-0000D28A0000}"/>
    <cellStyle name="Normal 39 10 6" xfId="19726" xr:uid="{00000000-0005-0000-0000-0000D38A0000}"/>
    <cellStyle name="Normal 39 10 6 2" xfId="37087" xr:uid="{00000000-0005-0000-0000-0000D48A0000}"/>
    <cellStyle name="Normal 39 10 7" xfId="19727" xr:uid="{00000000-0005-0000-0000-0000D58A0000}"/>
    <cellStyle name="Normal 39 10 7 2" xfId="37088" xr:uid="{00000000-0005-0000-0000-0000D68A0000}"/>
    <cellStyle name="Normal 39 10 8" xfId="19728" xr:uid="{00000000-0005-0000-0000-0000D78A0000}"/>
    <cellStyle name="Normal 39 10 8 2" xfId="37089" xr:uid="{00000000-0005-0000-0000-0000D88A0000}"/>
    <cellStyle name="Normal 39 10 9" xfId="19729" xr:uid="{00000000-0005-0000-0000-0000D98A0000}"/>
    <cellStyle name="Normal 39 10 9 2" xfId="37090" xr:uid="{00000000-0005-0000-0000-0000DA8A0000}"/>
    <cellStyle name="Normal 39 11" xfId="19730" xr:uid="{00000000-0005-0000-0000-0000DB8A0000}"/>
    <cellStyle name="Normal 39 11 10" xfId="19731" xr:uid="{00000000-0005-0000-0000-0000DC8A0000}"/>
    <cellStyle name="Normal 39 11 10 2" xfId="37092" xr:uid="{00000000-0005-0000-0000-0000DD8A0000}"/>
    <cellStyle name="Normal 39 11 11" xfId="19732" xr:uid="{00000000-0005-0000-0000-0000DE8A0000}"/>
    <cellStyle name="Normal 39 11 11 2" xfId="37093" xr:uid="{00000000-0005-0000-0000-0000DF8A0000}"/>
    <cellStyle name="Normal 39 11 12" xfId="19733" xr:uid="{00000000-0005-0000-0000-0000E08A0000}"/>
    <cellStyle name="Normal 39 11 12 2" xfId="37094" xr:uid="{00000000-0005-0000-0000-0000E18A0000}"/>
    <cellStyle name="Normal 39 11 13" xfId="19734" xr:uid="{00000000-0005-0000-0000-0000E28A0000}"/>
    <cellStyle name="Normal 39 11 13 2" xfId="37095" xr:uid="{00000000-0005-0000-0000-0000E38A0000}"/>
    <cellStyle name="Normal 39 11 14" xfId="19735" xr:uid="{00000000-0005-0000-0000-0000E48A0000}"/>
    <cellStyle name="Normal 39 11 14 2" xfId="37096" xr:uid="{00000000-0005-0000-0000-0000E58A0000}"/>
    <cellStyle name="Normal 39 11 15" xfId="37091" xr:uid="{00000000-0005-0000-0000-0000E68A0000}"/>
    <cellStyle name="Normal 39 11 2" xfId="19736" xr:uid="{00000000-0005-0000-0000-0000E78A0000}"/>
    <cellStyle name="Normal 39 11 2 2" xfId="37097" xr:uid="{00000000-0005-0000-0000-0000E88A0000}"/>
    <cellStyle name="Normal 39 11 3" xfId="19737" xr:uid="{00000000-0005-0000-0000-0000E98A0000}"/>
    <cellStyle name="Normal 39 11 3 2" xfId="37098" xr:uid="{00000000-0005-0000-0000-0000EA8A0000}"/>
    <cellStyle name="Normal 39 11 4" xfId="19738" xr:uid="{00000000-0005-0000-0000-0000EB8A0000}"/>
    <cellStyle name="Normal 39 11 4 2" xfId="37099" xr:uid="{00000000-0005-0000-0000-0000EC8A0000}"/>
    <cellStyle name="Normal 39 11 5" xfId="19739" xr:uid="{00000000-0005-0000-0000-0000ED8A0000}"/>
    <cellStyle name="Normal 39 11 5 2" xfId="37100" xr:uid="{00000000-0005-0000-0000-0000EE8A0000}"/>
    <cellStyle name="Normal 39 11 6" xfId="19740" xr:uid="{00000000-0005-0000-0000-0000EF8A0000}"/>
    <cellStyle name="Normal 39 11 6 2" xfId="37101" xr:uid="{00000000-0005-0000-0000-0000F08A0000}"/>
    <cellStyle name="Normal 39 11 7" xfId="19741" xr:uid="{00000000-0005-0000-0000-0000F18A0000}"/>
    <cellStyle name="Normal 39 11 7 2" xfId="37102" xr:uid="{00000000-0005-0000-0000-0000F28A0000}"/>
    <cellStyle name="Normal 39 11 8" xfId="19742" xr:uid="{00000000-0005-0000-0000-0000F38A0000}"/>
    <cellStyle name="Normal 39 11 8 2" xfId="37103" xr:uid="{00000000-0005-0000-0000-0000F48A0000}"/>
    <cellStyle name="Normal 39 11 9" xfId="19743" xr:uid="{00000000-0005-0000-0000-0000F58A0000}"/>
    <cellStyle name="Normal 39 11 9 2" xfId="37104" xr:uid="{00000000-0005-0000-0000-0000F68A0000}"/>
    <cellStyle name="Normal 39 12" xfId="19744" xr:uid="{00000000-0005-0000-0000-0000F78A0000}"/>
    <cellStyle name="Normal 39 12 10" xfId="19745" xr:uid="{00000000-0005-0000-0000-0000F88A0000}"/>
    <cellStyle name="Normal 39 12 10 2" xfId="37106" xr:uid="{00000000-0005-0000-0000-0000F98A0000}"/>
    <cellStyle name="Normal 39 12 11" xfId="19746" xr:uid="{00000000-0005-0000-0000-0000FA8A0000}"/>
    <cellStyle name="Normal 39 12 11 2" xfId="37107" xr:uid="{00000000-0005-0000-0000-0000FB8A0000}"/>
    <cellStyle name="Normal 39 12 12" xfId="19747" xr:uid="{00000000-0005-0000-0000-0000FC8A0000}"/>
    <cellStyle name="Normal 39 12 12 2" xfId="37108" xr:uid="{00000000-0005-0000-0000-0000FD8A0000}"/>
    <cellStyle name="Normal 39 12 13" xfId="19748" xr:uid="{00000000-0005-0000-0000-0000FE8A0000}"/>
    <cellStyle name="Normal 39 12 13 2" xfId="37109" xr:uid="{00000000-0005-0000-0000-0000FF8A0000}"/>
    <cellStyle name="Normal 39 12 14" xfId="19749" xr:uid="{00000000-0005-0000-0000-0000008B0000}"/>
    <cellStyle name="Normal 39 12 14 2" xfId="37110" xr:uid="{00000000-0005-0000-0000-0000018B0000}"/>
    <cellStyle name="Normal 39 12 15" xfId="37105" xr:uid="{00000000-0005-0000-0000-0000028B0000}"/>
    <cellStyle name="Normal 39 12 2" xfId="19750" xr:uid="{00000000-0005-0000-0000-0000038B0000}"/>
    <cellStyle name="Normal 39 12 2 2" xfId="37111" xr:uid="{00000000-0005-0000-0000-0000048B0000}"/>
    <cellStyle name="Normal 39 12 3" xfId="19751" xr:uid="{00000000-0005-0000-0000-0000058B0000}"/>
    <cellStyle name="Normal 39 12 3 2" xfId="37112" xr:uid="{00000000-0005-0000-0000-0000068B0000}"/>
    <cellStyle name="Normal 39 12 4" xfId="19752" xr:uid="{00000000-0005-0000-0000-0000078B0000}"/>
    <cellStyle name="Normal 39 12 4 2" xfId="37113" xr:uid="{00000000-0005-0000-0000-0000088B0000}"/>
    <cellStyle name="Normal 39 12 5" xfId="19753" xr:uid="{00000000-0005-0000-0000-0000098B0000}"/>
    <cellStyle name="Normal 39 12 5 2" xfId="37114" xr:uid="{00000000-0005-0000-0000-00000A8B0000}"/>
    <cellStyle name="Normal 39 12 6" xfId="19754" xr:uid="{00000000-0005-0000-0000-00000B8B0000}"/>
    <cellStyle name="Normal 39 12 6 2" xfId="37115" xr:uid="{00000000-0005-0000-0000-00000C8B0000}"/>
    <cellStyle name="Normal 39 12 7" xfId="19755" xr:uid="{00000000-0005-0000-0000-00000D8B0000}"/>
    <cellStyle name="Normal 39 12 7 2" xfId="37116" xr:uid="{00000000-0005-0000-0000-00000E8B0000}"/>
    <cellStyle name="Normal 39 12 8" xfId="19756" xr:uid="{00000000-0005-0000-0000-00000F8B0000}"/>
    <cellStyle name="Normal 39 12 8 2" xfId="37117" xr:uid="{00000000-0005-0000-0000-0000108B0000}"/>
    <cellStyle name="Normal 39 12 9" xfId="19757" xr:uid="{00000000-0005-0000-0000-0000118B0000}"/>
    <cellStyle name="Normal 39 12 9 2" xfId="37118" xr:uid="{00000000-0005-0000-0000-0000128B0000}"/>
    <cellStyle name="Normal 39 13" xfId="19758" xr:uid="{00000000-0005-0000-0000-0000138B0000}"/>
    <cellStyle name="Normal 39 13 10" xfId="19759" xr:uid="{00000000-0005-0000-0000-0000148B0000}"/>
    <cellStyle name="Normal 39 13 10 2" xfId="37120" xr:uid="{00000000-0005-0000-0000-0000158B0000}"/>
    <cellStyle name="Normal 39 13 11" xfId="19760" xr:uid="{00000000-0005-0000-0000-0000168B0000}"/>
    <cellStyle name="Normal 39 13 11 2" xfId="37121" xr:uid="{00000000-0005-0000-0000-0000178B0000}"/>
    <cellStyle name="Normal 39 13 12" xfId="19761" xr:uid="{00000000-0005-0000-0000-0000188B0000}"/>
    <cellStyle name="Normal 39 13 12 2" xfId="37122" xr:uid="{00000000-0005-0000-0000-0000198B0000}"/>
    <cellStyle name="Normal 39 13 13" xfId="19762" xr:uid="{00000000-0005-0000-0000-00001A8B0000}"/>
    <cellStyle name="Normal 39 13 13 2" xfId="37123" xr:uid="{00000000-0005-0000-0000-00001B8B0000}"/>
    <cellStyle name="Normal 39 13 14" xfId="19763" xr:uid="{00000000-0005-0000-0000-00001C8B0000}"/>
    <cellStyle name="Normal 39 13 14 2" xfId="37124" xr:uid="{00000000-0005-0000-0000-00001D8B0000}"/>
    <cellStyle name="Normal 39 13 15" xfId="37119" xr:uid="{00000000-0005-0000-0000-00001E8B0000}"/>
    <cellStyle name="Normal 39 13 2" xfId="19764" xr:uid="{00000000-0005-0000-0000-00001F8B0000}"/>
    <cellStyle name="Normal 39 13 2 2" xfId="37125" xr:uid="{00000000-0005-0000-0000-0000208B0000}"/>
    <cellStyle name="Normal 39 13 3" xfId="19765" xr:uid="{00000000-0005-0000-0000-0000218B0000}"/>
    <cellStyle name="Normal 39 13 3 2" xfId="37126" xr:uid="{00000000-0005-0000-0000-0000228B0000}"/>
    <cellStyle name="Normal 39 13 4" xfId="19766" xr:uid="{00000000-0005-0000-0000-0000238B0000}"/>
    <cellStyle name="Normal 39 13 4 2" xfId="37127" xr:uid="{00000000-0005-0000-0000-0000248B0000}"/>
    <cellStyle name="Normal 39 13 5" xfId="19767" xr:uid="{00000000-0005-0000-0000-0000258B0000}"/>
    <cellStyle name="Normal 39 13 5 2" xfId="37128" xr:uid="{00000000-0005-0000-0000-0000268B0000}"/>
    <cellStyle name="Normal 39 13 6" xfId="19768" xr:uid="{00000000-0005-0000-0000-0000278B0000}"/>
    <cellStyle name="Normal 39 13 6 2" xfId="37129" xr:uid="{00000000-0005-0000-0000-0000288B0000}"/>
    <cellStyle name="Normal 39 13 7" xfId="19769" xr:uid="{00000000-0005-0000-0000-0000298B0000}"/>
    <cellStyle name="Normal 39 13 7 2" xfId="37130" xr:uid="{00000000-0005-0000-0000-00002A8B0000}"/>
    <cellStyle name="Normal 39 13 8" xfId="19770" xr:uid="{00000000-0005-0000-0000-00002B8B0000}"/>
    <cellStyle name="Normal 39 13 8 2" xfId="37131" xr:uid="{00000000-0005-0000-0000-00002C8B0000}"/>
    <cellStyle name="Normal 39 13 9" xfId="19771" xr:uid="{00000000-0005-0000-0000-00002D8B0000}"/>
    <cellStyle name="Normal 39 13 9 2" xfId="37132" xr:uid="{00000000-0005-0000-0000-00002E8B0000}"/>
    <cellStyle name="Normal 39 14" xfId="19772" xr:uid="{00000000-0005-0000-0000-00002F8B0000}"/>
    <cellStyle name="Normal 39 14 10" xfId="19773" xr:uid="{00000000-0005-0000-0000-0000308B0000}"/>
    <cellStyle name="Normal 39 14 10 2" xfId="37134" xr:uid="{00000000-0005-0000-0000-0000318B0000}"/>
    <cellStyle name="Normal 39 14 11" xfId="19774" xr:uid="{00000000-0005-0000-0000-0000328B0000}"/>
    <cellStyle name="Normal 39 14 11 2" xfId="37135" xr:uid="{00000000-0005-0000-0000-0000338B0000}"/>
    <cellStyle name="Normal 39 14 12" xfId="19775" xr:uid="{00000000-0005-0000-0000-0000348B0000}"/>
    <cellStyle name="Normal 39 14 12 2" xfId="37136" xr:uid="{00000000-0005-0000-0000-0000358B0000}"/>
    <cellStyle name="Normal 39 14 13" xfId="19776" xr:uid="{00000000-0005-0000-0000-0000368B0000}"/>
    <cellStyle name="Normal 39 14 13 2" xfId="37137" xr:uid="{00000000-0005-0000-0000-0000378B0000}"/>
    <cellStyle name="Normal 39 14 14" xfId="19777" xr:uid="{00000000-0005-0000-0000-0000388B0000}"/>
    <cellStyle name="Normal 39 14 14 2" xfId="37138" xr:uid="{00000000-0005-0000-0000-0000398B0000}"/>
    <cellStyle name="Normal 39 14 15" xfId="37133" xr:uid="{00000000-0005-0000-0000-00003A8B0000}"/>
    <cellStyle name="Normal 39 14 2" xfId="19778" xr:uid="{00000000-0005-0000-0000-00003B8B0000}"/>
    <cellStyle name="Normal 39 14 2 2" xfId="37139" xr:uid="{00000000-0005-0000-0000-00003C8B0000}"/>
    <cellStyle name="Normal 39 14 3" xfId="19779" xr:uid="{00000000-0005-0000-0000-00003D8B0000}"/>
    <cellStyle name="Normal 39 14 3 2" xfId="37140" xr:uid="{00000000-0005-0000-0000-00003E8B0000}"/>
    <cellStyle name="Normal 39 14 4" xfId="19780" xr:uid="{00000000-0005-0000-0000-00003F8B0000}"/>
    <cellStyle name="Normal 39 14 4 2" xfId="37141" xr:uid="{00000000-0005-0000-0000-0000408B0000}"/>
    <cellStyle name="Normal 39 14 5" xfId="19781" xr:uid="{00000000-0005-0000-0000-0000418B0000}"/>
    <cellStyle name="Normal 39 14 5 2" xfId="37142" xr:uid="{00000000-0005-0000-0000-0000428B0000}"/>
    <cellStyle name="Normal 39 14 6" xfId="19782" xr:uid="{00000000-0005-0000-0000-0000438B0000}"/>
    <cellStyle name="Normal 39 14 6 2" xfId="37143" xr:uid="{00000000-0005-0000-0000-0000448B0000}"/>
    <cellStyle name="Normal 39 14 7" xfId="19783" xr:uid="{00000000-0005-0000-0000-0000458B0000}"/>
    <cellStyle name="Normal 39 14 7 2" xfId="37144" xr:uid="{00000000-0005-0000-0000-0000468B0000}"/>
    <cellStyle name="Normal 39 14 8" xfId="19784" xr:uid="{00000000-0005-0000-0000-0000478B0000}"/>
    <cellStyle name="Normal 39 14 8 2" xfId="37145" xr:uid="{00000000-0005-0000-0000-0000488B0000}"/>
    <cellStyle name="Normal 39 14 9" xfId="19785" xr:uid="{00000000-0005-0000-0000-0000498B0000}"/>
    <cellStyle name="Normal 39 14 9 2" xfId="37146" xr:uid="{00000000-0005-0000-0000-00004A8B0000}"/>
    <cellStyle name="Normal 39 15" xfId="19786" xr:uid="{00000000-0005-0000-0000-00004B8B0000}"/>
    <cellStyle name="Normal 39 15 10" xfId="19787" xr:uid="{00000000-0005-0000-0000-00004C8B0000}"/>
    <cellStyle name="Normal 39 15 10 2" xfId="37148" xr:uid="{00000000-0005-0000-0000-00004D8B0000}"/>
    <cellStyle name="Normal 39 15 11" xfId="19788" xr:uid="{00000000-0005-0000-0000-00004E8B0000}"/>
    <cellStyle name="Normal 39 15 11 2" xfId="37149" xr:uid="{00000000-0005-0000-0000-00004F8B0000}"/>
    <cellStyle name="Normal 39 15 12" xfId="19789" xr:uid="{00000000-0005-0000-0000-0000508B0000}"/>
    <cellStyle name="Normal 39 15 12 2" xfId="37150" xr:uid="{00000000-0005-0000-0000-0000518B0000}"/>
    <cellStyle name="Normal 39 15 13" xfId="19790" xr:uid="{00000000-0005-0000-0000-0000528B0000}"/>
    <cellStyle name="Normal 39 15 13 2" xfId="37151" xr:uid="{00000000-0005-0000-0000-0000538B0000}"/>
    <cellStyle name="Normal 39 15 14" xfId="19791" xr:uid="{00000000-0005-0000-0000-0000548B0000}"/>
    <cellStyle name="Normal 39 15 14 2" xfId="37152" xr:uid="{00000000-0005-0000-0000-0000558B0000}"/>
    <cellStyle name="Normal 39 15 15" xfId="37147" xr:uid="{00000000-0005-0000-0000-0000568B0000}"/>
    <cellStyle name="Normal 39 15 2" xfId="19792" xr:uid="{00000000-0005-0000-0000-0000578B0000}"/>
    <cellStyle name="Normal 39 15 2 2" xfId="37153" xr:uid="{00000000-0005-0000-0000-0000588B0000}"/>
    <cellStyle name="Normal 39 15 3" xfId="19793" xr:uid="{00000000-0005-0000-0000-0000598B0000}"/>
    <cellStyle name="Normal 39 15 3 2" xfId="37154" xr:uid="{00000000-0005-0000-0000-00005A8B0000}"/>
    <cellStyle name="Normal 39 15 4" xfId="19794" xr:uid="{00000000-0005-0000-0000-00005B8B0000}"/>
    <cellStyle name="Normal 39 15 4 2" xfId="37155" xr:uid="{00000000-0005-0000-0000-00005C8B0000}"/>
    <cellStyle name="Normal 39 15 5" xfId="19795" xr:uid="{00000000-0005-0000-0000-00005D8B0000}"/>
    <cellStyle name="Normal 39 15 5 2" xfId="37156" xr:uid="{00000000-0005-0000-0000-00005E8B0000}"/>
    <cellStyle name="Normal 39 15 6" xfId="19796" xr:uid="{00000000-0005-0000-0000-00005F8B0000}"/>
    <cellStyle name="Normal 39 15 6 2" xfId="37157" xr:uid="{00000000-0005-0000-0000-0000608B0000}"/>
    <cellStyle name="Normal 39 15 7" xfId="19797" xr:uid="{00000000-0005-0000-0000-0000618B0000}"/>
    <cellStyle name="Normal 39 15 7 2" xfId="37158" xr:uid="{00000000-0005-0000-0000-0000628B0000}"/>
    <cellStyle name="Normal 39 15 8" xfId="19798" xr:uid="{00000000-0005-0000-0000-0000638B0000}"/>
    <cellStyle name="Normal 39 15 8 2" xfId="37159" xr:uid="{00000000-0005-0000-0000-0000648B0000}"/>
    <cellStyle name="Normal 39 15 9" xfId="19799" xr:uid="{00000000-0005-0000-0000-0000658B0000}"/>
    <cellStyle name="Normal 39 15 9 2" xfId="37160" xr:uid="{00000000-0005-0000-0000-0000668B0000}"/>
    <cellStyle name="Normal 39 16" xfId="19800" xr:uid="{00000000-0005-0000-0000-0000678B0000}"/>
    <cellStyle name="Normal 39 16 10" xfId="19801" xr:uid="{00000000-0005-0000-0000-0000688B0000}"/>
    <cellStyle name="Normal 39 16 10 2" xfId="37162" xr:uid="{00000000-0005-0000-0000-0000698B0000}"/>
    <cellStyle name="Normal 39 16 11" xfId="19802" xr:uid="{00000000-0005-0000-0000-00006A8B0000}"/>
    <cellStyle name="Normal 39 16 11 2" xfId="37163" xr:uid="{00000000-0005-0000-0000-00006B8B0000}"/>
    <cellStyle name="Normal 39 16 12" xfId="19803" xr:uid="{00000000-0005-0000-0000-00006C8B0000}"/>
    <cellStyle name="Normal 39 16 12 2" xfId="37164" xr:uid="{00000000-0005-0000-0000-00006D8B0000}"/>
    <cellStyle name="Normal 39 16 13" xfId="19804" xr:uid="{00000000-0005-0000-0000-00006E8B0000}"/>
    <cellStyle name="Normal 39 16 13 2" xfId="37165" xr:uid="{00000000-0005-0000-0000-00006F8B0000}"/>
    <cellStyle name="Normal 39 16 14" xfId="19805" xr:uid="{00000000-0005-0000-0000-0000708B0000}"/>
    <cellStyle name="Normal 39 16 14 2" xfId="37166" xr:uid="{00000000-0005-0000-0000-0000718B0000}"/>
    <cellStyle name="Normal 39 16 15" xfId="37161" xr:uid="{00000000-0005-0000-0000-0000728B0000}"/>
    <cellStyle name="Normal 39 16 2" xfId="19806" xr:uid="{00000000-0005-0000-0000-0000738B0000}"/>
    <cellStyle name="Normal 39 16 2 2" xfId="37167" xr:uid="{00000000-0005-0000-0000-0000748B0000}"/>
    <cellStyle name="Normal 39 16 3" xfId="19807" xr:uid="{00000000-0005-0000-0000-0000758B0000}"/>
    <cellStyle name="Normal 39 16 3 2" xfId="37168" xr:uid="{00000000-0005-0000-0000-0000768B0000}"/>
    <cellStyle name="Normal 39 16 4" xfId="19808" xr:uid="{00000000-0005-0000-0000-0000778B0000}"/>
    <cellStyle name="Normal 39 16 4 2" xfId="37169" xr:uid="{00000000-0005-0000-0000-0000788B0000}"/>
    <cellStyle name="Normal 39 16 5" xfId="19809" xr:uid="{00000000-0005-0000-0000-0000798B0000}"/>
    <cellStyle name="Normal 39 16 5 2" xfId="37170" xr:uid="{00000000-0005-0000-0000-00007A8B0000}"/>
    <cellStyle name="Normal 39 16 6" xfId="19810" xr:uid="{00000000-0005-0000-0000-00007B8B0000}"/>
    <cellStyle name="Normal 39 16 6 2" xfId="37171" xr:uid="{00000000-0005-0000-0000-00007C8B0000}"/>
    <cellStyle name="Normal 39 16 7" xfId="19811" xr:uid="{00000000-0005-0000-0000-00007D8B0000}"/>
    <cellStyle name="Normal 39 16 7 2" xfId="37172" xr:uid="{00000000-0005-0000-0000-00007E8B0000}"/>
    <cellStyle name="Normal 39 16 8" xfId="19812" xr:uid="{00000000-0005-0000-0000-00007F8B0000}"/>
    <cellStyle name="Normal 39 16 8 2" xfId="37173" xr:uid="{00000000-0005-0000-0000-0000808B0000}"/>
    <cellStyle name="Normal 39 16 9" xfId="19813" xr:uid="{00000000-0005-0000-0000-0000818B0000}"/>
    <cellStyle name="Normal 39 16 9 2" xfId="37174" xr:uid="{00000000-0005-0000-0000-0000828B0000}"/>
    <cellStyle name="Normal 39 17" xfId="19814" xr:uid="{00000000-0005-0000-0000-0000838B0000}"/>
    <cellStyle name="Normal 39 17 10" xfId="19815" xr:uid="{00000000-0005-0000-0000-0000848B0000}"/>
    <cellStyle name="Normal 39 17 10 2" xfId="37176" xr:uid="{00000000-0005-0000-0000-0000858B0000}"/>
    <cellStyle name="Normal 39 17 11" xfId="19816" xr:uid="{00000000-0005-0000-0000-0000868B0000}"/>
    <cellStyle name="Normal 39 17 11 2" xfId="37177" xr:uid="{00000000-0005-0000-0000-0000878B0000}"/>
    <cellStyle name="Normal 39 17 12" xfId="19817" xr:uid="{00000000-0005-0000-0000-0000888B0000}"/>
    <cellStyle name="Normal 39 17 12 2" xfId="37178" xr:uid="{00000000-0005-0000-0000-0000898B0000}"/>
    <cellStyle name="Normal 39 17 13" xfId="19818" xr:uid="{00000000-0005-0000-0000-00008A8B0000}"/>
    <cellStyle name="Normal 39 17 13 2" xfId="37179" xr:uid="{00000000-0005-0000-0000-00008B8B0000}"/>
    <cellStyle name="Normal 39 17 14" xfId="19819" xr:uid="{00000000-0005-0000-0000-00008C8B0000}"/>
    <cellStyle name="Normal 39 17 14 2" xfId="37180" xr:uid="{00000000-0005-0000-0000-00008D8B0000}"/>
    <cellStyle name="Normal 39 17 15" xfId="37175" xr:uid="{00000000-0005-0000-0000-00008E8B0000}"/>
    <cellStyle name="Normal 39 17 2" xfId="19820" xr:uid="{00000000-0005-0000-0000-00008F8B0000}"/>
    <cellStyle name="Normal 39 17 2 2" xfId="37181" xr:uid="{00000000-0005-0000-0000-0000908B0000}"/>
    <cellStyle name="Normal 39 17 3" xfId="19821" xr:uid="{00000000-0005-0000-0000-0000918B0000}"/>
    <cellStyle name="Normal 39 17 3 2" xfId="37182" xr:uid="{00000000-0005-0000-0000-0000928B0000}"/>
    <cellStyle name="Normal 39 17 4" xfId="19822" xr:uid="{00000000-0005-0000-0000-0000938B0000}"/>
    <cellStyle name="Normal 39 17 4 2" xfId="37183" xr:uid="{00000000-0005-0000-0000-0000948B0000}"/>
    <cellStyle name="Normal 39 17 5" xfId="19823" xr:uid="{00000000-0005-0000-0000-0000958B0000}"/>
    <cellStyle name="Normal 39 17 5 2" xfId="37184" xr:uid="{00000000-0005-0000-0000-0000968B0000}"/>
    <cellStyle name="Normal 39 17 6" xfId="19824" xr:uid="{00000000-0005-0000-0000-0000978B0000}"/>
    <cellStyle name="Normal 39 17 6 2" xfId="37185" xr:uid="{00000000-0005-0000-0000-0000988B0000}"/>
    <cellStyle name="Normal 39 17 7" xfId="19825" xr:uid="{00000000-0005-0000-0000-0000998B0000}"/>
    <cellStyle name="Normal 39 17 7 2" xfId="37186" xr:uid="{00000000-0005-0000-0000-00009A8B0000}"/>
    <cellStyle name="Normal 39 17 8" xfId="19826" xr:uid="{00000000-0005-0000-0000-00009B8B0000}"/>
    <cellStyle name="Normal 39 17 8 2" xfId="37187" xr:uid="{00000000-0005-0000-0000-00009C8B0000}"/>
    <cellStyle name="Normal 39 17 9" xfId="19827" xr:uid="{00000000-0005-0000-0000-00009D8B0000}"/>
    <cellStyle name="Normal 39 17 9 2" xfId="37188" xr:uid="{00000000-0005-0000-0000-00009E8B0000}"/>
    <cellStyle name="Normal 39 18" xfId="19828" xr:uid="{00000000-0005-0000-0000-00009F8B0000}"/>
    <cellStyle name="Normal 39 18 2" xfId="37189" xr:uid="{00000000-0005-0000-0000-0000A08B0000}"/>
    <cellStyle name="Normal 39 19" xfId="19829" xr:uid="{00000000-0005-0000-0000-0000A18B0000}"/>
    <cellStyle name="Normal 39 19 2" xfId="37190" xr:uid="{00000000-0005-0000-0000-0000A28B0000}"/>
    <cellStyle name="Normal 39 2" xfId="227" xr:uid="{00000000-0005-0000-0000-0000A38B0000}"/>
    <cellStyle name="Normal 39 20" xfId="19830" xr:uid="{00000000-0005-0000-0000-0000A48B0000}"/>
    <cellStyle name="Normal 39 20 2" xfId="37191" xr:uid="{00000000-0005-0000-0000-0000A58B0000}"/>
    <cellStyle name="Normal 39 21" xfId="19831" xr:uid="{00000000-0005-0000-0000-0000A68B0000}"/>
    <cellStyle name="Normal 39 21 2" xfId="37192" xr:uid="{00000000-0005-0000-0000-0000A78B0000}"/>
    <cellStyle name="Normal 39 22" xfId="19832" xr:uid="{00000000-0005-0000-0000-0000A88B0000}"/>
    <cellStyle name="Normal 39 22 2" xfId="37193" xr:uid="{00000000-0005-0000-0000-0000A98B0000}"/>
    <cellStyle name="Normal 39 23" xfId="19833" xr:uid="{00000000-0005-0000-0000-0000AA8B0000}"/>
    <cellStyle name="Normal 39 23 2" xfId="37194" xr:uid="{00000000-0005-0000-0000-0000AB8B0000}"/>
    <cellStyle name="Normal 39 24" xfId="19834" xr:uid="{00000000-0005-0000-0000-0000AC8B0000}"/>
    <cellStyle name="Normal 39 24 2" xfId="37195" xr:uid="{00000000-0005-0000-0000-0000AD8B0000}"/>
    <cellStyle name="Normal 39 25" xfId="19835" xr:uid="{00000000-0005-0000-0000-0000AE8B0000}"/>
    <cellStyle name="Normal 39 25 2" xfId="37196" xr:uid="{00000000-0005-0000-0000-0000AF8B0000}"/>
    <cellStyle name="Normal 39 26" xfId="19836" xr:uid="{00000000-0005-0000-0000-0000B08B0000}"/>
    <cellStyle name="Normal 39 26 2" xfId="37197" xr:uid="{00000000-0005-0000-0000-0000B18B0000}"/>
    <cellStyle name="Normal 39 27" xfId="19837" xr:uid="{00000000-0005-0000-0000-0000B28B0000}"/>
    <cellStyle name="Normal 39 27 2" xfId="37198" xr:uid="{00000000-0005-0000-0000-0000B38B0000}"/>
    <cellStyle name="Normal 39 28" xfId="19838" xr:uid="{00000000-0005-0000-0000-0000B48B0000}"/>
    <cellStyle name="Normal 39 28 2" xfId="37199" xr:uid="{00000000-0005-0000-0000-0000B58B0000}"/>
    <cellStyle name="Normal 39 29" xfId="19839" xr:uid="{00000000-0005-0000-0000-0000B68B0000}"/>
    <cellStyle name="Normal 39 29 2" xfId="37200" xr:uid="{00000000-0005-0000-0000-0000B78B0000}"/>
    <cellStyle name="Normal 39 3" xfId="19840" xr:uid="{00000000-0005-0000-0000-0000B88B0000}"/>
    <cellStyle name="Normal 39 30" xfId="19841" xr:uid="{00000000-0005-0000-0000-0000B98B0000}"/>
    <cellStyle name="Normal 39 30 2" xfId="37201" xr:uid="{00000000-0005-0000-0000-0000BA8B0000}"/>
    <cellStyle name="Normal 39 31" xfId="37076" xr:uid="{00000000-0005-0000-0000-0000BB8B0000}"/>
    <cellStyle name="Normal 39 4" xfId="19842" xr:uid="{00000000-0005-0000-0000-0000BC8B0000}"/>
    <cellStyle name="Normal 39 4 10" xfId="19843" xr:uid="{00000000-0005-0000-0000-0000BD8B0000}"/>
    <cellStyle name="Normal 39 4 10 2" xfId="37203" xr:uid="{00000000-0005-0000-0000-0000BE8B0000}"/>
    <cellStyle name="Normal 39 4 11" xfId="19844" xr:uid="{00000000-0005-0000-0000-0000BF8B0000}"/>
    <cellStyle name="Normal 39 4 11 2" xfId="37204" xr:uid="{00000000-0005-0000-0000-0000C08B0000}"/>
    <cellStyle name="Normal 39 4 12" xfId="19845" xr:uid="{00000000-0005-0000-0000-0000C18B0000}"/>
    <cellStyle name="Normal 39 4 12 2" xfId="37205" xr:uid="{00000000-0005-0000-0000-0000C28B0000}"/>
    <cellStyle name="Normal 39 4 13" xfId="19846" xr:uid="{00000000-0005-0000-0000-0000C38B0000}"/>
    <cellStyle name="Normal 39 4 13 2" xfId="37206" xr:uid="{00000000-0005-0000-0000-0000C48B0000}"/>
    <cellStyle name="Normal 39 4 14" xfId="19847" xr:uid="{00000000-0005-0000-0000-0000C58B0000}"/>
    <cellStyle name="Normal 39 4 14 2" xfId="37207" xr:uid="{00000000-0005-0000-0000-0000C68B0000}"/>
    <cellStyle name="Normal 39 4 15" xfId="19848" xr:uid="{00000000-0005-0000-0000-0000C78B0000}"/>
    <cellStyle name="Normal 39 4 15 2" xfId="37208" xr:uid="{00000000-0005-0000-0000-0000C88B0000}"/>
    <cellStyle name="Normal 39 4 16" xfId="37202" xr:uid="{00000000-0005-0000-0000-0000C98B0000}"/>
    <cellStyle name="Normal 39 4 2" xfId="19849" xr:uid="{00000000-0005-0000-0000-0000CA8B0000}"/>
    <cellStyle name="Normal 39 4 2 10" xfId="19850" xr:uid="{00000000-0005-0000-0000-0000CB8B0000}"/>
    <cellStyle name="Normal 39 4 2 10 2" xfId="37210" xr:uid="{00000000-0005-0000-0000-0000CC8B0000}"/>
    <cellStyle name="Normal 39 4 2 11" xfId="19851" xr:uid="{00000000-0005-0000-0000-0000CD8B0000}"/>
    <cellStyle name="Normal 39 4 2 11 2" xfId="37211" xr:uid="{00000000-0005-0000-0000-0000CE8B0000}"/>
    <cellStyle name="Normal 39 4 2 12" xfId="19852" xr:uid="{00000000-0005-0000-0000-0000CF8B0000}"/>
    <cellStyle name="Normal 39 4 2 12 2" xfId="37212" xr:uid="{00000000-0005-0000-0000-0000D08B0000}"/>
    <cellStyle name="Normal 39 4 2 13" xfId="19853" xr:uid="{00000000-0005-0000-0000-0000D18B0000}"/>
    <cellStyle name="Normal 39 4 2 13 2" xfId="37213" xr:uid="{00000000-0005-0000-0000-0000D28B0000}"/>
    <cellStyle name="Normal 39 4 2 14" xfId="19854" xr:uid="{00000000-0005-0000-0000-0000D38B0000}"/>
    <cellStyle name="Normal 39 4 2 14 2" xfId="37214" xr:uid="{00000000-0005-0000-0000-0000D48B0000}"/>
    <cellStyle name="Normal 39 4 2 15" xfId="37209" xr:uid="{00000000-0005-0000-0000-0000D58B0000}"/>
    <cellStyle name="Normal 39 4 2 2" xfId="19855" xr:uid="{00000000-0005-0000-0000-0000D68B0000}"/>
    <cellStyle name="Normal 39 4 2 2 2" xfId="37215" xr:uid="{00000000-0005-0000-0000-0000D78B0000}"/>
    <cellStyle name="Normal 39 4 2 3" xfId="19856" xr:uid="{00000000-0005-0000-0000-0000D88B0000}"/>
    <cellStyle name="Normal 39 4 2 3 2" xfId="37216" xr:uid="{00000000-0005-0000-0000-0000D98B0000}"/>
    <cellStyle name="Normal 39 4 2 4" xfId="19857" xr:uid="{00000000-0005-0000-0000-0000DA8B0000}"/>
    <cellStyle name="Normal 39 4 2 4 2" xfId="37217" xr:uid="{00000000-0005-0000-0000-0000DB8B0000}"/>
    <cellStyle name="Normal 39 4 2 5" xfId="19858" xr:uid="{00000000-0005-0000-0000-0000DC8B0000}"/>
    <cellStyle name="Normal 39 4 2 5 2" xfId="37218" xr:uid="{00000000-0005-0000-0000-0000DD8B0000}"/>
    <cellStyle name="Normal 39 4 2 6" xfId="19859" xr:uid="{00000000-0005-0000-0000-0000DE8B0000}"/>
    <cellStyle name="Normal 39 4 2 6 2" xfId="37219" xr:uid="{00000000-0005-0000-0000-0000DF8B0000}"/>
    <cellStyle name="Normal 39 4 2 7" xfId="19860" xr:uid="{00000000-0005-0000-0000-0000E08B0000}"/>
    <cellStyle name="Normal 39 4 2 7 2" xfId="37220" xr:uid="{00000000-0005-0000-0000-0000E18B0000}"/>
    <cellStyle name="Normal 39 4 2 8" xfId="19861" xr:uid="{00000000-0005-0000-0000-0000E28B0000}"/>
    <cellStyle name="Normal 39 4 2 8 2" xfId="37221" xr:uid="{00000000-0005-0000-0000-0000E38B0000}"/>
    <cellStyle name="Normal 39 4 2 9" xfId="19862" xr:uid="{00000000-0005-0000-0000-0000E48B0000}"/>
    <cellStyle name="Normal 39 4 2 9 2" xfId="37222" xr:uid="{00000000-0005-0000-0000-0000E58B0000}"/>
    <cellStyle name="Normal 39 4 3" xfId="19863" xr:uid="{00000000-0005-0000-0000-0000E68B0000}"/>
    <cellStyle name="Normal 39 4 3 2" xfId="37223" xr:uid="{00000000-0005-0000-0000-0000E78B0000}"/>
    <cellStyle name="Normal 39 4 4" xfId="19864" xr:uid="{00000000-0005-0000-0000-0000E88B0000}"/>
    <cellStyle name="Normal 39 4 4 2" xfId="37224" xr:uid="{00000000-0005-0000-0000-0000E98B0000}"/>
    <cellStyle name="Normal 39 4 5" xfId="19865" xr:uid="{00000000-0005-0000-0000-0000EA8B0000}"/>
    <cellStyle name="Normal 39 4 5 2" xfId="37225" xr:uid="{00000000-0005-0000-0000-0000EB8B0000}"/>
    <cellStyle name="Normal 39 4 6" xfId="19866" xr:uid="{00000000-0005-0000-0000-0000EC8B0000}"/>
    <cellStyle name="Normal 39 4 6 2" xfId="37226" xr:uid="{00000000-0005-0000-0000-0000ED8B0000}"/>
    <cellStyle name="Normal 39 4 7" xfId="19867" xr:uid="{00000000-0005-0000-0000-0000EE8B0000}"/>
    <cellStyle name="Normal 39 4 7 2" xfId="37227" xr:uid="{00000000-0005-0000-0000-0000EF8B0000}"/>
    <cellStyle name="Normal 39 4 8" xfId="19868" xr:uid="{00000000-0005-0000-0000-0000F08B0000}"/>
    <cellStyle name="Normal 39 4 8 2" xfId="37228" xr:uid="{00000000-0005-0000-0000-0000F18B0000}"/>
    <cellStyle name="Normal 39 4 9" xfId="19869" xr:uid="{00000000-0005-0000-0000-0000F28B0000}"/>
    <cellStyle name="Normal 39 4 9 2" xfId="37229" xr:uid="{00000000-0005-0000-0000-0000F38B0000}"/>
    <cellStyle name="Normal 39 5" xfId="19870" xr:uid="{00000000-0005-0000-0000-0000F48B0000}"/>
    <cellStyle name="Normal 39 5 10" xfId="19871" xr:uid="{00000000-0005-0000-0000-0000F58B0000}"/>
    <cellStyle name="Normal 39 5 10 2" xfId="37231" xr:uid="{00000000-0005-0000-0000-0000F68B0000}"/>
    <cellStyle name="Normal 39 5 11" xfId="19872" xr:uid="{00000000-0005-0000-0000-0000F78B0000}"/>
    <cellStyle name="Normal 39 5 11 2" xfId="37232" xr:uid="{00000000-0005-0000-0000-0000F88B0000}"/>
    <cellStyle name="Normal 39 5 12" xfId="19873" xr:uid="{00000000-0005-0000-0000-0000F98B0000}"/>
    <cellStyle name="Normal 39 5 12 2" xfId="37233" xr:uid="{00000000-0005-0000-0000-0000FA8B0000}"/>
    <cellStyle name="Normal 39 5 13" xfId="19874" xr:uid="{00000000-0005-0000-0000-0000FB8B0000}"/>
    <cellStyle name="Normal 39 5 13 2" xfId="37234" xr:uid="{00000000-0005-0000-0000-0000FC8B0000}"/>
    <cellStyle name="Normal 39 5 14" xfId="19875" xr:uid="{00000000-0005-0000-0000-0000FD8B0000}"/>
    <cellStyle name="Normal 39 5 14 2" xfId="37235" xr:uid="{00000000-0005-0000-0000-0000FE8B0000}"/>
    <cellStyle name="Normal 39 5 15" xfId="19876" xr:uid="{00000000-0005-0000-0000-0000FF8B0000}"/>
    <cellStyle name="Normal 39 5 15 2" xfId="37236" xr:uid="{00000000-0005-0000-0000-0000008C0000}"/>
    <cellStyle name="Normal 39 5 16" xfId="37230" xr:uid="{00000000-0005-0000-0000-0000018C0000}"/>
    <cellStyle name="Normal 39 5 2" xfId="19877" xr:uid="{00000000-0005-0000-0000-0000028C0000}"/>
    <cellStyle name="Normal 39 5 2 10" xfId="19878" xr:uid="{00000000-0005-0000-0000-0000038C0000}"/>
    <cellStyle name="Normal 39 5 2 10 2" xfId="37238" xr:uid="{00000000-0005-0000-0000-0000048C0000}"/>
    <cellStyle name="Normal 39 5 2 11" xfId="19879" xr:uid="{00000000-0005-0000-0000-0000058C0000}"/>
    <cellStyle name="Normal 39 5 2 11 2" xfId="37239" xr:uid="{00000000-0005-0000-0000-0000068C0000}"/>
    <cellStyle name="Normal 39 5 2 12" xfId="19880" xr:uid="{00000000-0005-0000-0000-0000078C0000}"/>
    <cellStyle name="Normal 39 5 2 12 2" xfId="37240" xr:uid="{00000000-0005-0000-0000-0000088C0000}"/>
    <cellStyle name="Normal 39 5 2 13" xfId="19881" xr:uid="{00000000-0005-0000-0000-0000098C0000}"/>
    <cellStyle name="Normal 39 5 2 13 2" xfId="37241" xr:uid="{00000000-0005-0000-0000-00000A8C0000}"/>
    <cellStyle name="Normal 39 5 2 14" xfId="19882" xr:uid="{00000000-0005-0000-0000-00000B8C0000}"/>
    <cellStyle name="Normal 39 5 2 14 2" xfId="37242" xr:uid="{00000000-0005-0000-0000-00000C8C0000}"/>
    <cellStyle name="Normal 39 5 2 15" xfId="37237" xr:uid="{00000000-0005-0000-0000-00000D8C0000}"/>
    <cellStyle name="Normal 39 5 2 2" xfId="19883" xr:uid="{00000000-0005-0000-0000-00000E8C0000}"/>
    <cellStyle name="Normal 39 5 2 2 2" xfId="37243" xr:uid="{00000000-0005-0000-0000-00000F8C0000}"/>
    <cellStyle name="Normal 39 5 2 3" xfId="19884" xr:uid="{00000000-0005-0000-0000-0000108C0000}"/>
    <cellStyle name="Normal 39 5 2 3 2" xfId="37244" xr:uid="{00000000-0005-0000-0000-0000118C0000}"/>
    <cellStyle name="Normal 39 5 2 4" xfId="19885" xr:uid="{00000000-0005-0000-0000-0000128C0000}"/>
    <cellStyle name="Normal 39 5 2 4 2" xfId="37245" xr:uid="{00000000-0005-0000-0000-0000138C0000}"/>
    <cellStyle name="Normal 39 5 2 5" xfId="19886" xr:uid="{00000000-0005-0000-0000-0000148C0000}"/>
    <cellStyle name="Normal 39 5 2 5 2" xfId="37246" xr:uid="{00000000-0005-0000-0000-0000158C0000}"/>
    <cellStyle name="Normal 39 5 2 6" xfId="19887" xr:uid="{00000000-0005-0000-0000-0000168C0000}"/>
    <cellStyle name="Normal 39 5 2 6 2" xfId="37247" xr:uid="{00000000-0005-0000-0000-0000178C0000}"/>
    <cellStyle name="Normal 39 5 2 7" xfId="19888" xr:uid="{00000000-0005-0000-0000-0000188C0000}"/>
    <cellStyle name="Normal 39 5 2 7 2" xfId="37248" xr:uid="{00000000-0005-0000-0000-0000198C0000}"/>
    <cellStyle name="Normal 39 5 2 8" xfId="19889" xr:uid="{00000000-0005-0000-0000-00001A8C0000}"/>
    <cellStyle name="Normal 39 5 2 8 2" xfId="37249" xr:uid="{00000000-0005-0000-0000-00001B8C0000}"/>
    <cellStyle name="Normal 39 5 2 9" xfId="19890" xr:uid="{00000000-0005-0000-0000-00001C8C0000}"/>
    <cellStyle name="Normal 39 5 2 9 2" xfId="37250" xr:uid="{00000000-0005-0000-0000-00001D8C0000}"/>
    <cellStyle name="Normal 39 5 3" xfId="19891" xr:uid="{00000000-0005-0000-0000-00001E8C0000}"/>
    <cellStyle name="Normal 39 5 3 2" xfId="37251" xr:uid="{00000000-0005-0000-0000-00001F8C0000}"/>
    <cellStyle name="Normal 39 5 4" xfId="19892" xr:uid="{00000000-0005-0000-0000-0000208C0000}"/>
    <cellStyle name="Normal 39 5 4 2" xfId="37252" xr:uid="{00000000-0005-0000-0000-0000218C0000}"/>
    <cellStyle name="Normal 39 5 5" xfId="19893" xr:uid="{00000000-0005-0000-0000-0000228C0000}"/>
    <cellStyle name="Normal 39 5 5 2" xfId="37253" xr:uid="{00000000-0005-0000-0000-0000238C0000}"/>
    <cellStyle name="Normal 39 5 6" xfId="19894" xr:uid="{00000000-0005-0000-0000-0000248C0000}"/>
    <cellStyle name="Normal 39 5 6 2" xfId="37254" xr:uid="{00000000-0005-0000-0000-0000258C0000}"/>
    <cellStyle name="Normal 39 5 7" xfId="19895" xr:uid="{00000000-0005-0000-0000-0000268C0000}"/>
    <cellStyle name="Normal 39 5 7 2" xfId="37255" xr:uid="{00000000-0005-0000-0000-0000278C0000}"/>
    <cellStyle name="Normal 39 5 8" xfId="19896" xr:uid="{00000000-0005-0000-0000-0000288C0000}"/>
    <cellStyle name="Normal 39 5 8 2" xfId="37256" xr:uid="{00000000-0005-0000-0000-0000298C0000}"/>
    <cellStyle name="Normal 39 5 9" xfId="19897" xr:uid="{00000000-0005-0000-0000-00002A8C0000}"/>
    <cellStyle name="Normal 39 5 9 2" xfId="37257" xr:uid="{00000000-0005-0000-0000-00002B8C0000}"/>
    <cellStyle name="Normal 39 6" xfId="19898" xr:uid="{00000000-0005-0000-0000-00002C8C0000}"/>
    <cellStyle name="Normal 39 6 10" xfId="19899" xr:uid="{00000000-0005-0000-0000-00002D8C0000}"/>
    <cellStyle name="Normal 39 6 10 2" xfId="37259" xr:uid="{00000000-0005-0000-0000-00002E8C0000}"/>
    <cellStyle name="Normal 39 6 11" xfId="19900" xr:uid="{00000000-0005-0000-0000-00002F8C0000}"/>
    <cellStyle name="Normal 39 6 11 2" xfId="37260" xr:uid="{00000000-0005-0000-0000-0000308C0000}"/>
    <cellStyle name="Normal 39 6 12" xfId="19901" xr:uid="{00000000-0005-0000-0000-0000318C0000}"/>
    <cellStyle name="Normal 39 6 12 2" xfId="37261" xr:uid="{00000000-0005-0000-0000-0000328C0000}"/>
    <cellStyle name="Normal 39 6 13" xfId="19902" xr:uid="{00000000-0005-0000-0000-0000338C0000}"/>
    <cellStyle name="Normal 39 6 13 2" xfId="37262" xr:uid="{00000000-0005-0000-0000-0000348C0000}"/>
    <cellStyle name="Normal 39 6 14" xfId="19903" xr:uid="{00000000-0005-0000-0000-0000358C0000}"/>
    <cellStyle name="Normal 39 6 14 2" xfId="37263" xr:uid="{00000000-0005-0000-0000-0000368C0000}"/>
    <cellStyle name="Normal 39 6 15" xfId="19904" xr:uid="{00000000-0005-0000-0000-0000378C0000}"/>
    <cellStyle name="Normal 39 6 15 2" xfId="37264" xr:uid="{00000000-0005-0000-0000-0000388C0000}"/>
    <cellStyle name="Normal 39 6 16" xfId="37258" xr:uid="{00000000-0005-0000-0000-0000398C0000}"/>
    <cellStyle name="Normal 39 6 2" xfId="19905" xr:uid="{00000000-0005-0000-0000-00003A8C0000}"/>
    <cellStyle name="Normal 39 6 2 10" xfId="19906" xr:uid="{00000000-0005-0000-0000-00003B8C0000}"/>
    <cellStyle name="Normal 39 6 2 10 2" xfId="37266" xr:uid="{00000000-0005-0000-0000-00003C8C0000}"/>
    <cellStyle name="Normal 39 6 2 11" xfId="19907" xr:uid="{00000000-0005-0000-0000-00003D8C0000}"/>
    <cellStyle name="Normal 39 6 2 11 2" xfId="37267" xr:uid="{00000000-0005-0000-0000-00003E8C0000}"/>
    <cellStyle name="Normal 39 6 2 12" xfId="19908" xr:uid="{00000000-0005-0000-0000-00003F8C0000}"/>
    <cellStyle name="Normal 39 6 2 12 2" xfId="37268" xr:uid="{00000000-0005-0000-0000-0000408C0000}"/>
    <cellStyle name="Normal 39 6 2 13" xfId="19909" xr:uid="{00000000-0005-0000-0000-0000418C0000}"/>
    <cellStyle name="Normal 39 6 2 13 2" xfId="37269" xr:uid="{00000000-0005-0000-0000-0000428C0000}"/>
    <cellStyle name="Normal 39 6 2 14" xfId="19910" xr:uid="{00000000-0005-0000-0000-0000438C0000}"/>
    <cellStyle name="Normal 39 6 2 14 2" xfId="37270" xr:uid="{00000000-0005-0000-0000-0000448C0000}"/>
    <cellStyle name="Normal 39 6 2 15" xfId="37265" xr:uid="{00000000-0005-0000-0000-0000458C0000}"/>
    <cellStyle name="Normal 39 6 2 2" xfId="19911" xr:uid="{00000000-0005-0000-0000-0000468C0000}"/>
    <cellStyle name="Normal 39 6 2 2 2" xfId="37271" xr:uid="{00000000-0005-0000-0000-0000478C0000}"/>
    <cellStyle name="Normal 39 6 2 3" xfId="19912" xr:uid="{00000000-0005-0000-0000-0000488C0000}"/>
    <cellStyle name="Normal 39 6 2 3 2" xfId="37272" xr:uid="{00000000-0005-0000-0000-0000498C0000}"/>
    <cellStyle name="Normal 39 6 2 4" xfId="19913" xr:uid="{00000000-0005-0000-0000-00004A8C0000}"/>
    <cellStyle name="Normal 39 6 2 4 2" xfId="37273" xr:uid="{00000000-0005-0000-0000-00004B8C0000}"/>
    <cellStyle name="Normal 39 6 2 5" xfId="19914" xr:uid="{00000000-0005-0000-0000-00004C8C0000}"/>
    <cellStyle name="Normal 39 6 2 5 2" xfId="37274" xr:uid="{00000000-0005-0000-0000-00004D8C0000}"/>
    <cellStyle name="Normal 39 6 2 6" xfId="19915" xr:uid="{00000000-0005-0000-0000-00004E8C0000}"/>
    <cellStyle name="Normal 39 6 2 6 2" xfId="37275" xr:uid="{00000000-0005-0000-0000-00004F8C0000}"/>
    <cellStyle name="Normal 39 6 2 7" xfId="19916" xr:uid="{00000000-0005-0000-0000-0000508C0000}"/>
    <cellStyle name="Normal 39 6 2 7 2" xfId="37276" xr:uid="{00000000-0005-0000-0000-0000518C0000}"/>
    <cellStyle name="Normal 39 6 2 8" xfId="19917" xr:uid="{00000000-0005-0000-0000-0000528C0000}"/>
    <cellStyle name="Normal 39 6 2 8 2" xfId="37277" xr:uid="{00000000-0005-0000-0000-0000538C0000}"/>
    <cellStyle name="Normal 39 6 2 9" xfId="19918" xr:uid="{00000000-0005-0000-0000-0000548C0000}"/>
    <cellStyle name="Normal 39 6 2 9 2" xfId="37278" xr:uid="{00000000-0005-0000-0000-0000558C0000}"/>
    <cellStyle name="Normal 39 6 3" xfId="19919" xr:uid="{00000000-0005-0000-0000-0000568C0000}"/>
    <cellStyle name="Normal 39 6 3 2" xfId="37279" xr:uid="{00000000-0005-0000-0000-0000578C0000}"/>
    <cellStyle name="Normal 39 6 4" xfId="19920" xr:uid="{00000000-0005-0000-0000-0000588C0000}"/>
    <cellStyle name="Normal 39 6 4 2" xfId="37280" xr:uid="{00000000-0005-0000-0000-0000598C0000}"/>
    <cellStyle name="Normal 39 6 5" xfId="19921" xr:uid="{00000000-0005-0000-0000-00005A8C0000}"/>
    <cellStyle name="Normal 39 6 5 2" xfId="37281" xr:uid="{00000000-0005-0000-0000-00005B8C0000}"/>
    <cellStyle name="Normal 39 6 6" xfId="19922" xr:uid="{00000000-0005-0000-0000-00005C8C0000}"/>
    <cellStyle name="Normal 39 6 6 2" xfId="37282" xr:uid="{00000000-0005-0000-0000-00005D8C0000}"/>
    <cellStyle name="Normal 39 6 7" xfId="19923" xr:uid="{00000000-0005-0000-0000-00005E8C0000}"/>
    <cellStyle name="Normal 39 6 7 2" xfId="37283" xr:uid="{00000000-0005-0000-0000-00005F8C0000}"/>
    <cellStyle name="Normal 39 6 8" xfId="19924" xr:uid="{00000000-0005-0000-0000-0000608C0000}"/>
    <cellStyle name="Normal 39 6 8 2" xfId="37284" xr:uid="{00000000-0005-0000-0000-0000618C0000}"/>
    <cellStyle name="Normal 39 6 9" xfId="19925" xr:uid="{00000000-0005-0000-0000-0000628C0000}"/>
    <cellStyle name="Normal 39 6 9 2" xfId="37285" xr:uid="{00000000-0005-0000-0000-0000638C0000}"/>
    <cellStyle name="Normal 39 7" xfId="19926" xr:uid="{00000000-0005-0000-0000-0000648C0000}"/>
    <cellStyle name="Normal 39 7 10" xfId="19927" xr:uid="{00000000-0005-0000-0000-0000658C0000}"/>
    <cellStyle name="Normal 39 7 10 2" xfId="37287" xr:uid="{00000000-0005-0000-0000-0000668C0000}"/>
    <cellStyle name="Normal 39 7 11" xfId="19928" xr:uid="{00000000-0005-0000-0000-0000678C0000}"/>
    <cellStyle name="Normal 39 7 11 2" xfId="37288" xr:uid="{00000000-0005-0000-0000-0000688C0000}"/>
    <cellStyle name="Normal 39 7 12" xfId="19929" xr:uid="{00000000-0005-0000-0000-0000698C0000}"/>
    <cellStyle name="Normal 39 7 12 2" xfId="37289" xr:uid="{00000000-0005-0000-0000-00006A8C0000}"/>
    <cellStyle name="Normal 39 7 13" xfId="19930" xr:uid="{00000000-0005-0000-0000-00006B8C0000}"/>
    <cellStyle name="Normal 39 7 13 2" xfId="37290" xr:uid="{00000000-0005-0000-0000-00006C8C0000}"/>
    <cellStyle name="Normal 39 7 14" xfId="19931" xr:uid="{00000000-0005-0000-0000-00006D8C0000}"/>
    <cellStyle name="Normal 39 7 14 2" xfId="37291" xr:uid="{00000000-0005-0000-0000-00006E8C0000}"/>
    <cellStyle name="Normal 39 7 15" xfId="37286" xr:uid="{00000000-0005-0000-0000-00006F8C0000}"/>
    <cellStyle name="Normal 39 7 2" xfId="19932" xr:uid="{00000000-0005-0000-0000-0000708C0000}"/>
    <cellStyle name="Normal 39 7 2 2" xfId="37292" xr:uid="{00000000-0005-0000-0000-0000718C0000}"/>
    <cellStyle name="Normal 39 7 3" xfId="19933" xr:uid="{00000000-0005-0000-0000-0000728C0000}"/>
    <cellStyle name="Normal 39 7 3 2" xfId="37293" xr:uid="{00000000-0005-0000-0000-0000738C0000}"/>
    <cellStyle name="Normal 39 7 4" xfId="19934" xr:uid="{00000000-0005-0000-0000-0000748C0000}"/>
    <cellStyle name="Normal 39 7 4 2" xfId="37294" xr:uid="{00000000-0005-0000-0000-0000758C0000}"/>
    <cellStyle name="Normal 39 7 5" xfId="19935" xr:uid="{00000000-0005-0000-0000-0000768C0000}"/>
    <cellStyle name="Normal 39 7 5 2" xfId="37295" xr:uid="{00000000-0005-0000-0000-0000778C0000}"/>
    <cellStyle name="Normal 39 7 6" xfId="19936" xr:uid="{00000000-0005-0000-0000-0000788C0000}"/>
    <cellStyle name="Normal 39 7 6 2" xfId="37296" xr:uid="{00000000-0005-0000-0000-0000798C0000}"/>
    <cellStyle name="Normal 39 7 7" xfId="19937" xr:uid="{00000000-0005-0000-0000-00007A8C0000}"/>
    <cellStyle name="Normal 39 7 7 2" xfId="37297" xr:uid="{00000000-0005-0000-0000-00007B8C0000}"/>
    <cellStyle name="Normal 39 7 8" xfId="19938" xr:uid="{00000000-0005-0000-0000-00007C8C0000}"/>
    <cellStyle name="Normal 39 7 8 2" xfId="37298" xr:uid="{00000000-0005-0000-0000-00007D8C0000}"/>
    <cellStyle name="Normal 39 7 9" xfId="19939" xr:uid="{00000000-0005-0000-0000-00007E8C0000}"/>
    <cellStyle name="Normal 39 7 9 2" xfId="37299" xr:uid="{00000000-0005-0000-0000-00007F8C0000}"/>
    <cellStyle name="Normal 39 8" xfId="19940" xr:uid="{00000000-0005-0000-0000-0000808C0000}"/>
    <cellStyle name="Normal 39 8 10" xfId="19941" xr:uid="{00000000-0005-0000-0000-0000818C0000}"/>
    <cellStyle name="Normal 39 8 10 2" xfId="37301" xr:uid="{00000000-0005-0000-0000-0000828C0000}"/>
    <cellStyle name="Normal 39 8 11" xfId="19942" xr:uid="{00000000-0005-0000-0000-0000838C0000}"/>
    <cellStyle name="Normal 39 8 11 2" xfId="37302" xr:uid="{00000000-0005-0000-0000-0000848C0000}"/>
    <cellStyle name="Normal 39 8 12" xfId="19943" xr:uid="{00000000-0005-0000-0000-0000858C0000}"/>
    <cellStyle name="Normal 39 8 12 2" xfId="37303" xr:uid="{00000000-0005-0000-0000-0000868C0000}"/>
    <cellStyle name="Normal 39 8 13" xfId="19944" xr:uid="{00000000-0005-0000-0000-0000878C0000}"/>
    <cellStyle name="Normal 39 8 13 2" xfId="37304" xr:uid="{00000000-0005-0000-0000-0000888C0000}"/>
    <cellStyle name="Normal 39 8 14" xfId="19945" xr:uid="{00000000-0005-0000-0000-0000898C0000}"/>
    <cellStyle name="Normal 39 8 14 2" xfId="37305" xr:uid="{00000000-0005-0000-0000-00008A8C0000}"/>
    <cellStyle name="Normal 39 8 15" xfId="37300" xr:uid="{00000000-0005-0000-0000-00008B8C0000}"/>
    <cellStyle name="Normal 39 8 2" xfId="19946" xr:uid="{00000000-0005-0000-0000-00008C8C0000}"/>
    <cellStyle name="Normal 39 8 2 2" xfId="37306" xr:uid="{00000000-0005-0000-0000-00008D8C0000}"/>
    <cellStyle name="Normal 39 8 3" xfId="19947" xr:uid="{00000000-0005-0000-0000-00008E8C0000}"/>
    <cellStyle name="Normal 39 8 3 2" xfId="37307" xr:uid="{00000000-0005-0000-0000-00008F8C0000}"/>
    <cellStyle name="Normal 39 8 4" xfId="19948" xr:uid="{00000000-0005-0000-0000-0000908C0000}"/>
    <cellStyle name="Normal 39 8 4 2" xfId="37308" xr:uid="{00000000-0005-0000-0000-0000918C0000}"/>
    <cellStyle name="Normal 39 8 5" xfId="19949" xr:uid="{00000000-0005-0000-0000-0000928C0000}"/>
    <cellStyle name="Normal 39 8 5 2" xfId="37309" xr:uid="{00000000-0005-0000-0000-0000938C0000}"/>
    <cellStyle name="Normal 39 8 6" xfId="19950" xr:uid="{00000000-0005-0000-0000-0000948C0000}"/>
    <cellStyle name="Normal 39 8 6 2" xfId="37310" xr:uid="{00000000-0005-0000-0000-0000958C0000}"/>
    <cellStyle name="Normal 39 8 7" xfId="19951" xr:uid="{00000000-0005-0000-0000-0000968C0000}"/>
    <cellStyle name="Normal 39 8 7 2" xfId="37311" xr:uid="{00000000-0005-0000-0000-0000978C0000}"/>
    <cellStyle name="Normal 39 8 8" xfId="19952" xr:uid="{00000000-0005-0000-0000-0000988C0000}"/>
    <cellStyle name="Normal 39 8 8 2" xfId="37312" xr:uid="{00000000-0005-0000-0000-0000998C0000}"/>
    <cellStyle name="Normal 39 8 9" xfId="19953" xr:uid="{00000000-0005-0000-0000-00009A8C0000}"/>
    <cellStyle name="Normal 39 8 9 2" xfId="37313" xr:uid="{00000000-0005-0000-0000-00009B8C0000}"/>
    <cellStyle name="Normal 39 9" xfId="19954" xr:uid="{00000000-0005-0000-0000-00009C8C0000}"/>
    <cellStyle name="Normal 39 9 10" xfId="19955" xr:uid="{00000000-0005-0000-0000-00009D8C0000}"/>
    <cellStyle name="Normal 39 9 10 2" xfId="37315" xr:uid="{00000000-0005-0000-0000-00009E8C0000}"/>
    <cellStyle name="Normal 39 9 11" xfId="19956" xr:uid="{00000000-0005-0000-0000-00009F8C0000}"/>
    <cellStyle name="Normal 39 9 11 2" xfId="37316" xr:uid="{00000000-0005-0000-0000-0000A08C0000}"/>
    <cellStyle name="Normal 39 9 12" xfId="19957" xr:uid="{00000000-0005-0000-0000-0000A18C0000}"/>
    <cellStyle name="Normal 39 9 12 2" xfId="37317" xr:uid="{00000000-0005-0000-0000-0000A28C0000}"/>
    <cellStyle name="Normal 39 9 13" xfId="19958" xr:uid="{00000000-0005-0000-0000-0000A38C0000}"/>
    <cellStyle name="Normal 39 9 13 2" xfId="37318" xr:uid="{00000000-0005-0000-0000-0000A48C0000}"/>
    <cellStyle name="Normal 39 9 14" xfId="19959" xr:uid="{00000000-0005-0000-0000-0000A58C0000}"/>
    <cellStyle name="Normal 39 9 14 2" xfId="37319" xr:uid="{00000000-0005-0000-0000-0000A68C0000}"/>
    <cellStyle name="Normal 39 9 15" xfId="37314" xr:uid="{00000000-0005-0000-0000-0000A78C0000}"/>
    <cellStyle name="Normal 39 9 2" xfId="19960" xr:uid="{00000000-0005-0000-0000-0000A88C0000}"/>
    <cellStyle name="Normal 39 9 2 2" xfId="37320" xr:uid="{00000000-0005-0000-0000-0000A98C0000}"/>
    <cellStyle name="Normal 39 9 3" xfId="19961" xr:uid="{00000000-0005-0000-0000-0000AA8C0000}"/>
    <cellStyle name="Normal 39 9 3 2" xfId="37321" xr:uid="{00000000-0005-0000-0000-0000AB8C0000}"/>
    <cellStyle name="Normal 39 9 4" xfId="19962" xr:uid="{00000000-0005-0000-0000-0000AC8C0000}"/>
    <cellStyle name="Normal 39 9 4 2" xfId="37322" xr:uid="{00000000-0005-0000-0000-0000AD8C0000}"/>
    <cellStyle name="Normal 39 9 5" xfId="19963" xr:uid="{00000000-0005-0000-0000-0000AE8C0000}"/>
    <cellStyle name="Normal 39 9 5 2" xfId="37323" xr:uid="{00000000-0005-0000-0000-0000AF8C0000}"/>
    <cellStyle name="Normal 39 9 6" xfId="19964" xr:uid="{00000000-0005-0000-0000-0000B08C0000}"/>
    <cellStyle name="Normal 39 9 6 2" xfId="37324" xr:uid="{00000000-0005-0000-0000-0000B18C0000}"/>
    <cellStyle name="Normal 39 9 7" xfId="19965" xr:uid="{00000000-0005-0000-0000-0000B28C0000}"/>
    <cellStyle name="Normal 39 9 7 2" xfId="37325" xr:uid="{00000000-0005-0000-0000-0000B38C0000}"/>
    <cellStyle name="Normal 39 9 8" xfId="19966" xr:uid="{00000000-0005-0000-0000-0000B48C0000}"/>
    <cellStyle name="Normal 39 9 8 2" xfId="37326" xr:uid="{00000000-0005-0000-0000-0000B58C0000}"/>
    <cellStyle name="Normal 39 9 9" xfId="19967" xr:uid="{00000000-0005-0000-0000-0000B68C0000}"/>
    <cellStyle name="Normal 39 9 9 2" xfId="37327" xr:uid="{00000000-0005-0000-0000-0000B78C0000}"/>
    <cellStyle name="Normal 4" xfId="5" xr:uid="{00000000-0005-0000-0000-0000B88C0000}"/>
    <cellStyle name="Normal 4 10" xfId="19969" xr:uid="{00000000-0005-0000-0000-0000B98C0000}"/>
    <cellStyle name="Normal 4 11" xfId="19970" xr:uid="{00000000-0005-0000-0000-0000BA8C0000}"/>
    <cellStyle name="Normal 4 12" xfId="19968" xr:uid="{00000000-0005-0000-0000-0000BB8C0000}"/>
    <cellStyle name="Normal 4 12 2" xfId="37676" xr:uid="{00000000-0005-0000-0000-0000BC8C0000}"/>
    <cellStyle name="Normal 4 2" xfId="68" xr:uid="{00000000-0005-0000-0000-0000BD8C0000}"/>
    <cellStyle name="Normal 4 2 2" xfId="19971" xr:uid="{00000000-0005-0000-0000-0000BE8C0000}"/>
    <cellStyle name="Normal 4 2 3" xfId="37677" xr:uid="{00000000-0005-0000-0000-0000BF8C0000}"/>
    <cellStyle name="Normal 4 3" xfId="69" xr:uid="{00000000-0005-0000-0000-0000C08C0000}"/>
    <cellStyle name="Normal 4 3 2" xfId="518" xr:uid="{00000000-0005-0000-0000-0000C18C0000}"/>
    <cellStyle name="Normal 4 3 3" xfId="516" xr:uid="{00000000-0005-0000-0000-0000C28C0000}"/>
    <cellStyle name="Normal 4 3 3 2" xfId="500" xr:uid="{00000000-0005-0000-0000-0000C38C0000}"/>
    <cellStyle name="Normal 4 3 4" xfId="37678" xr:uid="{00000000-0005-0000-0000-0000C48C0000}"/>
    <cellStyle name="Normal 4 4" xfId="282" xr:uid="{00000000-0005-0000-0000-0000C58C0000}"/>
    <cellStyle name="Normal 4 4 2" xfId="19972" xr:uid="{00000000-0005-0000-0000-0000C68C0000}"/>
    <cellStyle name="Normal 4 5" xfId="351" xr:uid="{00000000-0005-0000-0000-0000C78C0000}"/>
    <cellStyle name="Normal 4 5 2" xfId="541" xr:uid="{00000000-0005-0000-0000-0000C88C0000}"/>
    <cellStyle name="Normal 4 5 2 2" xfId="19974" xr:uid="{00000000-0005-0000-0000-0000C98C0000}"/>
    <cellStyle name="Normal 4 5 3" xfId="19973" xr:uid="{00000000-0005-0000-0000-0000CA8C0000}"/>
    <cellStyle name="Normal 4 6" xfId="466" xr:uid="{00000000-0005-0000-0000-0000CB8C0000}"/>
    <cellStyle name="Normal 4 6 2" xfId="19975" xr:uid="{00000000-0005-0000-0000-0000CC8C0000}"/>
    <cellStyle name="Normal 4 7" xfId="19976" xr:uid="{00000000-0005-0000-0000-0000CD8C0000}"/>
    <cellStyle name="Normal 4 8" xfId="19977" xr:uid="{00000000-0005-0000-0000-0000CE8C0000}"/>
    <cellStyle name="Normal 4 9" xfId="19978" xr:uid="{00000000-0005-0000-0000-0000CF8C0000}"/>
    <cellStyle name="Normal 40" xfId="70" xr:uid="{00000000-0005-0000-0000-0000D08C0000}"/>
    <cellStyle name="Normal 40 10" xfId="19979" xr:uid="{00000000-0005-0000-0000-0000D18C0000}"/>
    <cellStyle name="Normal 40 10 10" xfId="19980" xr:uid="{00000000-0005-0000-0000-0000D28C0000}"/>
    <cellStyle name="Normal 40 10 10 2" xfId="37330" xr:uid="{00000000-0005-0000-0000-0000D38C0000}"/>
    <cellStyle name="Normal 40 10 11" xfId="19981" xr:uid="{00000000-0005-0000-0000-0000D48C0000}"/>
    <cellStyle name="Normal 40 10 11 2" xfId="37331" xr:uid="{00000000-0005-0000-0000-0000D58C0000}"/>
    <cellStyle name="Normal 40 10 12" xfId="19982" xr:uid="{00000000-0005-0000-0000-0000D68C0000}"/>
    <cellStyle name="Normal 40 10 12 2" xfId="37332" xr:uid="{00000000-0005-0000-0000-0000D78C0000}"/>
    <cellStyle name="Normal 40 10 13" xfId="19983" xr:uid="{00000000-0005-0000-0000-0000D88C0000}"/>
    <cellStyle name="Normal 40 10 13 2" xfId="37333" xr:uid="{00000000-0005-0000-0000-0000D98C0000}"/>
    <cellStyle name="Normal 40 10 14" xfId="19984" xr:uid="{00000000-0005-0000-0000-0000DA8C0000}"/>
    <cellStyle name="Normal 40 10 14 2" xfId="37334" xr:uid="{00000000-0005-0000-0000-0000DB8C0000}"/>
    <cellStyle name="Normal 40 10 15" xfId="37329" xr:uid="{00000000-0005-0000-0000-0000DC8C0000}"/>
    <cellStyle name="Normal 40 10 2" xfId="19985" xr:uid="{00000000-0005-0000-0000-0000DD8C0000}"/>
    <cellStyle name="Normal 40 10 2 2" xfId="37335" xr:uid="{00000000-0005-0000-0000-0000DE8C0000}"/>
    <cellStyle name="Normal 40 10 3" xfId="19986" xr:uid="{00000000-0005-0000-0000-0000DF8C0000}"/>
    <cellStyle name="Normal 40 10 3 2" xfId="37336" xr:uid="{00000000-0005-0000-0000-0000E08C0000}"/>
    <cellStyle name="Normal 40 10 4" xfId="19987" xr:uid="{00000000-0005-0000-0000-0000E18C0000}"/>
    <cellStyle name="Normal 40 10 4 2" xfId="37337" xr:uid="{00000000-0005-0000-0000-0000E28C0000}"/>
    <cellStyle name="Normal 40 10 5" xfId="19988" xr:uid="{00000000-0005-0000-0000-0000E38C0000}"/>
    <cellStyle name="Normal 40 10 5 2" xfId="37338" xr:uid="{00000000-0005-0000-0000-0000E48C0000}"/>
    <cellStyle name="Normal 40 10 6" xfId="19989" xr:uid="{00000000-0005-0000-0000-0000E58C0000}"/>
    <cellStyle name="Normal 40 10 6 2" xfId="37339" xr:uid="{00000000-0005-0000-0000-0000E68C0000}"/>
    <cellStyle name="Normal 40 10 7" xfId="19990" xr:uid="{00000000-0005-0000-0000-0000E78C0000}"/>
    <cellStyle name="Normal 40 10 7 2" xfId="37340" xr:uid="{00000000-0005-0000-0000-0000E88C0000}"/>
    <cellStyle name="Normal 40 10 8" xfId="19991" xr:uid="{00000000-0005-0000-0000-0000E98C0000}"/>
    <cellStyle name="Normal 40 10 8 2" xfId="37341" xr:uid="{00000000-0005-0000-0000-0000EA8C0000}"/>
    <cellStyle name="Normal 40 10 9" xfId="19992" xr:uid="{00000000-0005-0000-0000-0000EB8C0000}"/>
    <cellStyle name="Normal 40 10 9 2" xfId="37342" xr:uid="{00000000-0005-0000-0000-0000EC8C0000}"/>
    <cellStyle name="Normal 40 11" xfId="19993" xr:uid="{00000000-0005-0000-0000-0000ED8C0000}"/>
    <cellStyle name="Normal 40 11 10" xfId="19994" xr:uid="{00000000-0005-0000-0000-0000EE8C0000}"/>
    <cellStyle name="Normal 40 11 10 2" xfId="37344" xr:uid="{00000000-0005-0000-0000-0000EF8C0000}"/>
    <cellStyle name="Normal 40 11 11" xfId="19995" xr:uid="{00000000-0005-0000-0000-0000F08C0000}"/>
    <cellStyle name="Normal 40 11 11 2" xfId="37345" xr:uid="{00000000-0005-0000-0000-0000F18C0000}"/>
    <cellStyle name="Normal 40 11 12" xfId="19996" xr:uid="{00000000-0005-0000-0000-0000F28C0000}"/>
    <cellStyle name="Normal 40 11 12 2" xfId="37346" xr:uid="{00000000-0005-0000-0000-0000F38C0000}"/>
    <cellStyle name="Normal 40 11 13" xfId="19997" xr:uid="{00000000-0005-0000-0000-0000F48C0000}"/>
    <cellStyle name="Normal 40 11 13 2" xfId="37347" xr:uid="{00000000-0005-0000-0000-0000F58C0000}"/>
    <cellStyle name="Normal 40 11 14" xfId="19998" xr:uid="{00000000-0005-0000-0000-0000F68C0000}"/>
    <cellStyle name="Normal 40 11 14 2" xfId="37348" xr:uid="{00000000-0005-0000-0000-0000F78C0000}"/>
    <cellStyle name="Normal 40 11 15" xfId="37343" xr:uid="{00000000-0005-0000-0000-0000F88C0000}"/>
    <cellStyle name="Normal 40 11 2" xfId="19999" xr:uid="{00000000-0005-0000-0000-0000F98C0000}"/>
    <cellStyle name="Normal 40 11 2 2" xfId="37349" xr:uid="{00000000-0005-0000-0000-0000FA8C0000}"/>
    <cellStyle name="Normal 40 11 3" xfId="20000" xr:uid="{00000000-0005-0000-0000-0000FB8C0000}"/>
    <cellStyle name="Normal 40 11 3 2" xfId="37350" xr:uid="{00000000-0005-0000-0000-0000FC8C0000}"/>
    <cellStyle name="Normal 40 11 4" xfId="20001" xr:uid="{00000000-0005-0000-0000-0000FD8C0000}"/>
    <cellStyle name="Normal 40 11 4 2" xfId="37351" xr:uid="{00000000-0005-0000-0000-0000FE8C0000}"/>
    <cellStyle name="Normal 40 11 5" xfId="20002" xr:uid="{00000000-0005-0000-0000-0000FF8C0000}"/>
    <cellStyle name="Normal 40 11 5 2" xfId="37352" xr:uid="{00000000-0005-0000-0000-0000008D0000}"/>
    <cellStyle name="Normal 40 11 6" xfId="20003" xr:uid="{00000000-0005-0000-0000-0000018D0000}"/>
    <cellStyle name="Normal 40 11 6 2" xfId="37353" xr:uid="{00000000-0005-0000-0000-0000028D0000}"/>
    <cellStyle name="Normal 40 11 7" xfId="20004" xr:uid="{00000000-0005-0000-0000-0000038D0000}"/>
    <cellStyle name="Normal 40 11 7 2" xfId="37354" xr:uid="{00000000-0005-0000-0000-0000048D0000}"/>
    <cellStyle name="Normal 40 11 8" xfId="20005" xr:uid="{00000000-0005-0000-0000-0000058D0000}"/>
    <cellStyle name="Normal 40 11 8 2" xfId="37355" xr:uid="{00000000-0005-0000-0000-0000068D0000}"/>
    <cellStyle name="Normal 40 11 9" xfId="20006" xr:uid="{00000000-0005-0000-0000-0000078D0000}"/>
    <cellStyle name="Normal 40 11 9 2" xfId="37356" xr:uid="{00000000-0005-0000-0000-0000088D0000}"/>
    <cellStyle name="Normal 40 12" xfId="20007" xr:uid="{00000000-0005-0000-0000-0000098D0000}"/>
    <cellStyle name="Normal 40 12 10" xfId="20008" xr:uid="{00000000-0005-0000-0000-00000A8D0000}"/>
    <cellStyle name="Normal 40 12 10 2" xfId="37358" xr:uid="{00000000-0005-0000-0000-00000B8D0000}"/>
    <cellStyle name="Normal 40 12 11" xfId="20009" xr:uid="{00000000-0005-0000-0000-00000C8D0000}"/>
    <cellStyle name="Normal 40 12 11 2" xfId="37359" xr:uid="{00000000-0005-0000-0000-00000D8D0000}"/>
    <cellStyle name="Normal 40 12 12" xfId="20010" xr:uid="{00000000-0005-0000-0000-00000E8D0000}"/>
    <cellStyle name="Normal 40 12 12 2" xfId="37360" xr:uid="{00000000-0005-0000-0000-00000F8D0000}"/>
    <cellStyle name="Normal 40 12 13" xfId="20011" xr:uid="{00000000-0005-0000-0000-0000108D0000}"/>
    <cellStyle name="Normal 40 12 13 2" xfId="37361" xr:uid="{00000000-0005-0000-0000-0000118D0000}"/>
    <cellStyle name="Normal 40 12 14" xfId="20012" xr:uid="{00000000-0005-0000-0000-0000128D0000}"/>
    <cellStyle name="Normal 40 12 14 2" xfId="37362" xr:uid="{00000000-0005-0000-0000-0000138D0000}"/>
    <cellStyle name="Normal 40 12 15" xfId="37357" xr:uid="{00000000-0005-0000-0000-0000148D0000}"/>
    <cellStyle name="Normal 40 12 2" xfId="20013" xr:uid="{00000000-0005-0000-0000-0000158D0000}"/>
    <cellStyle name="Normal 40 12 2 2" xfId="37363" xr:uid="{00000000-0005-0000-0000-0000168D0000}"/>
    <cellStyle name="Normal 40 12 3" xfId="20014" xr:uid="{00000000-0005-0000-0000-0000178D0000}"/>
    <cellStyle name="Normal 40 12 3 2" xfId="37364" xr:uid="{00000000-0005-0000-0000-0000188D0000}"/>
    <cellStyle name="Normal 40 12 4" xfId="20015" xr:uid="{00000000-0005-0000-0000-0000198D0000}"/>
    <cellStyle name="Normal 40 12 4 2" xfId="37365" xr:uid="{00000000-0005-0000-0000-00001A8D0000}"/>
    <cellStyle name="Normal 40 12 5" xfId="20016" xr:uid="{00000000-0005-0000-0000-00001B8D0000}"/>
    <cellStyle name="Normal 40 12 5 2" xfId="37366" xr:uid="{00000000-0005-0000-0000-00001C8D0000}"/>
    <cellStyle name="Normal 40 12 6" xfId="20017" xr:uid="{00000000-0005-0000-0000-00001D8D0000}"/>
    <cellStyle name="Normal 40 12 6 2" xfId="37367" xr:uid="{00000000-0005-0000-0000-00001E8D0000}"/>
    <cellStyle name="Normal 40 12 7" xfId="20018" xr:uid="{00000000-0005-0000-0000-00001F8D0000}"/>
    <cellStyle name="Normal 40 12 7 2" xfId="37368" xr:uid="{00000000-0005-0000-0000-0000208D0000}"/>
    <cellStyle name="Normal 40 12 8" xfId="20019" xr:uid="{00000000-0005-0000-0000-0000218D0000}"/>
    <cellStyle name="Normal 40 12 8 2" xfId="37369" xr:uid="{00000000-0005-0000-0000-0000228D0000}"/>
    <cellStyle name="Normal 40 12 9" xfId="20020" xr:uid="{00000000-0005-0000-0000-0000238D0000}"/>
    <cellStyle name="Normal 40 12 9 2" xfId="37370" xr:uid="{00000000-0005-0000-0000-0000248D0000}"/>
    <cellStyle name="Normal 40 13" xfId="20021" xr:uid="{00000000-0005-0000-0000-0000258D0000}"/>
    <cellStyle name="Normal 40 13 10" xfId="20022" xr:uid="{00000000-0005-0000-0000-0000268D0000}"/>
    <cellStyle name="Normal 40 13 10 2" xfId="37372" xr:uid="{00000000-0005-0000-0000-0000278D0000}"/>
    <cellStyle name="Normal 40 13 11" xfId="20023" xr:uid="{00000000-0005-0000-0000-0000288D0000}"/>
    <cellStyle name="Normal 40 13 11 2" xfId="37373" xr:uid="{00000000-0005-0000-0000-0000298D0000}"/>
    <cellStyle name="Normal 40 13 12" xfId="20024" xr:uid="{00000000-0005-0000-0000-00002A8D0000}"/>
    <cellStyle name="Normal 40 13 12 2" xfId="37374" xr:uid="{00000000-0005-0000-0000-00002B8D0000}"/>
    <cellStyle name="Normal 40 13 13" xfId="20025" xr:uid="{00000000-0005-0000-0000-00002C8D0000}"/>
    <cellStyle name="Normal 40 13 13 2" xfId="37375" xr:uid="{00000000-0005-0000-0000-00002D8D0000}"/>
    <cellStyle name="Normal 40 13 14" xfId="20026" xr:uid="{00000000-0005-0000-0000-00002E8D0000}"/>
    <cellStyle name="Normal 40 13 14 2" xfId="37376" xr:uid="{00000000-0005-0000-0000-00002F8D0000}"/>
    <cellStyle name="Normal 40 13 15" xfId="37371" xr:uid="{00000000-0005-0000-0000-0000308D0000}"/>
    <cellStyle name="Normal 40 13 2" xfId="20027" xr:uid="{00000000-0005-0000-0000-0000318D0000}"/>
    <cellStyle name="Normal 40 13 2 2" xfId="37377" xr:uid="{00000000-0005-0000-0000-0000328D0000}"/>
    <cellStyle name="Normal 40 13 3" xfId="20028" xr:uid="{00000000-0005-0000-0000-0000338D0000}"/>
    <cellStyle name="Normal 40 13 3 2" xfId="37378" xr:uid="{00000000-0005-0000-0000-0000348D0000}"/>
    <cellStyle name="Normal 40 13 4" xfId="20029" xr:uid="{00000000-0005-0000-0000-0000358D0000}"/>
    <cellStyle name="Normal 40 13 4 2" xfId="37379" xr:uid="{00000000-0005-0000-0000-0000368D0000}"/>
    <cellStyle name="Normal 40 13 5" xfId="20030" xr:uid="{00000000-0005-0000-0000-0000378D0000}"/>
    <cellStyle name="Normal 40 13 5 2" xfId="37380" xr:uid="{00000000-0005-0000-0000-0000388D0000}"/>
    <cellStyle name="Normal 40 13 6" xfId="20031" xr:uid="{00000000-0005-0000-0000-0000398D0000}"/>
    <cellStyle name="Normal 40 13 6 2" xfId="37381" xr:uid="{00000000-0005-0000-0000-00003A8D0000}"/>
    <cellStyle name="Normal 40 13 7" xfId="20032" xr:uid="{00000000-0005-0000-0000-00003B8D0000}"/>
    <cellStyle name="Normal 40 13 7 2" xfId="37382" xr:uid="{00000000-0005-0000-0000-00003C8D0000}"/>
    <cellStyle name="Normal 40 13 8" xfId="20033" xr:uid="{00000000-0005-0000-0000-00003D8D0000}"/>
    <cellStyle name="Normal 40 13 8 2" xfId="37383" xr:uid="{00000000-0005-0000-0000-00003E8D0000}"/>
    <cellStyle name="Normal 40 13 9" xfId="20034" xr:uid="{00000000-0005-0000-0000-00003F8D0000}"/>
    <cellStyle name="Normal 40 13 9 2" xfId="37384" xr:uid="{00000000-0005-0000-0000-0000408D0000}"/>
    <cellStyle name="Normal 40 14" xfId="20035" xr:uid="{00000000-0005-0000-0000-0000418D0000}"/>
    <cellStyle name="Normal 40 14 10" xfId="20036" xr:uid="{00000000-0005-0000-0000-0000428D0000}"/>
    <cellStyle name="Normal 40 14 10 2" xfId="37386" xr:uid="{00000000-0005-0000-0000-0000438D0000}"/>
    <cellStyle name="Normal 40 14 11" xfId="20037" xr:uid="{00000000-0005-0000-0000-0000448D0000}"/>
    <cellStyle name="Normal 40 14 11 2" xfId="37387" xr:uid="{00000000-0005-0000-0000-0000458D0000}"/>
    <cellStyle name="Normal 40 14 12" xfId="20038" xr:uid="{00000000-0005-0000-0000-0000468D0000}"/>
    <cellStyle name="Normal 40 14 12 2" xfId="37388" xr:uid="{00000000-0005-0000-0000-0000478D0000}"/>
    <cellStyle name="Normal 40 14 13" xfId="20039" xr:uid="{00000000-0005-0000-0000-0000488D0000}"/>
    <cellStyle name="Normal 40 14 13 2" xfId="37389" xr:uid="{00000000-0005-0000-0000-0000498D0000}"/>
    <cellStyle name="Normal 40 14 14" xfId="20040" xr:uid="{00000000-0005-0000-0000-00004A8D0000}"/>
    <cellStyle name="Normal 40 14 14 2" xfId="37390" xr:uid="{00000000-0005-0000-0000-00004B8D0000}"/>
    <cellStyle name="Normal 40 14 15" xfId="37385" xr:uid="{00000000-0005-0000-0000-00004C8D0000}"/>
    <cellStyle name="Normal 40 14 2" xfId="20041" xr:uid="{00000000-0005-0000-0000-00004D8D0000}"/>
    <cellStyle name="Normal 40 14 2 2" xfId="37391" xr:uid="{00000000-0005-0000-0000-00004E8D0000}"/>
    <cellStyle name="Normal 40 14 3" xfId="20042" xr:uid="{00000000-0005-0000-0000-00004F8D0000}"/>
    <cellStyle name="Normal 40 14 3 2" xfId="37392" xr:uid="{00000000-0005-0000-0000-0000508D0000}"/>
    <cellStyle name="Normal 40 14 4" xfId="20043" xr:uid="{00000000-0005-0000-0000-0000518D0000}"/>
    <cellStyle name="Normal 40 14 4 2" xfId="37393" xr:uid="{00000000-0005-0000-0000-0000528D0000}"/>
    <cellStyle name="Normal 40 14 5" xfId="20044" xr:uid="{00000000-0005-0000-0000-0000538D0000}"/>
    <cellStyle name="Normal 40 14 5 2" xfId="37394" xr:uid="{00000000-0005-0000-0000-0000548D0000}"/>
    <cellStyle name="Normal 40 14 6" xfId="20045" xr:uid="{00000000-0005-0000-0000-0000558D0000}"/>
    <cellStyle name="Normal 40 14 6 2" xfId="37395" xr:uid="{00000000-0005-0000-0000-0000568D0000}"/>
    <cellStyle name="Normal 40 14 7" xfId="20046" xr:uid="{00000000-0005-0000-0000-0000578D0000}"/>
    <cellStyle name="Normal 40 14 7 2" xfId="37396" xr:uid="{00000000-0005-0000-0000-0000588D0000}"/>
    <cellStyle name="Normal 40 14 8" xfId="20047" xr:uid="{00000000-0005-0000-0000-0000598D0000}"/>
    <cellStyle name="Normal 40 14 8 2" xfId="37397" xr:uid="{00000000-0005-0000-0000-00005A8D0000}"/>
    <cellStyle name="Normal 40 14 9" xfId="20048" xr:uid="{00000000-0005-0000-0000-00005B8D0000}"/>
    <cellStyle name="Normal 40 14 9 2" xfId="37398" xr:uid="{00000000-0005-0000-0000-00005C8D0000}"/>
    <cellStyle name="Normal 40 15" xfId="20049" xr:uid="{00000000-0005-0000-0000-00005D8D0000}"/>
    <cellStyle name="Normal 40 15 10" xfId="20050" xr:uid="{00000000-0005-0000-0000-00005E8D0000}"/>
    <cellStyle name="Normal 40 15 10 2" xfId="37400" xr:uid="{00000000-0005-0000-0000-00005F8D0000}"/>
    <cellStyle name="Normal 40 15 11" xfId="20051" xr:uid="{00000000-0005-0000-0000-0000608D0000}"/>
    <cellStyle name="Normal 40 15 11 2" xfId="37401" xr:uid="{00000000-0005-0000-0000-0000618D0000}"/>
    <cellStyle name="Normal 40 15 12" xfId="20052" xr:uid="{00000000-0005-0000-0000-0000628D0000}"/>
    <cellStyle name="Normal 40 15 12 2" xfId="37402" xr:uid="{00000000-0005-0000-0000-0000638D0000}"/>
    <cellStyle name="Normal 40 15 13" xfId="20053" xr:uid="{00000000-0005-0000-0000-0000648D0000}"/>
    <cellStyle name="Normal 40 15 13 2" xfId="37403" xr:uid="{00000000-0005-0000-0000-0000658D0000}"/>
    <cellStyle name="Normal 40 15 14" xfId="20054" xr:uid="{00000000-0005-0000-0000-0000668D0000}"/>
    <cellStyle name="Normal 40 15 14 2" xfId="37404" xr:uid="{00000000-0005-0000-0000-0000678D0000}"/>
    <cellStyle name="Normal 40 15 15" xfId="37399" xr:uid="{00000000-0005-0000-0000-0000688D0000}"/>
    <cellStyle name="Normal 40 15 2" xfId="20055" xr:uid="{00000000-0005-0000-0000-0000698D0000}"/>
    <cellStyle name="Normal 40 15 2 2" xfId="37405" xr:uid="{00000000-0005-0000-0000-00006A8D0000}"/>
    <cellStyle name="Normal 40 15 3" xfId="20056" xr:uid="{00000000-0005-0000-0000-00006B8D0000}"/>
    <cellStyle name="Normal 40 15 3 2" xfId="37406" xr:uid="{00000000-0005-0000-0000-00006C8D0000}"/>
    <cellStyle name="Normal 40 15 4" xfId="20057" xr:uid="{00000000-0005-0000-0000-00006D8D0000}"/>
    <cellStyle name="Normal 40 15 4 2" xfId="37407" xr:uid="{00000000-0005-0000-0000-00006E8D0000}"/>
    <cellStyle name="Normal 40 15 5" xfId="20058" xr:uid="{00000000-0005-0000-0000-00006F8D0000}"/>
    <cellStyle name="Normal 40 15 5 2" xfId="37408" xr:uid="{00000000-0005-0000-0000-0000708D0000}"/>
    <cellStyle name="Normal 40 15 6" xfId="20059" xr:uid="{00000000-0005-0000-0000-0000718D0000}"/>
    <cellStyle name="Normal 40 15 6 2" xfId="37409" xr:uid="{00000000-0005-0000-0000-0000728D0000}"/>
    <cellStyle name="Normal 40 15 7" xfId="20060" xr:uid="{00000000-0005-0000-0000-0000738D0000}"/>
    <cellStyle name="Normal 40 15 7 2" xfId="37410" xr:uid="{00000000-0005-0000-0000-0000748D0000}"/>
    <cellStyle name="Normal 40 15 8" xfId="20061" xr:uid="{00000000-0005-0000-0000-0000758D0000}"/>
    <cellStyle name="Normal 40 15 8 2" xfId="37411" xr:uid="{00000000-0005-0000-0000-0000768D0000}"/>
    <cellStyle name="Normal 40 15 9" xfId="20062" xr:uid="{00000000-0005-0000-0000-0000778D0000}"/>
    <cellStyle name="Normal 40 15 9 2" xfId="37412" xr:uid="{00000000-0005-0000-0000-0000788D0000}"/>
    <cellStyle name="Normal 40 16" xfId="20063" xr:uid="{00000000-0005-0000-0000-0000798D0000}"/>
    <cellStyle name="Normal 40 16 10" xfId="20064" xr:uid="{00000000-0005-0000-0000-00007A8D0000}"/>
    <cellStyle name="Normal 40 16 10 2" xfId="37414" xr:uid="{00000000-0005-0000-0000-00007B8D0000}"/>
    <cellStyle name="Normal 40 16 11" xfId="20065" xr:uid="{00000000-0005-0000-0000-00007C8D0000}"/>
    <cellStyle name="Normal 40 16 11 2" xfId="37415" xr:uid="{00000000-0005-0000-0000-00007D8D0000}"/>
    <cellStyle name="Normal 40 16 12" xfId="20066" xr:uid="{00000000-0005-0000-0000-00007E8D0000}"/>
    <cellStyle name="Normal 40 16 12 2" xfId="37416" xr:uid="{00000000-0005-0000-0000-00007F8D0000}"/>
    <cellStyle name="Normal 40 16 13" xfId="20067" xr:uid="{00000000-0005-0000-0000-0000808D0000}"/>
    <cellStyle name="Normal 40 16 13 2" xfId="37417" xr:uid="{00000000-0005-0000-0000-0000818D0000}"/>
    <cellStyle name="Normal 40 16 14" xfId="20068" xr:uid="{00000000-0005-0000-0000-0000828D0000}"/>
    <cellStyle name="Normal 40 16 14 2" xfId="37418" xr:uid="{00000000-0005-0000-0000-0000838D0000}"/>
    <cellStyle name="Normal 40 16 15" xfId="37413" xr:uid="{00000000-0005-0000-0000-0000848D0000}"/>
    <cellStyle name="Normal 40 16 2" xfId="20069" xr:uid="{00000000-0005-0000-0000-0000858D0000}"/>
    <cellStyle name="Normal 40 16 2 2" xfId="37419" xr:uid="{00000000-0005-0000-0000-0000868D0000}"/>
    <cellStyle name="Normal 40 16 3" xfId="20070" xr:uid="{00000000-0005-0000-0000-0000878D0000}"/>
    <cellStyle name="Normal 40 16 3 2" xfId="37420" xr:uid="{00000000-0005-0000-0000-0000888D0000}"/>
    <cellStyle name="Normal 40 16 4" xfId="20071" xr:uid="{00000000-0005-0000-0000-0000898D0000}"/>
    <cellStyle name="Normal 40 16 4 2" xfId="37421" xr:uid="{00000000-0005-0000-0000-00008A8D0000}"/>
    <cellStyle name="Normal 40 16 5" xfId="20072" xr:uid="{00000000-0005-0000-0000-00008B8D0000}"/>
    <cellStyle name="Normal 40 16 5 2" xfId="37422" xr:uid="{00000000-0005-0000-0000-00008C8D0000}"/>
    <cellStyle name="Normal 40 16 6" xfId="20073" xr:uid="{00000000-0005-0000-0000-00008D8D0000}"/>
    <cellStyle name="Normal 40 16 6 2" xfId="37423" xr:uid="{00000000-0005-0000-0000-00008E8D0000}"/>
    <cellStyle name="Normal 40 16 7" xfId="20074" xr:uid="{00000000-0005-0000-0000-00008F8D0000}"/>
    <cellStyle name="Normal 40 16 7 2" xfId="37424" xr:uid="{00000000-0005-0000-0000-0000908D0000}"/>
    <cellStyle name="Normal 40 16 8" xfId="20075" xr:uid="{00000000-0005-0000-0000-0000918D0000}"/>
    <cellStyle name="Normal 40 16 8 2" xfId="37425" xr:uid="{00000000-0005-0000-0000-0000928D0000}"/>
    <cellStyle name="Normal 40 16 9" xfId="20076" xr:uid="{00000000-0005-0000-0000-0000938D0000}"/>
    <cellStyle name="Normal 40 16 9 2" xfId="37426" xr:uid="{00000000-0005-0000-0000-0000948D0000}"/>
    <cellStyle name="Normal 40 17" xfId="20077" xr:uid="{00000000-0005-0000-0000-0000958D0000}"/>
    <cellStyle name="Normal 40 17 10" xfId="20078" xr:uid="{00000000-0005-0000-0000-0000968D0000}"/>
    <cellStyle name="Normal 40 17 10 2" xfId="37428" xr:uid="{00000000-0005-0000-0000-0000978D0000}"/>
    <cellStyle name="Normal 40 17 11" xfId="20079" xr:uid="{00000000-0005-0000-0000-0000988D0000}"/>
    <cellStyle name="Normal 40 17 11 2" xfId="37429" xr:uid="{00000000-0005-0000-0000-0000998D0000}"/>
    <cellStyle name="Normal 40 17 12" xfId="20080" xr:uid="{00000000-0005-0000-0000-00009A8D0000}"/>
    <cellStyle name="Normal 40 17 12 2" xfId="37430" xr:uid="{00000000-0005-0000-0000-00009B8D0000}"/>
    <cellStyle name="Normal 40 17 13" xfId="20081" xr:uid="{00000000-0005-0000-0000-00009C8D0000}"/>
    <cellStyle name="Normal 40 17 13 2" xfId="37431" xr:uid="{00000000-0005-0000-0000-00009D8D0000}"/>
    <cellStyle name="Normal 40 17 14" xfId="20082" xr:uid="{00000000-0005-0000-0000-00009E8D0000}"/>
    <cellStyle name="Normal 40 17 14 2" xfId="37432" xr:uid="{00000000-0005-0000-0000-00009F8D0000}"/>
    <cellStyle name="Normal 40 17 15" xfId="37427" xr:uid="{00000000-0005-0000-0000-0000A08D0000}"/>
    <cellStyle name="Normal 40 17 2" xfId="20083" xr:uid="{00000000-0005-0000-0000-0000A18D0000}"/>
    <cellStyle name="Normal 40 17 2 2" xfId="37433" xr:uid="{00000000-0005-0000-0000-0000A28D0000}"/>
    <cellStyle name="Normal 40 17 3" xfId="20084" xr:uid="{00000000-0005-0000-0000-0000A38D0000}"/>
    <cellStyle name="Normal 40 17 3 2" xfId="37434" xr:uid="{00000000-0005-0000-0000-0000A48D0000}"/>
    <cellStyle name="Normal 40 17 4" xfId="20085" xr:uid="{00000000-0005-0000-0000-0000A58D0000}"/>
    <cellStyle name="Normal 40 17 4 2" xfId="37435" xr:uid="{00000000-0005-0000-0000-0000A68D0000}"/>
    <cellStyle name="Normal 40 17 5" xfId="20086" xr:uid="{00000000-0005-0000-0000-0000A78D0000}"/>
    <cellStyle name="Normal 40 17 5 2" xfId="37436" xr:uid="{00000000-0005-0000-0000-0000A88D0000}"/>
    <cellStyle name="Normal 40 17 6" xfId="20087" xr:uid="{00000000-0005-0000-0000-0000A98D0000}"/>
    <cellStyle name="Normal 40 17 6 2" xfId="37437" xr:uid="{00000000-0005-0000-0000-0000AA8D0000}"/>
    <cellStyle name="Normal 40 17 7" xfId="20088" xr:uid="{00000000-0005-0000-0000-0000AB8D0000}"/>
    <cellStyle name="Normal 40 17 7 2" xfId="37438" xr:uid="{00000000-0005-0000-0000-0000AC8D0000}"/>
    <cellStyle name="Normal 40 17 8" xfId="20089" xr:uid="{00000000-0005-0000-0000-0000AD8D0000}"/>
    <cellStyle name="Normal 40 17 8 2" xfId="37439" xr:uid="{00000000-0005-0000-0000-0000AE8D0000}"/>
    <cellStyle name="Normal 40 17 9" xfId="20090" xr:uid="{00000000-0005-0000-0000-0000AF8D0000}"/>
    <cellStyle name="Normal 40 17 9 2" xfId="37440" xr:uid="{00000000-0005-0000-0000-0000B08D0000}"/>
    <cellStyle name="Normal 40 18" xfId="20091" xr:uid="{00000000-0005-0000-0000-0000B18D0000}"/>
    <cellStyle name="Normal 40 18 2" xfId="37441" xr:uid="{00000000-0005-0000-0000-0000B28D0000}"/>
    <cellStyle name="Normal 40 19" xfId="20092" xr:uid="{00000000-0005-0000-0000-0000B38D0000}"/>
    <cellStyle name="Normal 40 19 2" xfId="37442" xr:uid="{00000000-0005-0000-0000-0000B48D0000}"/>
    <cellStyle name="Normal 40 2" xfId="228" xr:uid="{00000000-0005-0000-0000-0000B58D0000}"/>
    <cellStyle name="Normal 40 20" xfId="20093" xr:uid="{00000000-0005-0000-0000-0000B68D0000}"/>
    <cellStyle name="Normal 40 20 2" xfId="37443" xr:uid="{00000000-0005-0000-0000-0000B78D0000}"/>
    <cellStyle name="Normal 40 21" xfId="20094" xr:uid="{00000000-0005-0000-0000-0000B88D0000}"/>
    <cellStyle name="Normal 40 21 2" xfId="37444" xr:uid="{00000000-0005-0000-0000-0000B98D0000}"/>
    <cellStyle name="Normal 40 22" xfId="20095" xr:uid="{00000000-0005-0000-0000-0000BA8D0000}"/>
    <cellStyle name="Normal 40 22 2" xfId="37445" xr:uid="{00000000-0005-0000-0000-0000BB8D0000}"/>
    <cellStyle name="Normal 40 23" xfId="20096" xr:uid="{00000000-0005-0000-0000-0000BC8D0000}"/>
    <cellStyle name="Normal 40 23 2" xfId="37446" xr:uid="{00000000-0005-0000-0000-0000BD8D0000}"/>
    <cellStyle name="Normal 40 24" xfId="20097" xr:uid="{00000000-0005-0000-0000-0000BE8D0000}"/>
    <cellStyle name="Normal 40 24 2" xfId="37447" xr:uid="{00000000-0005-0000-0000-0000BF8D0000}"/>
    <cellStyle name="Normal 40 25" xfId="20098" xr:uid="{00000000-0005-0000-0000-0000C08D0000}"/>
    <cellStyle name="Normal 40 25 2" xfId="37448" xr:uid="{00000000-0005-0000-0000-0000C18D0000}"/>
    <cellStyle name="Normal 40 26" xfId="20099" xr:uid="{00000000-0005-0000-0000-0000C28D0000}"/>
    <cellStyle name="Normal 40 26 2" xfId="37449" xr:uid="{00000000-0005-0000-0000-0000C38D0000}"/>
    <cellStyle name="Normal 40 27" xfId="20100" xr:uid="{00000000-0005-0000-0000-0000C48D0000}"/>
    <cellStyle name="Normal 40 27 2" xfId="37450" xr:uid="{00000000-0005-0000-0000-0000C58D0000}"/>
    <cellStyle name="Normal 40 28" xfId="20101" xr:uid="{00000000-0005-0000-0000-0000C68D0000}"/>
    <cellStyle name="Normal 40 28 2" xfId="37451" xr:uid="{00000000-0005-0000-0000-0000C78D0000}"/>
    <cellStyle name="Normal 40 29" xfId="20102" xr:uid="{00000000-0005-0000-0000-0000C88D0000}"/>
    <cellStyle name="Normal 40 29 2" xfId="37452" xr:uid="{00000000-0005-0000-0000-0000C98D0000}"/>
    <cellStyle name="Normal 40 3" xfId="20103" xr:uid="{00000000-0005-0000-0000-0000CA8D0000}"/>
    <cellStyle name="Normal 40 30" xfId="20104" xr:uid="{00000000-0005-0000-0000-0000CB8D0000}"/>
    <cellStyle name="Normal 40 30 2" xfId="37453" xr:uid="{00000000-0005-0000-0000-0000CC8D0000}"/>
    <cellStyle name="Normal 40 31" xfId="37328" xr:uid="{00000000-0005-0000-0000-0000CD8D0000}"/>
    <cellStyle name="Normal 40 4" xfId="20105" xr:uid="{00000000-0005-0000-0000-0000CE8D0000}"/>
    <cellStyle name="Normal 40 4 10" xfId="20106" xr:uid="{00000000-0005-0000-0000-0000CF8D0000}"/>
    <cellStyle name="Normal 40 4 10 2" xfId="37455" xr:uid="{00000000-0005-0000-0000-0000D08D0000}"/>
    <cellStyle name="Normal 40 4 11" xfId="20107" xr:uid="{00000000-0005-0000-0000-0000D18D0000}"/>
    <cellStyle name="Normal 40 4 11 2" xfId="37456" xr:uid="{00000000-0005-0000-0000-0000D28D0000}"/>
    <cellStyle name="Normal 40 4 12" xfId="20108" xr:uid="{00000000-0005-0000-0000-0000D38D0000}"/>
    <cellStyle name="Normal 40 4 12 2" xfId="37457" xr:uid="{00000000-0005-0000-0000-0000D48D0000}"/>
    <cellStyle name="Normal 40 4 13" xfId="20109" xr:uid="{00000000-0005-0000-0000-0000D58D0000}"/>
    <cellStyle name="Normal 40 4 13 2" xfId="37458" xr:uid="{00000000-0005-0000-0000-0000D68D0000}"/>
    <cellStyle name="Normal 40 4 14" xfId="20110" xr:uid="{00000000-0005-0000-0000-0000D78D0000}"/>
    <cellStyle name="Normal 40 4 14 2" xfId="37459" xr:uid="{00000000-0005-0000-0000-0000D88D0000}"/>
    <cellStyle name="Normal 40 4 15" xfId="20111" xr:uid="{00000000-0005-0000-0000-0000D98D0000}"/>
    <cellStyle name="Normal 40 4 15 2" xfId="37460" xr:uid="{00000000-0005-0000-0000-0000DA8D0000}"/>
    <cellStyle name="Normal 40 4 16" xfId="37454" xr:uid="{00000000-0005-0000-0000-0000DB8D0000}"/>
    <cellStyle name="Normal 40 4 2" xfId="20112" xr:uid="{00000000-0005-0000-0000-0000DC8D0000}"/>
    <cellStyle name="Normal 40 4 2 10" xfId="20113" xr:uid="{00000000-0005-0000-0000-0000DD8D0000}"/>
    <cellStyle name="Normal 40 4 2 10 2" xfId="37462" xr:uid="{00000000-0005-0000-0000-0000DE8D0000}"/>
    <cellStyle name="Normal 40 4 2 11" xfId="20114" xr:uid="{00000000-0005-0000-0000-0000DF8D0000}"/>
    <cellStyle name="Normal 40 4 2 11 2" xfId="37463" xr:uid="{00000000-0005-0000-0000-0000E08D0000}"/>
    <cellStyle name="Normal 40 4 2 12" xfId="20115" xr:uid="{00000000-0005-0000-0000-0000E18D0000}"/>
    <cellStyle name="Normal 40 4 2 12 2" xfId="37464" xr:uid="{00000000-0005-0000-0000-0000E28D0000}"/>
    <cellStyle name="Normal 40 4 2 13" xfId="20116" xr:uid="{00000000-0005-0000-0000-0000E38D0000}"/>
    <cellStyle name="Normal 40 4 2 13 2" xfId="37465" xr:uid="{00000000-0005-0000-0000-0000E48D0000}"/>
    <cellStyle name="Normal 40 4 2 14" xfId="20117" xr:uid="{00000000-0005-0000-0000-0000E58D0000}"/>
    <cellStyle name="Normal 40 4 2 14 2" xfId="37466" xr:uid="{00000000-0005-0000-0000-0000E68D0000}"/>
    <cellStyle name="Normal 40 4 2 15" xfId="37461" xr:uid="{00000000-0005-0000-0000-0000E78D0000}"/>
    <cellStyle name="Normal 40 4 2 2" xfId="20118" xr:uid="{00000000-0005-0000-0000-0000E88D0000}"/>
    <cellStyle name="Normal 40 4 2 2 2" xfId="37467" xr:uid="{00000000-0005-0000-0000-0000E98D0000}"/>
    <cellStyle name="Normal 40 4 2 3" xfId="20119" xr:uid="{00000000-0005-0000-0000-0000EA8D0000}"/>
    <cellStyle name="Normal 40 4 2 3 2" xfId="37468" xr:uid="{00000000-0005-0000-0000-0000EB8D0000}"/>
    <cellStyle name="Normal 40 4 2 4" xfId="20120" xr:uid="{00000000-0005-0000-0000-0000EC8D0000}"/>
    <cellStyle name="Normal 40 4 2 4 2" xfId="37469" xr:uid="{00000000-0005-0000-0000-0000ED8D0000}"/>
    <cellStyle name="Normal 40 4 2 5" xfId="20121" xr:uid="{00000000-0005-0000-0000-0000EE8D0000}"/>
    <cellStyle name="Normal 40 4 2 5 2" xfId="37470" xr:uid="{00000000-0005-0000-0000-0000EF8D0000}"/>
    <cellStyle name="Normal 40 4 2 6" xfId="20122" xr:uid="{00000000-0005-0000-0000-0000F08D0000}"/>
    <cellStyle name="Normal 40 4 2 6 2" xfId="37471" xr:uid="{00000000-0005-0000-0000-0000F18D0000}"/>
    <cellStyle name="Normal 40 4 2 7" xfId="20123" xr:uid="{00000000-0005-0000-0000-0000F28D0000}"/>
    <cellStyle name="Normal 40 4 2 7 2" xfId="37472" xr:uid="{00000000-0005-0000-0000-0000F38D0000}"/>
    <cellStyle name="Normal 40 4 2 8" xfId="20124" xr:uid="{00000000-0005-0000-0000-0000F48D0000}"/>
    <cellStyle name="Normal 40 4 2 8 2" xfId="37473" xr:uid="{00000000-0005-0000-0000-0000F58D0000}"/>
    <cellStyle name="Normal 40 4 2 9" xfId="20125" xr:uid="{00000000-0005-0000-0000-0000F68D0000}"/>
    <cellStyle name="Normal 40 4 2 9 2" xfId="37474" xr:uid="{00000000-0005-0000-0000-0000F78D0000}"/>
    <cellStyle name="Normal 40 4 3" xfId="20126" xr:uid="{00000000-0005-0000-0000-0000F88D0000}"/>
    <cellStyle name="Normal 40 4 3 2" xfId="37475" xr:uid="{00000000-0005-0000-0000-0000F98D0000}"/>
    <cellStyle name="Normal 40 4 4" xfId="20127" xr:uid="{00000000-0005-0000-0000-0000FA8D0000}"/>
    <cellStyle name="Normal 40 4 4 2" xfId="37476" xr:uid="{00000000-0005-0000-0000-0000FB8D0000}"/>
    <cellStyle name="Normal 40 4 5" xfId="20128" xr:uid="{00000000-0005-0000-0000-0000FC8D0000}"/>
    <cellStyle name="Normal 40 4 5 2" xfId="37477" xr:uid="{00000000-0005-0000-0000-0000FD8D0000}"/>
    <cellStyle name="Normal 40 4 6" xfId="20129" xr:uid="{00000000-0005-0000-0000-0000FE8D0000}"/>
    <cellStyle name="Normal 40 4 6 2" xfId="37478" xr:uid="{00000000-0005-0000-0000-0000FF8D0000}"/>
    <cellStyle name="Normal 40 4 7" xfId="20130" xr:uid="{00000000-0005-0000-0000-0000008E0000}"/>
    <cellStyle name="Normal 40 4 7 2" xfId="37479" xr:uid="{00000000-0005-0000-0000-0000018E0000}"/>
    <cellStyle name="Normal 40 4 8" xfId="20131" xr:uid="{00000000-0005-0000-0000-0000028E0000}"/>
    <cellStyle name="Normal 40 4 8 2" xfId="37480" xr:uid="{00000000-0005-0000-0000-0000038E0000}"/>
    <cellStyle name="Normal 40 4 9" xfId="20132" xr:uid="{00000000-0005-0000-0000-0000048E0000}"/>
    <cellStyle name="Normal 40 4 9 2" xfId="37481" xr:uid="{00000000-0005-0000-0000-0000058E0000}"/>
    <cellStyle name="Normal 40 5" xfId="20133" xr:uid="{00000000-0005-0000-0000-0000068E0000}"/>
    <cellStyle name="Normal 40 5 10" xfId="20134" xr:uid="{00000000-0005-0000-0000-0000078E0000}"/>
    <cellStyle name="Normal 40 5 10 2" xfId="37483" xr:uid="{00000000-0005-0000-0000-0000088E0000}"/>
    <cellStyle name="Normal 40 5 11" xfId="20135" xr:uid="{00000000-0005-0000-0000-0000098E0000}"/>
    <cellStyle name="Normal 40 5 11 2" xfId="37484" xr:uid="{00000000-0005-0000-0000-00000A8E0000}"/>
    <cellStyle name="Normal 40 5 12" xfId="20136" xr:uid="{00000000-0005-0000-0000-00000B8E0000}"/>
    <cellStyle name="Normal 40 5 12 2" xfId="37485" xr:uid="{00000000-0005-0000-0000-00000C8E0000}"/>
    <cellStyle name="Normal 40 5 13" xfId="20137" xr:uid="{00000000-0005-0000-0000-00000D8E0000}"/>
    <cellStyle name="Normal 40 5 13 2" xfId="37486" xr:uid="{00000000-0005-0000-0000-00000E8E0000}"/>
    <cellStyle name="Normal 40 5 14" xfId="20138" xr:uid="{00000000-0005-0000-0000-00000F8E0000}"/>
    <cellStyle name="Normal 40 5 14 2" xfId="37487" xr:uid="{00000000-0005-0000-0000-0000108E0000}"/>
    <cellStyle name="Normal 40 5 15" xfId="20139" xr:uid="{00000000-0005-0000-0000-0000118E0000}"/>
    <cellStyle name="Normal 40 5 15 2" xfId="37488" xr:uid="{00000000-0005-0000-0000-0000128E0000}"/>
    <cellStyle name="Normal 40 5 16" xfId="37482" xr:uid="{00000000-0005-0000-0000-0000138E0000}"/>
    <cellStyle name="Normal 40 5 2" xfId="20140" xr:uid="{00000000-0005-0000-0000-0000148E0000}"/>
    <cellStyle name="Normal 40 5 2 10" xfId="20141" xr:uid="{00000000-0005-0000-0000-0000158E0000}"/>
    <cellStyle name="Normal 40 5 2 10 2" xfId="37490" xr:uid="{00000000-0005-0000-0000-0000168E0000}"/>
    <cellStyle name="Normal 40 5 2 11" xfId="20142" xr:uid="{00000000-0005-0000-0000-0000178E0000}"/>
    <cellStyle name="Normal 40 5 2 11 2" xfId="37491" xr:uid="{00000000-0005-0000-0000-0000188E0000}"/>
    <cellStyle name="Normal 40 5 2 12" xfId="20143" xr:uid="{00000000-0005-0000-0000-0000198E0000}"/>
    <cellStyle name="Normal 40 5 2 12 2" xfId="37492" xr:uid="{00000000-0005-0000-0000-00001A8E0000}"/>
    <cellStyle name="Normal 40 5 2 13" xfId="20144" xr:uid="{00000000-0005-0000-0000-00001B8E0000}"/>
    <cellStyle name="Normal 40 5 2 13 2" xfId="37493" xr:uid="{00000000-0005-0000-0000-00001C8E0000}"/>
    <cellStyle name="Normal 40 5 2 14" xfId="20145" xr:uid="{00000000-0005-0000-0000-00001D8E0000}"/>
    <cellStyle name="Normal 40 5 2 14 2" xfId="37494" xr:uid="{00000000-0005-0000-0000-00001E8E0000}"/>
    <cellStyle name="Normal 40 5 2 15" xfId="37489" xr:uid="{00000000-0005-0000-0000-00001F8E0000}"/>
    <cellStyle name="Normal 40 5 2 2" xfId="20146" xr:uid="{00000000-0005-0000-0000-0000208E0000}"/>
    <cellStyle name="Normal 40 5 2 2 2" xfId="37495" xr:uid="{00000000-0005-0000-0000-0000218E0000}"/>
    <cellStyle name="Normal 40 5 2 3" xfId="20147" xr:uid="{00000000-0005-0000-0000-0000228E0000}"/>
    <cellStyle name="Normal 40 5 2 3 2" xfId="37496" xr:uid="{00000000-0005-0000-0000-0000238E0000}"/>
    <cellStyle name="Normal 40 5 2 4" xfId="20148" xr:uid="{00000000-0005-0000-0000-0000248E0000}"/>
    <cellStyle name="Normal 40 5 2 4 2" xfId="37497" xr:uid="{00000000-0005-0000-0000-0000258E0000}"/>
    <cellStyle name="Normal 40 5 2 5" xfId="20149" xr:uid="{00000000-0005-0000-0000-0000268E0000}"/>
    <cellStyle name="Normal 40 5 2 5 2" xfId="37498" xr:uid="{00000000-0005-0000-0000-0000278E0000}"/>
    <cellStyle name="Normal 40 5 2 6" xfId="20150" xr:uid="{00000000-0005-0000-0000-0000288E0000}"/>
    <cellStyle name="Normal 40 5 2 6 2" xfId="37499" xr:uid="{00000000-0005-0000-0000-0000298E0000}"/>
    <cellStyle name="Normal 40 5 2 7" xfId="20151" xr:uid="{00000000-0005-0000-0000-00002A8E0000}"/>
    <cellStyle name="Normal 40 5 2 7 2" xfId="37500" xr:uid="{00000000-0005-0000-0000-00002B8E0000}"/>
    <cellStyle name="Normal 40 5 2 8" xfId="20152" xr:uid="{00000000-0005-0000-0000-00002C8E0000}"/>
    <cellStyle name="Normal 40 5 2 8 2" xfId="37501" xr:uid="{00000000-0005-0000-0000-00002D8E0000}"/>
    <cellStyle name="Normal 40 5 2 9" xfId="20153" xr:uid="{00000000-0005-0000-0000-00002E8E0000}"/>
    <cellStyle name="Normal 40 5 2 9 2" xfId="37502" xr:uid="{00000000-0005-0000-0000-00002F8E0000}"/>
    <cellStyle name="Normal 40 5 3" xfId="20154" xr:uid="{00000000-0005-0000-0000-0000308E0000}"/>
    <cellStyle name="Normal 40 5 3 2" xfId="37503" xr:uid="{00000000-0005-0000-0000-0000318E0000}"/>
    <cellStyle name="Normal 40 5 4" xfId="20155" xr:uid="{00000000-0005-0000-0000-0000328E0000}"/>
    <cellStyle name="Normal 40 5 4 2" xfId="37504" xr:uid="{00000000-0005-0000-0000-0000338E0000}"/>
    <cellStyle name="Normal 40 5 5" xfId="20156" xr:uid="{00000000-0005-0000-0000-0000348E0000}"/>
    <cellStyle name="Normal 40 5 5 2" xfId="37505" xr:uid="{00000000-0005-0000-0000-0000358E0000}"/>
    <cellStyle name="Normal 40 5 6" xfId="20157" xr:uid="{00000000-0005-0000-0000-0000368E0000}"/>
    <cellStyle name="Normal 40 5 6 2" xfId="37506" xr:uid="{00000000-0005-0000-0000-0000378E0000}"/>
    <cellStyle name="Normal 40 5 7" xfId="20158" xr:uid="{00000000-0005-0000-0000-0000388E0000}"/>
    <cellStyle name="Normal 40 5 7 2" xfId="37507" xr:uid="{00000000-0005-0000-0000-0000398E0000}"/>
    <cellStyle name="Normal 40 5 8" xfId="20159" xr:uid="{00000000-0005-0000-0000-00003A8E0000}"/>
    <cellStyle name="Normal 40 5 8 2" xfId="37508" xr:uid="{00000000-0005-0000-0000-00003B8E0000}"/>
    <cellStyle name="Normal 40 5 9" xfId="20160" xr:uid="{00000000-0005-0000-0000-00003C8E0000}"/>
    <cellStyle name="Normal 40 5 9 2" xfId="37509" xr:uid="{00000000-0005-0000-0000-00003D8E0000}"/>
    <cellStyle name="Normal 40 6" xfId="20161" xr:uid="{00000000-0005-0000-0000-00003E8E0000}"/>
    <cellStyle name="Normal 40 6 10" xfId="20162" xr:uid="{00000000-0005-0000-0000-00003F8E0000}"/>
    <cellStyle name="Normal 40 6 10 2" xfId="37511" xr:uid="{00000000-0005-0000-0000-0000408E0000}"/>
    <cellStyle name="Normal 40 6 11" xfId="20163" xr:uid="{00000000-0005-0000-0000-0000418E0000}"/>
    <cellStyle name="Normal 40 6 11 2" xfId="37512" xr:uid="{00000000-0005-0000-0000-0000428E0000}"/>
    <cellStyle name="Normal 40 6 12" xfId="20164" xr:uid="{00000000-0005-0000-0000-0000438E0000}"/>
    <cellStyle name="Normal 40 6 12 2" xfId="37513" xr:uid="{00000000-0005-0000-0000-0000448E0000}"/>
    <cellStyle name="Normal 40 6 13" xfId="20165" xr:uid="{00000000-0005-0000-0000-0000458E0000}"/>
    <cellStyle name="Normal 40 6 13 2" xfId="37514" xr:uid="{00000000-0005-0000-0000-0000468E0000}"/>
    <cellStyle name="Normal 40 6 14" xfId="20166" xr:uid="{00000000-0005-0000-0000-0000478E0000}"/>
    <cellStyle name="Normal 40 6 14 2" xfId="37515" xr:uid="{00000000-0005-0000-0000-0000488E0000}"/>
    <cellStyle name="Normal 40 6 15" xfId="20167" xr:uid="{00000000-0005-0000-0000-0000498E0000}"/>
    <cellStyle name="Normal 40 6 15 2" xfId="37516" xr:uid="{00000000-0005-0000-0000-00004A8E0000}"/>
    <cellStyle name="Normal 40 6 16" xfId="37510" xr:uid="{00000000-0005-0000-0000-00004B8E0000}"/>
    <cellStyle name="Normal 40 6 2" xfId="20168" xr:uid="{00000000-0005-0000-0000-00004C8E0000}"/>
    <cellStyle name="Normal 40 6 2 10" xfId="20169" xr:uid="{00000000-0005-0000-0000-00004D8E0000}"/>
    <cellStyle name="Normal 40 6 2 10 2" xfId="37518" xr:uid="{00000000-0005-0000-0000-00004E8E0000}"/>
    <cellStyle name="Normal 40 6 2 11" xfId="20170" xr:uid="{00000000-0005-0000-0000-00004F8E0000}"/>
    <cellStyle name="Normal 40 6 2 11 2" xfId="37519" xr:uid="{00000000-0005-0000-0000-0000508E0000}"/>
    <cellStyle name="Normal 40 6 2 12" xfId="20171" xr:uid="{00000000-0005-0000-0000-0000518E0000}"/>
    <cellStyle name="Normal 40 6 2 12 2" xfId="37520" xr:uid="{00000000-0005-0000-0000-0000528E0000}"/>
    <cellStyle name="Normal 40 6 2 13" xfId="20172" xr:uid="{00000000-0005-0000-0000-0000538E0000}"/>
    <cellStyle name="Normal 40 6 2 13 2" xfId="37521" xr:uid="{00000000-0005-0000-0000-0000548E0000}"/>
    <cellStyle name="Normal 40 6 2 14" xfId="20173" xr:uid="{00000000-0005-0000-0000-0000558E0000}"/>
    <cellStyle name="Normal 40 6 2 14 2" xfId="37522" xr:uid="{00000000-0005-0000-0000-0000568E0000}"/>
    <cellStyle name="Normal 40 6 2 15" xfId="37517" xr:uid="{00000000-0005-0000-0000-0000578E0000}"/>
    <cellStyle name="Normal 40 6 2 2" xfId="20174" xr:uid="{00000000-0005-0000-0000-0000588E0000}"/>
    <cellStyle name="Normal 40 6 2 2 2" xfId="37523" xr:uid="{00000000-0005-0000-0000-0000598E0000}"/>
    <cellStyle name="Normal 40 6 2 3" xfId="20175" xr:uid="{00000000-0005-0000-0000-00005A8E0000}"/>
    <cellStyle name="Normal 40 6 2 3 2" xfId="37524" xr:uid="{00000000-0005-0000-0000-00005B8E0000}"/>
    <cellStyle name="Normal 40 6 2 4" xfId="20176" xr:uid="{00000000-0005-0000-0000-00005C8E0000}"/>
    <cellStyle name="Normal 40 6 2 4 2" xfId="37525" xr:uid="{00000000-0005-0000-0000-00005D8E0000}"/>
    <cellStyle name="Normal 40 6 2 5" xfId="20177" xr:uid="{00000000-0005-0000-0000-00005E8E0000}"/>
    <cellStyle name="Normal 40 6 2 5 2" xfId="37526" xr:uid="{00000000-0005-0000-0000-00005F8E0000}"/>
    <cellStyle name="Normal 40 6 2 6" xfId="20178" xr:uid="{00000000-0005-0000-0000-0000608E0000}"/>
    <cellStyle name="Normal 40 6 2 6 2" xfId="37527" xr:uid="{00000000-0005-0000-0000-0000618E0000}"/>
    <cellStyle name="Normal 40 6 2 7" xfId="20179" xr:uid="{00000000-0005-0000-0000-0000628E0000}"/>
    <cellStyle name="Normal 40 6 2 7 2" xfId="37528" xr:uid="{00000000-0005-0000-0000-0000638E0000}"/>
    <cellStyle name="Normal 40 6 2 8" xfId="20180" xr:uid="{00000000-0005-0000-0000-0000648E0000}"/>
    <cellStyle name="Normal 40 6 2 8 2" xfId="37529" xr:uid="{00000000-0005-0000-0000-0000658E0000}"/>
    <cellStyle name="Normal 40 6 2 9" xfId="20181" xr:uid="{00000000-0005-0000-0000-0000668E0000}"/>
    <cellStyle name="Normal 40 6 2 9 2" xfId="37530" xr:uid="{00000000-0005-0000-0000-0000678E0000}"/>
    <cellStyle name="Normal 40 6 3" xfId="20182" xr:uid="{00000000-0005-0000-0000-0000688E0000}"/>
    <cellStyle name="Normal 40 6 3 2" xfId="37531" xr:uid="{00000000-0005-0000-0000-0000698E0000}"/>
    <cellStyle name="Normal 40 6 4" xfId="20183" xr:uid="{00000000-0005-0000-0000-00006A8E0000}"/>
    <cellStyle name="Normal 40 6 4 2" xfId="37532" xr:uid="{00000000-0005-0000-0000-00006B8E0000}"/>
    <cellStyle name="Normal 40 6 5" xfId="20184" xr:uid="{00000000-0005-0000-0000-00006C8E0000}"/>
    <cellStyle name="Normal 40 6 5 2" xfId="37533" xr:uid="{00000000-0005-0000-0000-00006D8E0000}"/>
    <cellStyle name="Normal 40 6 6" xfId="20185" xr:uid="{00000000-0005-0000-0000-00006E8E0000}"/>
    <cellStyle name="Normal 40 6 6 2" xfId="37534" xr:uid="{00000000-0005-0000-0000-00006F8E0000}"/>
    <cellStyle name="Normal 40 6 7" xfId="20186" xr:uid="{00000000-0005-0000-0000-0000708E0000}"/>
    <cellStyle name="Normal 40 6 7 2" xfId="37535" xr:uid="{00000000-0005-0000-0000-0000718E0000}"/>
    <cellStyle name="Normal 40 6 8" xfId="20187" xr:uid="{00000000-0005-0000-0000-0000728E0000}"/>
    <cellStyle name="Normal 40 6 8 2" xfId="37536" xr:uid="{00000000-0005-0000-0000-0000738E0000}"/>
    <cellStyle name="Normal 40 6 9" xfId="20188" xr:uid="{00000000-0005-0000-0000-0000748E0000}"/>
    <cellStyle name="Normal 40 6 9 2" xfId="37537" xr:uid="{00000000-0005-0000-0000-0000758E0000}"/>
    <cellStyle name="Normal 40 7" xfId="20189" xr:uid="{00000000-0005-0000-0000-0000768E0000}"/>
    <cellStyle name="Normal 40 7 10" xfId="20190" xr:uid="{00000000-0005-0000-0000-0000778E0000}"/>
    <cellStyle name="Normal 40 7 10 2" xfId="37539" xr:uid="{00000000-0005-0000-0000-0000788E0000}"/>
    <cellStyle name="Normal 40 7 11" xfId="20191" xr:uid="{00000000-0005-0000-0000-0000798E0000}"/>
    <cellStyle name="Normal 40 7 11 2" xfId="37540" xr:uid="{00000000-0005-0000-0000-00007A8E0000}"/>
    <cellStyle name="Normal 40 7 12" xfId="20192" xr:uid="{00000000-0005-0000-0000-00007B8E0000}"/>
    <cellStyle name="Normal 40 7 12 2" xfId="37541" xr:uid="{00000000-0005-0000-0000-00007C8E0000}"/>
    <cellStyle name="Normal 40 7 13" xfId="20193" xr:uid="{00000000-0005-0000-0000-00007D8E0000}"/>
    <cellStyle name="Normal 40 7 13 2" xfId="37542" xr:uid="{00000000-0005-0000-0000-00007E8E0000}"/>
    <cellStyle name="Normal 40 7 14" xfId="20194" xr:uid="{00000000-0005-0000-0000-00007F8E0000}"/>
    <cellStyle name="Normal 40 7 14 2" xfId="37543" xr:uid="{00000000-0005-0000-0000-0000808E0000}"/>
    <cellStyle name="Normal 40 7 15" xfId="37538" xr:uid="{00000000-0005-0000-0000-0000818E0000}"/>
    <cellStyle name="Normal 40 7 2" xfId="20195" xr:uid="{00000000-0005-0000-0000-0000828E0000}"/>
    <cellStyle name="Normal 40 7 2 2" xfId="37544" xr:uid="{00000000-0005-0000-0000-0000838E0000}"/>
    <cellStyle name="Normal 40 7 3" xfId="20196" xr:uid="{00000000-0005-0000-0000-0000848E0000}"/>
    <cellStyle name="Normal 40 7 3 2" xfId="37545" xr:uid="{00000000-0005-0000-0000-0000858E0000}"/>
    <cellStyle name="Normal 40 7 4" xfId="20197" xr:uid="{00000000-0005-0000-0000-0000868E0000}"/>
    <cellStyle name="Normal 40 7 4 2" xfId="37546" xr:uid="{00000000-0005-0000-0000-0000878E0000}"/>
    <cellStyle name="Normal 40 7 5" xfId="20198" xr:uid="{00000000-0005-0000-0000-0000888E0000}"/>
    <cellStyle name="Normal 40 7 5 2" xfId="37547" xr:uid="{00000000-0005-0000-0000-0000898E0000}"/>
    <cellStyle name="Normal 40 7 6" xfId="20199" xr:uid="{00000000-0005-0000-0000-00008A8E0000}"/>
    <cellStyle name="Normal 40 7 6 2" xfId="37548" xr:uid="{00000000-0005-0000-0000-00008B8E0000}"/>
    <cellStyle name="Normal 40 7 7" xfId="20200" xr:uid="{00000000-0005-0000-0000-00008C8E0000}"/>
    <cellStyle name="Normal 40 7 7 2" xfId="37549" xr:uid="{00000000-0005-0000-0000-00008D8E0000}"/>
    <cellStyle name="Normal 40 7 8" xfId="20201" xr:uid="{00000000-0005-0000-0000-00008E8E0000}"/>
    <cellStyle name="Normal 40 7 8 2" xfId="37550" xr:uid="{00000000-0005-0000-0000-00008F8E0000}"/>
    <cellStyle name="Normal 40 7 9" xfId="20202" xr:uid="{00000000-0005-0000-0000-0000908E0000}"/>
    <cellStyle name="Normal 40 7 9 2" xfId="37551" xr:uid="{00000000-0005-0000-0000-0000918E0000}"/>
    <cellStyle name="Normal 40 8" xfId="20203" xr:uid="{00000000-0005-0000-0000-0000928E0000}"/>
    <cellStyle name="Normal 40 8 10" xfId="20204" xr:uid="{00000000-0005-0000-0000-0000938E0000}"/>
    <cellStyle name="Normal 40 8 10 2" xfId="37553" xr:uid="{00000000-0005-0000-0000-0000948E0000}"/>
    <cellStyle name="Normal 40 8 11" xfId="20205" xr:uid="{00000000-0005-0000-0000-0000958E0000}"/>
    <cellStyle name="Normal 40 8 11 2" xfId="37554" xr:uid="{00000000-0005-0000-0000-0000968E0000}"/>
    <cellStyle name="Normal 40 8 12" xfId="20206" xr:uid="{00000000-0005-0000-0000-0000978E0000}"/>
    <cellStyle name="Normal 40 8 12 2" xfId="37555" xr:uid="{00000000-0005-0000-0000-0000988E0000}"/>
    <cellStyle name="Normal 40 8 13" xfId="20207" xr:uid="{00000000-0005-0000-0000-0000998E0000}"/>
    <cellStyle name="Normal 40 8 13 2" xfId="37556" xr:uid="{00000000-0005-0000-0000-00009A8E0000}"/>
    <cellStyle name="Normal 40 8 14" xfId="20208" xr:uid="{00000000-0005-0000-0000-00009B8E0000}"/>
    <cellStyle name="Normal 40 8 14 2" xfId="37557" xr:uid="{00000000-0005-0000-0000-00009C8E0000}"/>
    <cellStyle name="Normal 40 8 15" xfId="37552" xr:uid="{00000000-0005-0000-0000-00009D8E0000}"/>
    <cellStyle name="Normal 40 8 2" xfId="20209" xr:uid="{00000000-0005-0000-0000-00009E8E0000}"/>
    <cellStyle name="Normal 40 8 2 2" xfId="37558" xr:uid="{00000000-0005-0000-0000-00009F8E0000}"/>
    <cellStyle name="Normal 40 8 3" xfId="20210" xr:uid="{00000000-0005-0000-0000-0000A08E0000}"/>
    <cellStyle name="Normal 40 8 3 2" xfId="37559" xr:uid="{00000000-0005-0000-0000-0000A18E0000}"/>
    <cellStyle name="Normal 40 8 4" xfId="20211" xr:uid="{00000000-0005-0000-0000-0000A28E0000}"/>
    <cellStyle name="Normal 40 8 4 2" xfId="37560" xr:uid="{00000000-0005-0000-0000-0000A38E0000}"/>
    <cellStyle name="Normal 40 8 5" xfId="20212" xr:uid="{00000000-0005-0000-0000-0000A48E0000}"/>
    <cellStyle name="Normal 40 8 5 2" xfId="37561" xr:uid="{00000000-0005-0000-0000-0000A58E0000}"/>
    <cellStyle name="Normal 40 8 6" xfId="20213" xr:uid="{00000000-0005-0000-0000-0000A68E0000}"/>
    <cellStyle name="Normal 40 8 6 2" xfId="37562" xr:uid="{00000000-0005-0000-0000-0000A78E0000}"/>
    <cellStyle name="Normal 40 8 7" xfId="20214" xr:uid="{00000000-0005-0000-0000-0000A88E0000}"/>
    <cellStyle name="Normal 40 8 7 2" xfId="37563" xr:uid="{00000000-0005-0000-0000-0000A98E0000}"/>
    <cellStyle name="Normal 40 8 8" xfId="20215" xr:uid="{00000000-0005-0000-0000-0000AA8E0000}"/>
    <cellStyle name="Normal 40 8 8 2" xfId="37564" xr:uid="{00000000-0005-0000-0000-0000AB8E0000}"/>
    <cellStyle name="Normal 40 8 9" xfId="20216" xr:uid="{00000000-0005-0000-0000-0000AC8E0000}"/>
    <cellStyle name="Normal 40 8 9 2" xfId="37565" xr:uid="{00000000-0005-0000-0000-0000AD8E0000}"/>
    <cellStyle name="Normal 40 9" xfId="20217" xr:uid="{00000000-0005-0000-0000-0000AE8E0000}"/>
    <cellStyle name="Normal 40 9 10" xfId="20218" xr:uid="{00000000-0005-0000-0000-0000AF8E0000}"/>
    <cellStyle name="Normal 40 9 10 2" xfId="37567" xr:uid="{00000000-0005-0000-0000-0000B08E0000}"/>
    <cellStyle name="Normal 40 9 11" xfId="20219" xr:uid="{00000000-0005-0000-0000-0000B18E0000}"/>
    <cellStyle name="Normal 40 9 11 2" xfId="37568" xr:uid="{00000000-0005-0000-0000-0000B28E0000}"/>
    <cellStyle name="Normal 40 9 12" xfId="20220" xr:uid="{00000000-0005-0000-0000-0000B38E0000}"/>
    <cellStyle name="Normal 40 9 12 2" xfId="37569" xr:uid="{00000000-0005-0000-0000-0000B48E0000}"/>
    <cellStyle name="Normal 40 9 13" xfId="20221" xr:uid="{00000000-0005-0000-0000-0000B58E0000}"/>
    <cellStyle name="Normal 40 9 13 2" xfId="37570" xr:uid="{00000000-0005-0000-0000-0000B68E0000}"/>
    <cellStyle name="Normal 40 9 14" xfId="20222" xr:uid="{00000000-0005-0000-0000-0000B78E0000}"/>
    <cellStyle name="Normal 40 9 14 2" xfId="37571" xr:uid="{00000000-0005-0000-0000-0000B88E0000}"/>
    <cellStyle name="Normal 40 9 15" xfId="37566" xr:uid="{00000000-0005-0000-0000-0000B98E0000}"/>
    <cellStyle name="Normal 40 9 2" xfId="20223" xr:uid="{00000000-0005-0000-0000-0000BA8E0000}"/>
    <cellStyle name="Normal 40 9 2 2" xfId="37572" xr:uid="{00000000-0005-0000-0000-0000BB8E0000}"/>
    <cellStyle name="Normal 40 9 3" xfId="20224" xr:uid="{00000000-0005-0000-0000-0000BC8E0000}"/>
    <cellStyle name="Normal 40 9 3 2" xfId="37573" xr:uid="{00000000-0005-0000-0000-0000BD8E0000}"/>
    <cellStyle name="Normal 40 9 4" xfId="20225" xr:uid="{00000000-0005-0000-0000-0000BE8E0000}"/>
    <cellStyle name="Normal 40 9 4 2" xfId="37574" xr:uid="{00000000-0005-0000-0000-0000BF8E0000}"/>
    <cellStyle name="Normal 40 9 5" xfId="20226" xr:uid="{00000000-0005-0000-0000-0000C08E0000}"/>
    <cellStyle name="Normal 40 9 5 2" xfId="37575" xr:uid="{00000000-0005-0000-0000-0000C18E0000}"/>
    <cellStyle name="Normal 40 9 6" xfId="20227" xr:uid="{00000000-0005-0000-0000-0000C28E0000}"/>
    <cellStyle name="Normal 40 9 6 2" xfId="37576" xr:uid="{00000000-0005-0000-0000-0000C38E0000}"/>
    <cellStyle name="Normal 40 9 7" xfId="20228" xr:uid="{00000000-0005-0000-0000-0000C48E0000}"/>
    <cellStyle name="Normal 40 9 7 2" xfId="37577" xr:uid="{00000000-0005-0000-0000-0000C58E0000}"/>
    <cellStyle name="Normal 40 9 8" xfId="20229" xr:uid="{00000000-0005-0000-0000-0000C68E0000}"/>
    <cellStyle name="Normal 40 9 8 2" xfId="37578" xr:uid="{00000000-0005-0000-0000-0000C78E0000}"/>
    <cellStyle name="Normal 40 9 9" xfId="20230" xr:uid="{00000000-0005-0000-0000-0000C88E0000}"/>
    <cellStyle name="Normal 40 9 9 2" xfId="37579" xr:uid="{00000000-0005-0000-0000-0000C98E0000}"/>
    <cellStyle name="Normal 41" xfId="71" xr:uid="{00000000-0005-0000-0000-0000CA8E0000}"/>
    <cellStyle name="Normal 41 2" xfId="229" xr:uid="{00000000-0005-0000-0000-0000CB8E0000}"/>
    <cellStyle name="Normal 41 3" xfId="20231" xr:uid="{00000000-0005-0000-0000-0000CC8E0000}"/>
    <cellStyle name="Normal 42" xfId="72" xr:uid="{00000000-0005-0000-0000-0000CD8E0000}"/>
    <cellStyle name="Normal 42 2" xfId="230" xr:uid="{00000000-0005-0000-0000-0000CE8E0000}"/>
    <cellStyle name="Normal 43" xfId="73" xr:uid="{00000000-0005-0000-0000-0000CF8E0000}"/>
    <cellStyle name="Normal 43 2" xfId="231" xr:uid="{00000000-0005-0000-0000-0000D08E0000}"/>
    <cellStyle name="Normal 44" xfId="74" xr:uid="{00000000-0005-0000-0000-0000D18E0000}"/>
    <cellStyle name="Normal 44 2" xfId="232" xr:uid="{00000000-0005-0000-0000-0000D28E0000}"/>
    <cellStyle name="Normal 45" xfId="75" xr:uid="{00000000-0005-0000-0000-0000D38E0000}"/>
    <cellStyle name="Normal 45 2" xfId="233" xr:uid="{00000000-0005-0000-0000-0000D48E0000}"/>
    <cellStyle name="Normal 46" xfId="76" xr:uid="{00000000-0005-0000-0000-0000D58E0000}"/>
    <cellStyle name="Normal 46 2" xfId="234" xr:uid="{00000000-0005-0000-0000-0000D68E0000}"/>
    <cellStyle name="Normal 47" xfId="77" xr:uid="{00000000-0005-0000-0000-0000D78E0000}"/>
    <cellStyle name="Normal 47 2" xfId="235" xr:uid="{00000000-0005-0000-0000-0000D88E0000}"/>
    <cellStyle name="Normal 48" xfId="78" xr:uid="{00000000-0005-0000-0000-0000D98E0000}"/>
    <cellStyle name="Normal 48 2" xfId="236" xr:uid="{00000000-0005-0000-0000-0000DA8E0000}"/>
    <cellStyle name="Normal 49" xfId="79" xr:uid="{00000000-0005-0000-0000-0000DB8E0000}"/>
    <cellStyle name="Normal 49 2" xfId="237" xr:uid="{00000000-0005-0000-0000-0000DC8E0000}"/>
    <cellStyle name="Normal 5" xfId="80" xr:uid="{00000000-0005-0000-0000-0000DD8E0000}"/>
    <cellStyle name="Normal 5 10" xfId="20232" xr:uid="{00000000-0005-0000-0000-0000DE8E0000}"/>
    <cellStyle name="Normal 5 11" xfId="20233" xr:uid="{00000000-0005-0000-0000-0000DF8E0000}"/>
    <cellStyle name="Normal 5 12" xfId="20234" xr:uid="{00000000-0005-0000-0000-0000E08E0000}"/>
    <cellStyle name="Normal 5 13" xfId="20235" xr:uid="{00000000-0005-0000-0000-0000E18E0000}"/>
    <cellStyle name="Normal 5 14" xfId="20236" xr:uid="{00000000-0005-0000-0000-0000E28E0000}"/>
    <cellStyle name="Normal 5 15" xfId="20237" xr:uid="{00000000-0005-0000-0000-0000E38E0000}"/>
    <cellStyle name="Normal 5 16" xfId="20238" xr:uid="{00000000-0005-0000-0000-0000E48E0000}"/>
    <cellStyle name="Normal 5 17" xfId="20239" xr:uid="{00000000-0005-0000-0000-0000E58E0000}"/>
    <cellStyle name="Normal 5 18" xfId="20240" xr:uid="{00000000-0005-0000-0000-0000E68E0000}"/>
    <cellStyle name="Normal 5 19" xfId="20241" xr:uid="{00000000-0005-0000-0000-0000E78E0000}"/>
    <cellStyle name="Normal 5 2" xfId="81" xr:uid="{00000000-0005-0000-0000-0000E88E0000}"/>
    <cellStyle name="Normal 5 2 10" xfId="20242" xr:uid="{00000000-0005-0000-0000-0000E98E0000}"/>
    <cellStyle name="Normal 5 2 11" xfId="20243" xr:uid="{00000000-0005-0000-0000-0000EA8E0000}"/>
    <cellStyle name="Normal 5 2 12" xfId="20244" xr:uid="{00000000-0005-0000-0000-0000EB8E0000}"/>
    <cellStyle name="Normal 5 2 13" xfId="20245" xr:uid="{00000000-0005-0000-0000-0000EC8E0000}"/>
    <cellStyle name="Normal 5 2 14" xfId="37680" xr:uid="{00000000-0005-0000-0000-0000ED8E0000}"/>
    <cellStyle name="Normal 5 2 2" xfId="20246" xr:uid="{00000000-0005-0000-0000-0000EE8E0000}"/>
    <cellStyle name="Normal 5 2 2 10" xfId="20247" xr:uid="{00000000-0005-0000-0000-0000EF8E0000}"/>
    <cellStyle name="Normal 5 2 2 2" xfId="20248" xr:uid="{00000000-0005-0000-0000-0000F08E0000}"/>
    <cellStyle name="Normal 5 2 2 2 2" xfId="20249" xr:uid="{00000000-0005-0000-0000-0000F18E0000}"/>
    <cellStyle name="Normal 5 2 2 2 3" xfId="20250" xr:uid="{00000000-0005-0000-0000-0000F28E0000}"/>
    <cellStyle name="Normal 5 2 2 2 4" xfId="20251" xr:uid="{00000000-0005-0000-0000-0000F38E0000}"/>
    <cellStyle name="Normal 5 2 2 3" xfId="20252" xr:uid="{00000000-0005-0000-0000-0000F48E0000}"/>
    <cellStyle name="Normal 5 2 2 4" xfId="20253" xr:uid="{00000000-0005-0000-0000-0000F58E0000}"/>
    <cellStyle name="Normal 5 2 2 5" xfId="20254" xr:uid="{00000000-0005-0000-0000-0000F68E0000}"/>
    <cellStyle name="Normal 5 2 2 6" xfId="20255" xr:uid="{00000000-0005-0000-0000-0000F78E0000}"/>
    <cellStyle name="Normal 5 2 2 7" xfId="20256" xr:uid="{00000000-0005-0000-0000-0000F88E0000}"/>
    <cellStyle name="Normal 5 2 2 8" xfId="20257" xr:uid="{00000000-0005-0000-0000-0000F98E0000}"/>
    <cellStyle name="Normal 5 2 2 9" xfId="20258" xr:uid="{00000000-0005-0000-0000-0000FA8E0000}"/>
    <cellStyle name="Normal 5 2 3" xfId="20259" xr:uid="{00000000-0005-0000-0000-0000FB8E0000}"/>
    <cellStyle name="Normal 5 2 4" xfId="20260" xr:uid="{00000000-0005-0000-0000-0000FC8E0000}"/>
    <cellStyle name="Normal 5 2 5" xfId="20261" xr:uid="{00000000-0005-0000-0000-0000FD8E0000}"/>
    <cellStyle name="Normal 5 2 6" xfId="20262" xr:uid="{00000000-0005-0000-0000-0000FE8E0000}"/>
    <cellStyle name="Normal 5 2 6 2" xfId="20263" xr:uid="{00000000-0005-0000-0000-0000FF8E0000}"/>
    <cellStyle name="Normal 5 2 6 3" xfId="20264" xr:uid="{00000000-0005-0000-0000-0000008F0000}"/>
    <cellStyle name="Normal 5 2 6 4" xfId="20265" xr:uid="{00000000-0005-0000-0000-0000018F0000}"/>
    <cellStyle name="Normal 5 2 7" xfId="20266" xr:uid="{00000000-0005-0000-0000-0000028F0000}"/>
    <cellStyle name="Normal 5 2 8" xfId="20267" xr:uid="{00000000-0005-0000-0000-0000038F0000}"/>
    <cellStyle name="Normal 5 2 9" xfId="20268" xr:uid="{00000000-0005-0000-0000-0000048F0000}"/>
    <cellStyle name="Normal 5 20" xfId="20269" xr:uid="{00000000-0005-0000-0000-0000058F0000}"/>
    <cellStyle name="Normal 5 20 2" xfId="37581" xr:uid="{00000000-0005-0000-0000-0000068F0000}"/>
    <cellStyle name="Normal 5 21" xfId="20270" xr:uid="{00000000-0005-0000-0000-0000078F0000}"/>
    <cellStyle name="Normal 5 21 2" xfId="37582" xr:uid="{00000000-0005-0000-0000-0000088F0000}"/>
    <cellStyle name="Normal 5 22" xfId="20271" xr:uid="{00000000-0005-0000-0000-0000098F0000}"/>
    <cellStyle name="Normal 5 22 2" xfId="37583" xr:uid="{00000000-0005-0000-0000-00000A8F0000}"/>
    <cellStyle name="Normal 5 23" xfId="20272" xr:uid="{00000000-0005-0000-0000-00000B8F0000}"/>
    <cellStyle name="Normal 5 23 2" xfId="37584" xr:uid="{00000000-0005-0000-0000-00000C8F0000}"/>
    <cellStyle name="Normal 5 24" xfId="20273" xr:uid="{00000000-0005-0000-0000-00000D8F0000}"/>
    <cellStyle name="Normal 5 24 2" xfId="37585" xr:uid="{00000000-0005-0000-0000-00000E8F0000}"/>
    <cellStyle name="Normal 5 25" xfId="20274" xr:uid="{00000000-0005-0000-0000-00000F8F0000}"/>
    <cellStyle name="Normal 5 25 2" xfId="37586" xr:uid="{00000000-0005-0000-0000-0000108F0000}"/>
    <cellStyle name="Normal 5 26" xfId="20275" xr:uid="{00000000-0005-0000-0000-0000118F0000}"/>
    <cellStyle name="Normal 5 26 2" xfId="37587" xr:uid="{00000000-0005-0000-0000-0000128F0000}"/>
    <cellStyle name="Normal 5 27" xfId="20276" xr:uid="{00000000-0005-0000-0000-0000138F0000}"/>
    <cellStyle name="Normal 5 27 2" xfId="37588" xr:uid="{00000000-0005-0000-0000-0000148F0000}"/>
    <cellStyle name="Normal 5 28" xfId="20277" xr:uid="{00000000-0005-0000-0000-0000158F0000}"/>
    <cellStyle name="Normal 5 28 2" xfId="37589" xr:uid="{00000000-0005-0000-0000-0000168F0000}"/>
    <cellStyle name="Normal 5 29" xfId="20278" xr:uid="{00000000-0005-0000-0000-0000178F0000}"/>
    <cellStyle name="Normal 5 29 2" xfId="37590" xr:uid="{00000000-0005-0000-0000-0000188F0000}"/>
    <cellStyle name="Normal 5 3" xfId="82" xr:uid="{00000000-0005-0000-0000-0000198F0000}"/>
    <cellStyle name="Normal 5 3 2" xfId="585" xr:uid="{00000000-0005-0000-0000-00001A8F0000}"/>
    <cellStyle name="Normal 5 3 3" xfId="498" xr:uid="{00000000-0005-0000-0000-00001B8F0000}"/>
    <cellStyle name="Normal 5 3 3 2" xfId="608" xr:uid="{00000000-0005-0000-0000-00001C8F0000}"/>
    <cellStyle name="Normal 5 3 4" xfId="37681" xr:uid="{00000000-0005-0000-0000-00001D8F0000}"/>
    <cellStyle name="Normal 5 30" xfId="20279" xr:uid="{00000000-0005-0000-0000-00001E8F0000}"/>
    <cellStyle name="Normal 5 30 2" xfId="37591" xr:uid="{00000000-0005-0000-0000-00001F8F0000}"/>
    <cellStyle name="Normal 5 31" xfId="20280" xr:uid="{00000000-0005-0000-0000-0000208F0000}"/>
    <cellStyle name="Normal 5 31 2" xfId="37592" xr:uid="{00000000-0005-0000-0000-0000218F0000}"/>
    <cellStyle name="Normal 5 32" xfId="20281" xr:uid="{00000000-0005-0000-0000-0000228F0000}"/>
    <cellStyle name="Normal 5 32 2" xfId="37593" xr:uid="{00000000-0005-0000-0000-0000238F0000}"/>
    <cellStyle name="Normal 5 33" xfId="37679" xr:uid="{00000000-0005-0000-0000-0000248F0000}"/>
    <cellStyle name="Normal 5 34" xfId="37580" xr:uid="{00000000-0005-0000-0000-0000258F0000}"/>
    <cellStyle name="Normal 5 4" xfId="83" xr:uid="{00000000-0005-0000-0000-0000268F0000}"/>
    <cellStyle name="Normal 5 4 2" xfId="20282" xr:uid="{00000000-0005-0000-0000-0000278F0000}"/>
    <cellStyle name="Normal 5 4 3" xfId="37682" xr:uid="{00000000-0005-0000-0000-0000288F0000}"/>
    <cellStyle name="Normal 5 5" xfId="320" xr:uid="{00000000-0005-0000-0000-0000298F0000}"/>
    <cellStyle name="Normal 5 5 2" xfId="20284" xr:uid="{00000000-0005-0000-0000-00002A8F0000}"/>
    <cellStyle name="Normal 5 5 3" xfId="20283" xr:uid="{00000000-0005-0000-0000-00002B8F0000}"/>
    <cellStyle name="Normal 5 5 4" xfId="514" xr:uid="{00000000-0005-0000-0000-00002C8F0000}"/>
    <cellStyle name="Normal 5 6" xfId="20285" xr:uid="{00000000-0005-0000-0000-00002D8F0000}"/>
    <cellStyle name="Normal 5 7" xfId="20286" xr:uid="{00000000-0005-0000-0000-00002E8F0000}"/>
    <cellStyle name="Normal 5 8" xfId="20287" xr:uid="{00000000-0005-0000-0000-00002F8F0000}"/>
    <cellStyle name="Normal 5 9" xfId="20288" xr:uid="{00000000-0005-0000-0000-0000308F0000}"/>
    <cellStyle name="Normal 50" xfId="84" xr:uid="{00000000-0005-0000-0000-0000318F0000}"/>
    <cellStyle name="Normal 50 2" xfId="238" xr:uid="{00000000-0005-0000-0000-0000328F0000}"/>
    <cellStyle name="Normal 51" xfId="85" xr:uid="{00000000-0005-0000-0000-0000338F0000}"/>
    <cellStyle name="Normal 51 2" xfId="239" xr:uid="{00000000-0005-0000-0000-0000348F0000}"/>
    <cellStyle name="Normal 52" xfId="86" xr:uid="{00000000-0005-0000-0000-0000358F0000}"/>
    <cellStyle name="Normal 52 2" xfId="240" xr:uid="{00000000-0005-0000-0000-0000368F0000}"/>
    <cellStyle name="Normal 53" xfId="87" xr:uid="{00000000-0005-0000-0000-0000378F0000}"/>
    <cellStyle name="Normal 53 2" xfId="241" xr:uid="{00000000-0005-0000-0000-0000388F0000}"/>
    <cellStyle name="Normal 54" xfId="88" xr:uid="{00000000-0005-0000-0000-0000398F0000}"/>
    <cellStyle name="Normal 54 2" xfId="242" xr:uid="{00000000-0005-0000-0000-00003A8F0000}"/>
    <cellStyle name="Normal 55" xfId="89" xr:uid="{00000000-0005-0000-0000-00003B8F0000}"/>
    <cellStyle name="Normal 55 2" xfId="243" xr:uid="{00000000-0005-0000-0000-00003C8F0000}"/>
    <cellStyle name="Normal 56" xfId="90" xr:uid="{00000000-0005-0000-0000-00003D8F0000}"/>
    <cellStyle name="Normal 56 2" xfId="244" xr:uid="{00000000-0005-0000-0000-00003E8F0000}"/>
    <cellStyle name="Normal 57" xfId="91" xr:uid="{00000000-0005-0000-0000-00003F8F0000}"/>
    <cellStyle name="Normal 57 2" xfId="245" xr:uid="{00000000-0005-0000-0000-0000408F0000}"/>
    <cellStyle name="Normal 58" xfId="92" xr:uid="{00000000-0005-0000-0000-0000418F0000}"/>
    <cellStyle name="Normal 58 2" xfId="246" xr:uid="{00000000-0005-0000-0000-0000428F0000}"/>
    <cellStyle name="Normal 59" xfId="93" xr:uid="{00000000-0005-0000-0000-0000438F0000}"/>
    <cellStyle name="Normal 59 2" xfId="247" xr:uid="{00000000-0005-0000-0000-0000448F0000}"/>
    <cellStyle name="Normal 6" xfId="94" xr:uid="{00000000-0005-0000-0000-0000458F0000}"/>
    <cellStyle name="Normal 6 10" xfId="20289" xr:uid="{00000000-0005-0000-0000-0000468F0000}"/>
    <cellStyle name="Normal 6 11" xfId="20290" xr:uid="{00000000-0005-0000-0000-0000478F0000}"/>
    <cellStyle name="Normal 6 12" xfId="20291" xr:uid="{00000000-0005-0000-0000-0000488F0000}"/>
    <cellStyle name="Normal 6 13" xfId="20292" xr:uid="{00000000-0005-0000-0000-0000498F0000}"/>
    <cellStyle name="Normal 6 14" xfId="20293" xr:uid="{00000000-0005-0000-0000-00004A8F0000}"/>
    <cellStyle name="Normal 6 15" xfId="20294" xr:uid="{00000000-0005-0000-0000-00004B8F0000}"/>
    <cellStyle name="Normal 6 16" xfId="20295" xr:uid="{00000000-0005-0000-0000-00004C8F0000}"/>
    <cellStyle name="Normal 6 2" xfId="95" xr:uid="{00000000-0005-0000-0000-00004D8F0000}"/>
    <cellStyle name="Normal 6 2 10" xfId="20296" xr:uid="{00000000-0005-0000-0000-00004E8F0000}"/>
    <cellStyle name="Normal 6 2 11" xfId="20297" xr:uid="{00000000-0005-0000-0000-00004F8F0000}"/>
    <cellStyle name="Normal 6 2 12" xfId="20298" xr:uid="{00000000-0005-0000-0000-0000508F0000}"/>
    <cellStyle name="Normal 6 2 13" xfId="20299" xr:uid="{00000000-0005-0000-0000-0000518F0000}"/>
    <cellStyle name="Normal 6 2 14" xfId="37683" xr:uid="{00000000-0005-0000-0000-0000528F0000}"/>
    <cellStyle name="Normal 6 2 2" xfId="20300" xr:uid="{00000000-0005-0000-0000-0000538F0000}"/>
    <cellStyle name="Normal 6 2 2 10" xfId="20301" xr:uid="{00000000-0005-0000-0000-0000548F0000}"/>
    <cellStyle name="Normal 6 2 2 2" xfId="20302" xr:uid="{00000000-0005-0000-0000-0000558F0000}"/>
    <cellStyle name="Normal 6 2 2 2 2" xfId="20303" xr:uid="{00000000-0005-0000-0000-0000568F0000}"/>
    <cellStyle name="Normal 6 2 2 2 3" xfId="20304" xr:uid="{00000000-0005-0000-0000-0000578F0000}"/>
    <cellStyle name="Normal 6 2 2 2 4" xfId="20305" xr:uid="{00000000-0005-0000-0000-0000588F0000}"/>
    <cellStyle name="Normal 6 2 2 3" xfId="20306" xr:uid="{00000000-0005-0000-0000-0000598F0000}"/>
    <cellStyle name="Normal 6 2 2 4" xfId="20307" xr:uid="{00000000-0005-0000-0000-00005A8F0000}"/>
    <cellStyle name="Normal 6 2 2 5" xfId="20308" xr:uid="{00000000-0005-0000-0000-00005B8F0000}"/>
    <cellStyle name="Normal 6 2 2 6" xfId="20309" xr:uid="{00000000-0005-0000-0000-00005C8F0000}"/>
    <cellStyle name="Normal 6 2 2 7" xfId="20310" xr:uid="{00000000-0005-0000-0000-00005D8F0000}"/>
    <cellStyle name="Normal 6 2 2 8" xfId="20311" xr:uid="{00000000-0005-0000-0000-00005E8F0000}"/>
    <cellStyle name="Normal 6 2 2 9" xfId="20312" xr:uid="{00000000-0005-0000-0000-00005F8F0000}"/>
    <cellStyle name="Normal 6 2 3" xfId="20313" xr:uid="{00000000-0005-0000-0000-0000608F0000}"/>
    <cellStyle name="Normal 6 2 4" xfId="20314" xr:uid="{00000000-0005-0000-0000-0000618F0000}"/>
    <cellStyle name="Normal 6 2 5" xfId="20315" xr:uid="{00000000-0005-0000-0000-0000628F0000}"/>
    <cellStyle name="Normal 6 2 6" xfId="20316" xr:uid="{00000000-0005-0000-0000-0000638F0000}"/>
    <cellStyle name="Normal 6 2 6 2" xfId="20317" xr:uid="{00000000-0005-0000-0000-0000648F0000}"/>
    <cellStyle name="Normal 6 2 6 3" xfId="20318" xr:uid="{00000000-0005-0000-0000-0000658F0000}"/>
    <cellStyle name="Normal 6 2 6 4" xfId="20319" xr:uid="{00000000-0005-0000-0000-0000668F0000}"/>
    <cellStyle name="Normal 6 2 7" xfId="20320" xr:uid="{00000000-0005-0000-0000-0000678F0000}"/>
    <cellStyle name="Normal 6 2 8" xfId="20321" xr:uid="{00000000-0005-0000-0000-0000688F0000}"/>
    <cellStyle name="Normal 6 2 9" xfId="20322" xr:uid="{00000000-0005-0000-0000-0000698F0000}"/>
    <cellStyle name="Normal 6 3" xfId="96" xr:uid="{00000000-0005-0000-0000-00006A8F0000}"/>
    <cellStyle name="Normal 6 3 2" xfId="510" xr:uid="{00000000-0005-0000-0000-00006B8F0000}"/>
    <cellStyle name="Normal 6 3 3" xfId="444" xr:uid="{00000000-0005-0000-0000-00006C8F0000}"/>
    <cellStyle name="Normal 6 3 3 2" xfId="596" xr:uid="{00000000-0005-0000-0000-00006D8F0000}"/>
    <cellStyle name="Normal 6 3 4" xfId="37684" xr:uid="{00000000-0005-0000-0000-00006E8F0000}"/>
    <cellStyle name="Normal 6 4" xfId="311" xr:uid="{00000000-0005-0000-0000-00006F8F0000}"/>
    <cellStyle name="Normal 6 4 2" xfId="20324" xr:uid="{00000000-0005-0000-0000-0000708F0000}"/>
    <cellStyle name="Normal 6 4 3" xfId="20323" xr:uid="{00000000-0005-0000-0000-0000718F0000}"/>
    <cellStyle name="Normal 6 5" xfId="20325" xr:uid="{00000000-0005-0000-0000-0000728F0000}"/>
    <cellStyle name="Normal 6 5 2" xfId="20326" xr:uid="{00000000-0005-0000-0000-0000738F0000}"/>
    <cellStyle name="Normal 6 6" xfId="20327" xr:uid="{00000000-0005-0000-0000-0000748F0000}"/>
    <cellStyle name="Normal 6 7" xfId="20328" xr:uid="{00000000-0005-0000-0000-0000758F0000}"/>
    <cellStyle name="Normal 6 8" xfId="20329" xr:uid="{00000000-0005-0000-0000-0000768F0000}"/>
    <cellStyle name="Normal 6 9" xfId="20330" xr:uid="{00000000-0005-0000-0000-0000778F0000}"/>
    <cellStyle name="Normal 60" xfId="97" xr:uid="{00000000-0005-0000-0000-0000788F0000}"/>
    <cellStyle name="Normal 60 2" xfId="248" xr:uid="{00000000-0005-0000-0000-0000798F0000}"/>
    <cellStyle name="Normal 61" xfId="98" xr:uid="{00000000-0005-0000-0000-00007A8F0000}"/>
    <cellStyle name="Normal 61 2" xfId="249" xr:uid="{00000000-0005-0000-0000-00007B8F0000}"/>
    <cellStyle name="Normal 62" xfId="99" xr:uid="{00000000-0005-0000-0000-00007C8F0000}"/>
    <cellStyle name="Normal 62 2" xfId="250" xr:uid="{00000000-0005-0000-0000-00007D8F0000}"/>
    <cellStyle name="Normal 63" xfId="100" xr:uid="{00000000-0005-0000-0000-00007E8F0000}"/>
    <cellStyle name="Normal 63 2" xfId="251" xr:uid="{00000000-0005-0000-0000-00007F8F0000}"/>
    <cellStyle name="Normal 64" xfId="101" xr:uid="{00000000-0005-0000-0000-0000808F0000}"/>
    <cellStyle name="Normal 64 2" xfId="252" xr:uid="{00000000-0005-0000-0000-0000818F0000}"/>
    <cellStyle name="Normal 65" xfId="102" xr:uid="{00000000-0005-0000-0000-0000828F0000}"/>
    <cellStyle name="Normal 65 2" xfId="253" xr:uid="{00000000-0005-0000-0000-0000838F0000}"/>
    <cellStyle name="Normal 66" xfId="103" xr:uid="{00000000-0005-0000-0000-0000848F0000}"/>
    <cellStyle name="Normal 66 2" xfId="254" xr:uid="{00000000-0005-0000-0000-0000858F0000}"/>
    <cellStyle name="Normal 67" xfId="104" xr:uid="{00000000-0005-0000-0000-0000868F0000}"/>
    <cellStyle name="Normal 67 2" xfId="255" xr:uid="{00000000-0005-0000-0000-0000878F0000}"/>
    <cellStyle name="Normal 68" xfId="610" xr:uid="{00000000-0005-0000-0000-0000888F0000}"/>
    <cellStyle name="Normal 69" xfId="105" xr:uid="{00000000-0005-0000-0000-0000898F0000}"/>
    <cellStyle name="Normal 69 2" xfId="256" xr:uid="{00000000-0005-0000-0000-00008A8F0000}"/>
    <cellStyle name="Normal 7" xfId="106" xr:uid="{00000000-0005-0000-0000-00008B8F0000}"/>
    <cellStyle name="Normal 7 10" xfId="20331" xr:uid="{00000000-0005-0000-0000-00008C8F0000}"/>
    <cellStyle name="Normal 7 11" xfId="37685" xr:uid="{00000000-0005-0000-0000-00008D8F0000}"/>
    <cellStyle name="Normal 7 2" xfId="310" xr:uid="{00000000-0005-0000-0000-00008E8F0000}"/>
    <cellStyle name="Normal 7 2 2" xfId="20332" xr:uid="{00000000-0005-0000-0000-00008F8F0000}"/>
    <cellStyle name="Normal 7 2 3" xfId="598" xr:uid="{00000000-0005-0000-0000-0000908F0000}"/>
    <cellStyle name="Normal 7 3" xfId="607" xr:uid="{00000000-0005-0000-0000-0000918F0000}"/>
    <cellStyle name="Normal 7 3 2" xfId="487" xr:uid="{00000000-0005-0000-0000-0000928F0000}"/>
    <cellStyle name="Normal 7 3 3" xfId="606" xr:uid="{00000000-0005-0000-0000-0000938F0000}"/>
    <cellStyle name="Normal 7 3 3 2" xfId="443" xr:uid="{00000000-0005-0000-0000-0000948F0000}"/>
    <cellStyle name="Normal 7 3 4" xfId="20333" xr:uid="{00000000-0005-0000-0000-0000958F0000}"/>
    <cellStyle name="Normal 7 4" xfId="20334" xr:uid="{00000000-0005-0000-0000-0000968F0000}"/>
    <cellStyle name="Normal 7 5" xfId="20335" xr:uid="{00000000-0005-0000-0000-0000978F0000}"/>
    <cellStyle name="Normal 7 6" xfId="20336" xr:uid="{00000000-0005-0000-0000-0000988F0000}"/>
    <cellStyle name="Normal 7 7" xfId="20337" xr:uid="{00000000-0005-0000-0000-0000998F0000}"/>
    <cellStyle name="Normal 7 8" xfId="20338" xr:uid="{00000000-0005-0000-0000-00009A8F0000}"/>
    <cellStyle name="Normal 7 9" xfId="20339" xr:uid="{00000000-0005-0000-0000-00009B8F0000}"/>
    <cellStyle name="Normal 70" xfId="107" xr:uid="{00000000-0005-0000-0000-00009C8F0000}"/>
    <cellStyle name="Normal 70 2" xfId="257" xr:uid="{00000000-0005-0000-0000-00009D8F0000}"/>
    <cellStyle name="Normal 71" xfId="108" xr:uid="{00000000-0005-0000-0000-00009E8F0000}"/>
    <cellStyle name="Normal 71 2" xfId="258" xr:uid="{00000000-0005-0000-0000-00009F8F0000}"/>
    <cellStyle name="Normal 72" xfId="109" xr:uid="{00000000-0005-0000-0000-0000A08F0000}"/>
    <cellStyle name="Normal 72 2" xfId="259" xr:uid="{00000000-0005-0000-0000-0000A18F0000}"/>
    <cellStyle name="Normal 73" xfId="110" xr:uid="{00000000-0005-0000-0000-0000A28F0000}"/>
    <cellStyle name="Normal 73 2" xfId="260" xr:uid="{00000000-0005-0000-0000-0000A38F0000}"/>
    <cellStyle name="Normal 74" xfId="111" xr:uid="{00000000-0005-0000-0000-0000A48F0000}"/>
    <cellStyle name="Normal 74 2" xfId="261" xr:uid="{00000000-0005-0000-0000-0000A58F0000}"/>
    <cellStyle name="Normal 75" xfId="112" xr:uid="{00000000-0005-0000-0000-0000A68F0000}"/>
    <cellStyle name="Normal 75 2" xfId="262" xr:uid="{00000000-0005-0000-0000-0000A78F0000}"/>
    <cellStyle name="Normal 76" xfId="113" xr:uid="{00000000-0005-0000-0000-0000A88F0000}"/>
    <cellStyle name="Normal 76 2" xfId="263" xr:uid="{00000000-0005-0000-0000-0000A98F0000}"/>
    <cellStyle name="Normal 77" xfId="114" xr:uid="{00000000-0005-0000-0000-0000AA8F0000}"/>
    <cellStyle name="Normal 77 2" xfId="264" xr:uid="{00000000-0005-0000-0000-0000AB8F0000}"/>
    <cellStyle name="Normal 78" xfId="115" xr:uid="{00000000-0005-0000-0000-0000AC8F0000}"/>
    <cellStyle name="Normal 78 2" xfId="265" xr:uid="{00000000-0005-0000-0000-0000AD8F0000}"/>
    <cellStyle name="Normal 79" xfId="116" xr:uid="{00000000-0005-0000-0000-0000AE8F0000}"/>
    <cellStyle name="Normal 79 2" xfId="266" xr:uid="{00000000-0005-0000-0000-0000AF8F0000}"/>
    <cellStyle name="Normal 8" xfId="117" xr:uid="{00000000-0005-0000-0000-0000B08F0000}"/>
    <cellStyle name="Normal 8 10" xfId="20340" xr:uid="{00000000-0005-0000-0000-0000B18F0000}"/>
    <cellStyle name="Normal 8 11" xfId="20341" xr:uid="{00000000-0005-0000-0000-0000B28F0000}"/>
    <cellStyle name="Normal 8 12" xfId="20342" xr:uid="{00000000-0005-0000-0000-0000B38F0000}"/>
    <cellStyle name="Normal 8 13" xfId="20343" xr:uid="{00000000-0005-0000-0000-0000B48F0000}"/>
    <cellStyle name="Normal 8 14" xfId="20344" xr:uid="{00000000-0005-0000-0000-0000B58F0000}"/>
    <cellStyle name="Normal 8 15" xfId="20345" xr:uid="{00000000-0005-0000-0000-0000B68F0000}"/>
    <cellStyle name="Normal 8 16" xfId="20346" xr:uid="{00000000-0005-0000-0000-0000B78F0000}"/>
    <cellStyle name="Normal 8 17" xfId="37686" xr:uid="{00000000-0005-0000-0000-0000B88F0000}"/>
    <cellStyle name="Normal 8 2" xfId="442" xr:uid="{00000000-0005-0000-0000-0000B98F0000}"/>
    <cellStyle name="Normal 8 2 2" xfId="20348" xr:uid="{00000000-0005-0000-0000-0000BA8F0000}"/>
    <cellStyle name="Normal 8 2 3" xfId="20349" xr:uid="{00000000-0005-0000-0000-0000BB8F0000}"/>
    <cellStyle name="Normal 8 2 4" xfId="20350" xr:uid="{00000000-0005-0000-0000-0000BC8F0000}"/>
    <cellStyle name="Normal 8 2 5" xfId="20351" xr:uid="{00000000-0005-0000-0000-0000BD8F0000}"/>
    <cellStyle name="Normal 8 2 6" xfId="20347" xr:uid="{00000000-0005-0000-0000-0000BE8F0000}"/>
    <cellStyle name="Normal 8 3" xfId="508" xr:uid="{00000000-0005-0000-0000-0000BF8F0000}"/>
    <cellStyle name="Normal 8 3 2" xfId="511" xr:uid="{00000000-0005-0000-0000-0000C08F0000}"/>
    <cellStyle name="Normal 8 3 3" xfId="583" xr:uid="{00000000-0005-0000-0000-0000C18F0000}"/>
    <cellStyle name="Normal 8 3 3 2" xfId="586" xr:uid="{00000000-0005-0000-0000-0000C28F0000}"/>
    <cellStyle name="Normal 8 4" xfId="20352" xr:uid="{00000000-0005-0000-0000-0000C38F0000}"/>
    <cellStyle name="Normal 8 4 2" xfId="20353" xr:uid="{00000000-0005-0000-0000-0000C48F0000}"/>
    <cellStyle name="Normal 8 5" xfId="20354" xr:uid="{00000000-0005-0000-0000-0000C58F0000}"/>
    <cellStyle name="Normal 8 5 2" xfId="20355" xr:uid="{00000000-0005-0000-0000-0000C68F0000}"/>
    <cellStyle name="Normal 8 6" xfId="20356" xr:uid="{00000000-0005-0000-0000-0000C78F0000}"/>
    <cellStyle name="Normal 8 7" xfId="20357" xr:uid="{00000000-0005-0000-0000-0000C88F0000}"/>
    <cellStyle name="Normal 8 8" xfId="20358" xr:uid="{00000000-0005-0000-0000-0000C98F0000}"/>
    <cellStyle name="Normal 8 9" xfId="20359" xr:uid="{00000000-0005-0000-0000-0000CA8F0000}"/>
    <cellStyle name="Normal 80" xfId="118" xr:uid="{00000000-0005-0000-0000-0000CB8F0000}"/>
    <cellStyle name="Normal 80 2" xfId="267" xr:uid="{00000000-0005-0000-0000-0000CC8F0000}"/>
    <cellStyle name="Normal 81" xfId="119" xr:uid="{00000000-0005-0000-0000-0000CD8F0000}"/>
    <cellStyle name="Normal 81 2" xfId="268" xr:uid="{00000000-0005-0000-0000-0000CE8F0000}"/>
    <cellStyle name="Normal 82" xfId="120" xr:uid="{00000000-0005-0000-0000-0000CF8F0000}"/>
    <cellStyle name="Normal 82 2" xfId="269" xr:uid="{00000000-0005-0000-0000-0000D08F0000}"/>
    <cellStyle name="Normal 83" xfId="121" xr:uid="{00000000-0005-0000-0000-0000D18F0000}"/>
    <cellStyle name="Normal 83 2" xfId="270" xr:uid="{00000000-0005-0000-0000-0000D28F0000}"/>
    <cellStyle name="Normal 84" xfId="122" xr:uid="{00000000-0005-0000-0000-0000D38F0000}"/>
    <cellStyle name="Normal 84 2" xfId="271" xr:uid="{00000000-0005-0000-0000-0000D48F0000}"/>
    <cellStyle name="Normal 85" xfId="123" xr:uid="{00000000-0005-0000-0000-0000D58F0000}"/>
    <cellStyle name="Normal 85 2" xfId="272" xr:uid="{00000000-0005-0000-0000-0000D68F0000}"/>
    <cellStyle name="Normal 86" xfId="124" xr:uid="{00000000-0005-0000-0000-0000D78F0000}"/>
    <cellStyle name="Normal 86 2" xfId="273" xr:uid="{00000000-0005-0000-0000-0000D88F0000}"/>
    <cellStyle name="Normal 87" xfId="125" xr:uid="{00000000-0005-0000-0000-0000D98F0000}"/>
    <cellStyle name="Normal 87 2" xfId="274" xr:uid="{00000000-0005-0000-0000-0000DA8F0000}"/>
    <cellStyle name="Normal 88" xfId="611" xr:uid="{00000000-0005-0000-0000-0000DB8F0000}"/>
    <cellStyle name="Normal 88 2" xfId="20360" xr:uid="{00000000-0005-0000-0000-0000DC8F0000}"/>
    <cellStyle name="Normal 89" xfId="612" xr:uid="{00000000-0005-0000-0000-0000DD8F0000}"/>
    <cellStyle name="Normal 9" xfId="126" xr:uid="{00000000-0005-0000-0000-0000DE8F0000}"/>
    <cellStyle name="Normal 9 10" xfId="20361" xr:uid="{00000000-0005-0000-0000-0000DF8F0000}"/>
    <cellStyle name="Normal 9 11" xfId="20362" xr:uid="{00000000-0005-0000-0000-0000E08F0000}"/>
    <cellStyle name="Normal 9 12" xfId="20363" xr:uid="{00000000-0005-0000-0000-0000E18F0000}"/>
    <cellStyle name="Normal 9 13" xfId="20364" xr:uid="{00000000-0005-0000-0000-0000E28F0000}"/>
    <cellStyle name="Normal 9 14" xfId="20365" xr:uid="{00000000-0005-0000-0000-0000E38F0000}"/>
    <cellStyle name="Normal 9 15" xfId="20366" xr:uid="{00000000-0005-0000-0000-0000E48F0000}"/>
    <cellStyle name="Normal 9 16" xfId="20367" xr:uid="{00000000-0005-0000-0000-0000E58F0000}"/>
    <cellStyle name="Normal 9 17" xfId="20368" xr:uid="{00000000-0005-0000-0000-0000E68F0000}"/>
    <cellStyle name="Normal 9 18" xfId="20369" xr:uid="{00000000-0005-0000-0000-0000E78F0000}"/>
    <cellStyle name="Normal 9 19" xfId="37687" xr:uid="{00000000-0005-0000-0000-0000E88F0000}"/>
    <cellStyle name="Normal 9 2" xfId="127" xr:uid="{00000000-0005-0000-0000-0000E98F0000}"/>
    <cellStyle name="Normal 9 2 2" xfId="202" xr:uid="{00000000-0005-0000-0000-0000EA8F0000}"/>
    <cellStyle name="Normal 9 2 3" xfId="20370" xr:uid="{00000000-0005-0000-0000-0000EB8F0000}"/>
    <cellStyle name="Normal 9 2 4" xfId="20371" xr:uid="{00000000-0005-0000-0000-0000EC8F0000}"/>
    <cellStyle name="Normal 9 2 5" xfId="20372" xr:uid="{00000000-0005-0000-0000-0000ED8F0000}"/>
    <cellStyle name="Normal 9 2 6" xfId="37594" xr:uid="{00000000-0005-0000-0000-0000EE8F0000}"/>
    <cellStyle name="Normal 9 3" xfId="20373" xr:uid="{00000000-0005-0000-0000-0000EF8F0000}"/>
    <cellStyle name="Normal 9 3 2" xfId="20374" xr:uid="{00000000-0005-0000-0000-0000F08F0000}"/>
    <cellStyle name="Normal 9 4" xfId="20375" xr:uid="{00000000-0005-0000-0000-0000F18F0000}"/>
    <cellStyle name="Normal 9 4 2" xfId="20376" xr:uid="{00000000-0005-0000-0000-0000F28F0000}"/>
    <cellStyle name="Normal 9 5" xfId="20377" xr:uid="{00000000-0005-0000-0000-0000F38F0000}"/>
    <cellStyle name="Normal 9 5 2" xfId="20378" xr:uid="{00000000-0005-0000-0000-0000F48F0000}"/>
    <cellStyle name="Normal 9 6" xfId="20379" xr:uid="{00000000-0005-0000-0000-0000F58F0000}"/>
    <cellStyle name="Normal 9 7" xfId="20380" xr:uid="{00000000-0005-0000-0000-0000F68F0000}"/>
    <cellStyle name="Normal 9 8" xfId="20381" xr:uid="{00000000-0005-0000-0000-0000F78F0000}"/>
    <cellStyle name="Normal 9 9" xfId="20382" xr:uid="{00000000-0005-0000-0000-0000F88F0000}"/>
    <cellStyle name="Normal 90" xfId="613" xr:uid="{00000000-0005-0000-0000-0000F98F0000}"/>
    <cellStyle name="Normal 91" xfId="614" xr:uid="{00000000-0005-0000-0000-0000FA8F0000}"/>
    <cellStyle name="Normal 92" xfId="615" xr:uid="{00000000-0005-0000-0000-0000FB8F0000}"/>
    <cellStyle name="Normal 93" xfId="616" xr:uid="{00000000-0005-0000-0000-0000FC8F0000}"/>
    <cellStyle name="Normal 94" xfId="660" xr:uid="{00000000-0005-0000-0000-0000FD8F0000}"/>
    <cellStyle name="Normal 95" xfId="664" xr:uid="{00000000-0005-0000-0000-0000FE8F0000}"/>
    <cellStyle name="Normal 96" xfId="665" xr:uid="{00000000-0005-0000-0000-0000FF8F0000}"/>
    <cellStyle name="Normal 97" xfId="666" xr:uid="{00000000-0005-0000-0000-000000900000}"/>
    <cellStyle name="Normal 98" xfId="670" xr:uid="{00000000-0005-0000-0000-000001900000}"/>
    <cellStyle name="Normal 99" xfId="21150" xr:uid="{00000000-0005-0000-0000-000002900000}"/>
    <cellStyle name="Note" xfId="3" builtinId="10" customBuiltin="1"/>
    <cellStyle name="Note 10 2" xfId="20383" xr:uid="{00000000-0005-0000-0000-000004900000}"/>
    <cellStyle name="Note 10 3" xfId="20384" xr:uid="{00000000-0005-0000-0000-000005900000}"/>
    <cellStyle name="Note 11 2" xfId="20385" xr:uid="{00000000-0005-0000-0000-000006900000}"/>
    <cellStyle name="Note 11 3" xfId="20386" xr:uid="{00000000-0005-0000-0000-000007900000}"/>
    <cellStyle name="Note 12 2" xfId="20387" xr:uid="{00000000-0005-0000-0000-000008900000}"/>
    <cellStyle name="Note 12 3" xfId="20388" xr:uid="{00000000-0005-0000-0000-000009900000}"/>
    <cellStyle name="Note 13 2" xfId="20389" xr:uid="{00000000-0005-0000-0000-00000A900000}"/>
    <cellStyle name="Note 13 3" xfId="20390" xr:uid="{00000000-0005-0000-0000-00000B900000}"/>
    <cellStyle name="Note 14 2" xfId="20391" xr:uid="{00000000-0005-0000-0000-00000C900000}"/>
    <cellStyle name="Note 14 3" xfId="20392" xr:uid="{00000000-0005-0000-0000-00000D900000}"/>
    <cellStyle name="Note 15 2" xfId="20393" xr:uid="{00000000-0005-0000-0000-00000E900000}"/>
    <cellStyle name="Note 15 3" xfId="20394" xr:uid="{00000000-0005-0000-0000-00000F900000}"/>
    <cellStyle name="Note 16" xfId="20395" xr:uid="{00000000-0005-0000-0000-000010900000}"/>
    <cellStyle name="Note 16 2" xfId="20396" xr:uid="{00000000-0005-0000-0000-000011900000}"/>
    <cellStyle name="Note 16 3" xfId="20397" xr:uid="{00000000-0005-0000-0000-000012900000}"/>
    <cellStyle name="Note 16 4" xfId="20398" xr:uid="{00000000-0005-0000-0000-000013900000}"/>
    <cellStyle name="Note 16 5" xfId="20399" xr:uid="{00000000-0005-0000-0000-000014900000}"/>
    <cellStyle name="Note 16 6" xfId="20400" xr:uid="{00000000-0005-0000-0000-000015900000}"/>
    <cellStyle name="Note 16 7" xfId="20401" xr:uid="{00000000-0005-0000-0000-000016900000}"/>
    <cellStyle name="Note 17" xfId="20402" xr:uid="{00000000-0005-0000-0000-000017900000}"/>
    <cellStyle name="Note 18" xfId="20403" xr:uid="{00000000-0005-0000-0000-000018900000}"/>
    <cellStyle name="Note 19" xfId="20404" xr:uid="{00000000-0005-0000-0000-000019900000}"/>
    <cellStyle name="Note 2" xfId="185" xr:uid="{00000000-0005-0000-0000-00001A900000}"/>
    <cellStyle name="Note 2 10" xfId="20406" xr:uid="{00000000-0005-0000-0000-00001B900000}"/>
    <cellStyle name="Note 2 11" xfId="20407" xr:uid="{00000000-0005-0000-0000-00001C900000}"/>
    <cellStyle name="Note 2 11 2" xfId="20408" xr:uid="{00000000-0005-0000-0000-00001D900000}"/>
    <cellStyle name="Note 2 11 2 2" xfId="20409" xr:uid="{00000000-0005-0000-0000-00001E900000}"/>
    <cellStyle name="Note 2 11 2 3" xfId="20410" xr:uid="{00000000-0005-0000-0000-00001F900000}"/>
    <cellStyle name="Note 2 11 2 4" xfId="20411" xr:uid="{00000000-0005-0000-0000-000020900000}"/>
    <cellStyle name="Note 2 11 2 5" xfId="20412" xr:uid="{00000000-0005-0000-0000-000021900000}"/>
    <cellStyle name="Note 2 11 2 6" xfId="20413" xr:uid="{00000000-0005-0000-0000-000022900000}"/>
    <cellStyle name="Note 2 11 2 7" xfId="20414" xr:uid="{00000000-0005-0000-0000-000023900000}"/>
    <cellStyle name="Note 2 11 3" xfId="20415" xr:uid="{00000000-0005-0000-0000-000024900000}"/>
    <cellStyle name="Note 2 11 4" xfId="20416" xr:uid="{00000000-0005-0000-0000-000025900000}"/>
    <cellStyle name="Note 2 11 5" xfId="20417" xr:uid="{00000000-0005-0000-0000-000026900000}"/>
    <cellStyle name="Note 2 11 6" xfId="20418" xr:uid="{00000000-0005-0000-0000-000027900000}"/>
    <cellStyle name="Note 2 11 7" xfId="20419" xr:uid="{00000000-0005-0000-0000-000028900000}"/>
    <cellStyle name="Note 2 12" xfId="20420" xr:uid="{00000000-0005-0000-0000-000029900000}"/>
    <cellStyle name="Note 2 13" xfId="20421" xr:uid="{00000000-0005-0000-0000-00002A900000}"/>
    <cellStyle name="Note 2 14" xfId="20422" xr:uid="{00000000-0005-0000-0000-00002B900000}"/>
    <cellStyle name="Note 2 15" xfId="20423" xr:uid="{00000000-0005-0000-0000-00002C900000}"/>
    <cellStyle name="Note 2 16" xfId="20424" xr:uid="{00000000-0005-0000-0000-00002D900000}"/>
    <cellStyle name="Note 2 17" xfId="20425" xr:uid="{00000000-0005-0000-0000-00002E900000}"/>
    <cellStyle name="Note 2 18" xfId="20426" xr:uid="{00000000-0005-0000-0000-00002F900000}"/>
    <cellStyle name="Note 2 19" xfId="20427" xr:uid="{00000000-0005-0000-0000-000030900000}"/>
    <cellStyle name="Note 2 2" xfId="367" xr:uid="{00000000-0005-0000-0000-000031900000}"/>
    <cellStyle name="Note 2 2 2" xfId="559" xr:uid="{00000000-0005-0000-0000-000032900000}"/>
    <cellStyle name="Note 2 2 3" xfId="20428" xr:uid="{00000000-0005-0000-0000-000033900000}"/>
    <cellStyle name="Note 2 20" xfId="20429" xr:uid="{00000000-0005-0000-0000-000034900000}"/>
    <cellStyle name="Note 2 20 2" xfId="20430" xr:uid="{00000000-0005-0000-0000-000035900000}"/>
    <cellStyle name="Note 2 20 2 2" xfId="20431" xr:uid="{00000000-0005-0000-0000-000036900000}"/>
    <cellStyle name="Note 2 20 2 3" xfId="20432" xr:uid="{00000000-0005-0000-0000-000037900000}"/>
    <cellStyle name="Note 2 20 3" xfId="20433" xr:uid="{00000000-0005-0000-0000-000038900000}"/>
    <cellStyle name="Note 2 20 4" xfId="20434" xr:uid="{00000000-0005-0000-0000-000039900000}"/>
    <cellStyle name="Note 2 21" xfId="20435" xr:uid="{00000000-0005-0000-0000-00003A900000}"/>
    <cellStyle name="Note 2 22" xfId="20436" xr:uid="{00000000-0005-0000-0000-00003B900000}"/>
    <cellStyle name="Note 2 23" xfId="20437" xr:uid="{00000000-0005-0000-0000-00003C900000}"/>
    <cellStyle name="Note 2 23 2" xfId="20438" xr:uid="{00000000-0005-0000-0000-00003D900000}"/>
    <cellStyle name="Note 2 23 3" xfId="20439" xr:uid="{00000000-0005-0000-0000-00003E900000}"/>
    <cellStyle name="Note 2 24" xfId="20440" xr:uid="{00000000-0005-0000-0000-00003F900000}"/>
    <cellStyle name="Note 2 24 2" xfId="20441" xr:uid="{00000000-0005-0000-0000-000040900000}"/>
    <cellStyle name="Note 2 24 3" xfId="20442" xr:uid="{00000000-0005-0000-0000-000041900000}"/>
    <cellStyle name="Note 2 25" xfId="20443" xr:uid="{00000000-0005-0000-0000-000042900000}"/>
    <cellStyle name="Note 2 25 2" xfId="20444" xr:uid="{00000000-0005-0000-0000-000043900000}"/>
    <cellStyle name="Note 2 25 3" xfId="20445" xr:uid="{00000000-0005-0000-0000-000044900000}"/>
    <cellStyle name="Note 2 26" xfId="20446" xr:uid="{00000000-0005-0000-0000-000045900000}"/>
    <cellStyle name="Note 2 26 2" xfId="20447" xr:uid="{00000000-0005-0000-0000-000046900000}"/>
    <cellStyle name="Note 2 26 3" xfId="20448" xr:uid="{00000000-0005-0000-0000-000047900000}"/>
    <cellStyle name="Note 2 27" xfId="20449" xr:uid="{00000000-0005-0000-0000-000048900000}"/>
    <cellStyle name="Note 2 28" xfId="20450" xr:uid="{00000000-0005-0000-0000-000049900000}"/>
    <cellStyle name="Note 2 29" xfId="20451" xr:uid="{00000000-0005-0000-0000-00004A900000}"/>
    <cellStyle name="Note 2 3" xfId="470" xr:uid="{00000000-0005-0000-0000-00004B900000}"/>
    <cellStyle name="Note 2 3 2" xfId="20452" xr:uid="{00000000-0005-0000-0000-00004C900000}"/>
    <cellStyle name="Note 2 30" xfId="20453" xr:uid="{00000000-0005-0000-0000-00004D900000}"/>
    <cellStyle name="Note 2 31" xfId="20405" xr:uid="{00000000-0005-0000-0000-00004E900000}"/>
    <cellStyle name="Note 2 32" xfId="37688" xr:uid="{00000000-0005-0000-0000-00004F900000}"/>
    <cellStyle name="Note 2 4" xfId="20454" xr:uid="{00000000-0005-0000-0000-000050900000}"/>
    <cellStyle name="Note 2 5" xfId="20455" xr:uid="{00000000-0005-0000-0000-000051900000}"/>
    <cellStyle name="Note 2 6" xfId="20456" xr:uid="{00000000-0005-0000-0000-000052900000}"/>
    <cellStyle name="Note 2 7" xfId="20457" xr:uid="{00000000-0005-0000-0000-000053900000}"/>
    <cellStyle name="Note 2 8" xfId="20458" xr:uid="{00000000-0005-0000-0000-000054900000}"/>
    <cellStyle name="Note 2 8 10" xfId="20459" xr:uid="{00000000-0005-0000-0000-000055900000}"/>
    <cellStyle name="Note 2 8 11" xfId="20460" xr:uid="{00000000-0005-0000-0000-000056900000}"/>
    <cellStyle name="Note 2 8 2" xfId="20461" xr:uid="{00000000-0005-0000-0000-000057900000}"/>
    <cellStyle name="Note 2 8 2 2" xfId="20462" xr:uid="{00000000-0005-0000-0000-000058900000}"/>
    <cellStyle name="Note 2 8 2 3" xfId="20463" xr:uid="{00000000-0005-0000-0000-000059900000}"/>
    <cellStyle name="Note 2 8 2 4" xfId="20464" xr:uid="{00000000-0005-0000-0000-00005A900000}"/>
    <cellStyle name="Note 2 8 2 5" xfId="20465" xr:uid="{00000000-0005-0000-0000-00005B900000}"/>
    <cellStyle name="Note 2 8 2 6" xfId="20466" xr:uid="{00000000-0005-0000-0000-00005C900000}"/>
    <cellStyle name="Note 2 8 2 7" xfId="20467" xr:uid="{00000000-0005-0000-0000-00005D900000}"/>
    <cellStyle name="Note 2 8 2 8" xfId="20468" xr:uid="{00000000-0005-0000-0000-00005E900000}"/>
    <cellStyle name="Note 2 8 2 9" xfId="20469" xr:uid="{00000000-0005-0000-0000-00005F900000}"/>
    <cellStyle name="Note 2 8 3" xfId="20470" xr:uid="{00000000-0005-0000-0000-000060900000}"/>
    <cellStyle name="Note 2 8 4" xfId="20471" xr:uid="{00000000-0005-0000-0000-000061900000}"/>
    <cellStyle name="Note 2 8 5" xfId="20472" xr:uid="{00000000-0005-0000-0000-000062900000}"/>
    <cellStyle name="Note 2 8 5 2" xfId="20473" xr:uid="{00000000-0005-0000-0000-000063900000}"/>
    <cellStyle name="Note 2 8 5 3" xfId="20474" xr:uid="{00000000-0005-0000-0000-000064900000}"/>
    <cellStyle name="Note 2 8 6" xfId="20475" xr:uid="{00000000-0005-0000-0000-000065900000}"/>
    <cellStyle name="Note 2 8 6 2" xfId="20476" xr:uid="{00000000-0005-0000-0000-000066900000}"/>
    <cellStyle name="Note 2 8 6 3" xfId="20477" xr:uid="{00000000-0005-0000-0000-000067900000}"/>
    <cellStyle name="Note 2 8 7" xfId="20478" xr:uid="{00000000-0005-0000-0000-000068900000}"/>
    <cellStyle name="Note 2 8 7 2" xfId="20479" xr:uid="{00000000-0005-0000-0000-000069900000}"/>
    <cellStyle name="Note 2 8 7 3" xfId="20480" xr:uid="{00000000-0005-0000-0000-00006A900000}"/>
    <cellStyle name="Note 2 8 8" xfId="20481" xr:uid="{00000000-0005-0000-0000-00006B900000}"/>
    <cellStyle name="Note 2 8 8 2" xfId="20482" xr:uid="{00000000-0005-0000-0000-00006C900000}"/>
    <cellStyle name="Note 2 8 8 3" xfId="20483" xr:uid="{00000000-0005-0000-0000-00006D900000}"/>
    <cellStyle name="Note 2 8 9" xfId="20484" xr:uid="{00000000-0005-0000-0000-00006E900000}"/>
    <cellStyle name="Note 2 8 9 2" xfId="20485" xr:uid="{00000000-0005-0000-0000-00006F900000}"/>
    <cellStyle name="Note 2 8 9 3" xfId="20486" xr:uid="{00000000-0005-0000-0000-000070900000}"/>
    <cellStyle name="Note 2 9" xfId="20487" xr:uid="{00000000-0005-0000-0000-000071900000}"/>
    <cellStyle name="Note 20" xfId="20488" xr:uid="{00000000-0005-0000-0000-000072900000}"/>
    <cellStyle name="Note 21" xfId="20489" xr:uid="{00000000-0005-0000-0000-000073900000}"/>
    <cellStyle name="Note 22" xfId="20490" xr:uid="{00000000-0005-0000-0000-000074900000}"/>
    <cellStyle name="Note 23" xfId="20491" xr:uid="{00000000-0005-0000-0000-000075900000}"/>
    <cellStyle name="Note 24" xfId="20492" xr:uid="{00000000-0005-0000-0000-000076900000}"/>
    <cellStyle name="Note 25" xfId="20493" xr:uid="{00000000-0005-0000-0000-000077900000}"/>
    <cellStyle name="Note 3" xfId="331" xr:uid="{00000000-0005-0000-0000-000078900000}"/>
    <cellStyle name="Note 3 2" xfId="465" xr:uid="{00000000-0005-0000-0000-000079900000}"/>
    <cellStyle name="Note 3 2 2" xfId="20495" xr:uid="{00000000-0005-0000-0000-00007A900000}"/>
    <cellStyle name="Note 3 3" xfId="20496" xr:uid="{00000000-0005-0000-0000-00007B900000}"/>
    <cellStyle name="Note 3 4" xfId="20497" xr:uid="{00000000-0005-0000-0000-00007C900000}"/>
    <cellStyle name="Note 3 5" xfId="20498" xr:uid="{00000000-0005-0000-0000-00007D900000}"/>
    <cellStyle name="Note 3 6" xfId="20499" xr:uid="{00000000-0005-0000-0000-00007E900000}"/>
    <cellStyle name="Note 3 7" xfId="20500" xr:uid="{00000000-0005-0000-0000-00007F900000}"/>
    <cellStyle name="Note 3 8" xfId="20494" xr:uid="{00000000-0005-0000-0000-000080900000}"/>
    <cellStyle name="Note 4" xfId="333" xr:uid="{00000000-0005-0000-0000-000081900000}"/>
    <cellStyle name="Note 4 2" xfId="523" xr:uid="{00000000-0005-0000-0000-000082900000}"/>
    <cellStyle name="Note 4 2 2" xfId="20502" xr:uid="{00000000-0005-0000-0000-000083900000}"/>
    <cellStyle name="Note 4 3" xfId="20503" xr:uid="{00000000-0005-0000-0000-000084900000}"/>
    <cellStyle name="Note 4 4" xfId="20501" xr:uid="{00000000-0005-0000-0000-000085900000}"/>
    <cellStyle name="Note 4 5" xfId="37689" xr:uid="{00000000-0005-0000-0000-000086900000}"/>
    <cellStyle name="Note 5" xfId="353" xr:uid="{00000000-0005-0000-0000-000087900000}"/>
    <cellStyle name="Note 5 2" xfId="543" xr:uid="{00000000-0005-0000-0000-000088900000}"/>
    <cellStyle name="Note 5 2 2" xfId="20504" xr:uid="{00000000-0005-0000-0000-000089900000}"/>
    <cellStyle name="Note 5 3" xfId="20505" xr:uid="{00000000-0005-0000-0000-00008A900000}"/>
    <cellStyle name="Note 6" xfId="403" xr:uid="{00000000-0005-0000-0000-00008B900000}"/>
    <cellStyle name="Note 6 2" xfId="20506" xr:uid="{00000000-0005-0000-0000-00008C900000}"/>
    <cellStyle name="Note 6 3" xfId="20507" xr:uid="{00000000-0005-0000-0000-00008D900000}"/>
    <cellStyle name="Note 7 2" xfId="20508" xr:uid="{00000000-0005-0000-0000-00008E900000}"/>
    <cellStyle name="Note 7 3" xfId="20509" xr:uid="{00000000-0005-0000-0000-00008F900000}"/>
    <cellStyle name="Note 8 2" xfId="20510" xr:uid="{00000000-0005-0000-0000-000090900000}"/>
    <cellStyle name="Note 8 3" xfId="20511" xr:uid="{00000000-0005-0000-0000-000091900000}"/>
    <cellStyle name="Note 9 2" xfId="20512" xr:uid="{00000000-0005-0000-0000-000092900000}"/>
    <cellStyle name="Note 9 3" xfId="20513" xr:uid="{00000000-0005-0000-0000-000093900000}"/>
    <cellStyle name="Output" xfId="145" builtinId="21" customBuiltin="1"/>
    <cellStyle name="Output 10 2" xfId="20514" xr:uid="{00000000-0005-0000-0000-000095900000}"/>
    <cellStyle name="Output 10 3" xfId="20515" xr:uid="{00000000-0005-0000-0000-000096900000}"/>
    <cellStyle name="Output 11 2" xfId="20516" xr:uid="{00000000-0005-0000-0000-000097900000}"/>
    <cellStyle name="Output 11 3" xfId="20517" xr:uid="{00000000-0005-0000-0000-000098900000}"/>
    <cellStyle name="Output 12 2" xfId="20518" xr:uid="{00000000-0005-0000-0000-000099900000}"/>
    <cellStyle name="Output 12 3" xfId="20519" xr:uid="{00000000-0005-0000-0000-00009A900000}"/>
    <cellStyle name="Output 13 2" xfId="20520" xr:uid="{00000000-0005-0000-0000-00009B900000}"/>
    <cellStyle name="Output 13 3" xfId="20521" xr:uid="{00000000-0005-0000-0000-00009C900000}"/>
    <cellStyle name="Output 14 2" xfId="20522" xr:uid="{00000000-0005-0000-0000-00009D900000}"/>
    <cellStyle name="Output 14 3" xfId="20523" xr:uid="{00000000-0005-0000-0000-00009E900000}"/>
    <cellStyle name="Output 15" xfId="20524" xr:uid="{00000000-0005-0000-0000-00009F900000}"/>
    <cellStyle name="Output 15 2" xfId="20525" xr:uid="{00000000-0005-0000-0000-0000A0900000}"/>
    <cellStyle name="Output 15 3" xfId="20526" xr:uid="{00000000-0005-0000-0000-0000A1900000}"/>
    <cellStyle name="Output 15 4" xfId="20527" xr:uid="{00000000-0005-0000-0000-0000A2900000}"/>
    <cellStyle name="Output 15 5" xfId="20528" xr:uid="{00000000-0005-0000-0000-0000A3900000}"/>
    <cellStyle name="Output 15 6" xfId="20529" xr:uid="{00000000-0005-0000-0000-0000A4900000}"/>
    <cellStyle name="Output 15 7" xfId="20530" xr:uid="{00000000-0005-0000-0000-0000A5900000}"/>
    <cellStyle name="Output 16" xfId="20531" xr:uid="{00000000-0005-0000-0000-0000A6900000}"/>
    <cellStyle name="Output 17" xfId="20532" xr:uid="{00000000-0005-0000-0000-0000A7900000}"/>
    <cellStyle name="Output 18" xfId="20533" xr:uid="{00000000-0005-0000-0000-0000A8900000}"/>
    <cellStyle name="Output 19" xfId="20534" xr:uid="{00000000-0005-0000-0000-0000A9900000}"/>
    <cellStyle name="Output 2" xfId="398" xr:uid="{00000000-0005-0000-0000-0000AA900000}"/>
    <cellStyle name="Output 2 2" xfId="488" xr:uid="{00000000-0005-0000-0000-0000AB900000}"/>
    <cellStyle name="Output 2 2 2" xfId="20535" xr:uid="{00000000-0005-0000-0000-0000AC900000}"/>
    <cellStyle name="Output 2 3" xfId="20536" xr:uid="{00000000-0005-0000-0000-0000AD900000}"/>
    <cellStyle name="Output 20" xfId="20537" xr:uid="{00000000-0005-0000-0000-0000AE900000}"/>
    <cellStyle name="Output 21" xfId="20538" xr:uid="{00000000-0005-0000-0000-0000AF900000}"/>
    <cellStyle name="Output 22" xfId="20539" xr:uid="{00000000-0005-0000-0000-0000B0900000}"/>
    <cellStyle name="Output 3" xfId="656" xr:uid="{00000000-0005-0000-0000-0000B1900000}"/>
    <cellStyle name="Output 3 2" xfId="20540" xr:uid="{00000000-0005-0000-0000-0000B2900000}"/>
    <cellStyle name="Output 3 3" xfId="20541" xr:uid="{00000000-0005-0000-0000-0000B3900000}"/>
    <cellStyle name="Output 4 2" xfId="20542" xr:uid="{00000000-0005-0000-0000-0000B4900000}"/>
    <cellStyle name="Output 4 3" xfId="20543" xr:uid="{00000000-0005-0000-0000-0000B5900000}"/>
    <cellStyle name="Output 5 2" xfId="20544" xr:uid="{00000000-0005-0000-0000-0000B6900000}"/>
    <cellStyle name="Output 5 3" xfId="20545" xr:uid="{00000000-0005-0000-0000-0000B7900000}"/>
    <cellStyle name="Output 6 2" xfId="20546" xr:uid="{00000000-0005-0000-0000-0000B8900000}"/>
    <cellStyle name="Output 6 3" xfId="20547" xr:uid="{00000000-0005-0000-0000-0000B9900000}"/>
    <cellStyle name="Output 7 2" xfId="20548" xr:uid="{00000000-0005-0000-0000-0000BA900000}"/>
    <cellStyle name="Output 7 3" xfId="20549" xr:uid="{00000000-0005-0000-0000-0000BB900000}"/>
    <cellStyle name="Output 8 2" xfId="20550" xr:uid="{00000000-0005-0000-0000-0000BC900000}"/>
    <cellStyle name="Output 8 3" xfId="20551" xr:uid="{00000000-0005-0000-0000-0000BD900000}"/>
    <cellStyle name="Output 9 2" xfId="20552" xr:uid="{00000000-0005-0000-0000-0000BE900000}"/>
    <cellStyle name="Output 9 3" xfId="20553" xr:uid="{00000000-0005-0000-0000-0000BF900000}"/>
    <cellStyle name="Percent" xfId="6" builtinId="5"/>
    <cellStyle name="Percent 10" xfId="200" xr:uid="{00000000-0005-0000-0000-0000C1900000}"/>
    <cellStyle name="Percent 10 10" xfId="20555" xr:uid="{00000000-0005-0000-0000-0000C2900000}"/>
    <cellStyle name="Percent 10 11" xfId="20556" xr:uid="{00000000-0005-0000-0000-0000C3900000}"/>
    <cellStyle name="Percent 10 12" xfId="20554" xr:uid="{00000000-0005-0000-0000-0000C4900000}"/>
    <cellStyle name="Percent 10 2" xfId="385" xr:uid="{00000000-0005-0000-0000-0000C5900000}"/>
    <cellStyle name="Percent 10 2 2" xfId="577" xr:uid="{00000000-0005-0000-0000-0000C6900000}"/>
    <cellStyle name="Percent 10 2 2 2" xfId="20558" xr:uid="{00000000-0005-0000-0000-0000C7900000}"/>
    <cellStyle name="Percent 10 2 3" xfId="20559" xr:uid="{00000000-0005-0000-0000-0000C8900000}"/>
    <cellStyle name="Percent 10 2 4" xfId="20560" xr:uid="{00000000-0005-0000-0000-0000C9900000}"/>
    <cellStyle name="Percent 10 2 5" xfId="20561" xr:uid="{00000000-0005-0000-0000-0000CA900000}"/>
    <cellStyle name="Percent 10 2 6" xfId="20557" xr:uid="{00000000-0005-0000-0000-0000CB900000}"/>
    <cellStyle name="Percent 10 3" xfId="492" xr:uid="{00000000-0005-0000-0000-0000CC900000}"/>
    <cellStyle name="Percent 10 3 2" xfId="20562" xr:uid="{00000000-0005-0000-0000-0000CD900000}"/>
    <cellStyle name="Percent 10 4" xfId="20563" xr:uid="{00000000-0005-0000-0000-0000CE900000}"/>
    <cellStyle name="Percent 10 5" xfId="20564" xr:uid="{00000000-0005-0000-0000-0000CF900000}"/>
    <cellStyle name="Percent 10 6" xfId="20565" xr:uid="{00000000-0005-0000-0000-0000D0900000}"/>
    <cellStyle name="Percent 10 7" xfId="20566" xr:uid="{00000000-0005-0000-0000-0000D1900000}"/>
    <cellStyle name="Percent 10 8" xfId="20567" xr:uid="{00000000-0005-0000-0000-0000D2900000}"/>
    <cellStyle name="Percent 10 9" xfId="20568" xr:uid="{00000000-0005-0000-0000-0000D3900000}"/>
    <cellStyle name="Percent 11" xfId="181" xr:uid="{00000000-0005-0000-0000-0000D4900000}"/>
    <cellStyle name="Percent 11 2" xfId="294" xr:uid="{00000000-0005-0000-0000-0000D5900000}"/>
    <cellStyle name="Percent 12" xfId="350" xr:uid="{00000000-0005-0000-0000-0000D6900000}"/>
    <cellStyle name="Percent 12 2" xfId="540" xr:uid="{00000000-0005-0000-0000-0000D7900000}"/>
    <cellStyle name="Percent 12 2 2" xfId="20570" xr:uid="{00000000-0005-0000-0000-0000D8900000}"/>
    <cellStyle name="Percent 12 3" xfId="20569" xr:uid="{00000000-0005-0000-0000-0000D9900000}"/>
    <cellStyle name="Percent 13" xfId="431" xr:uid="{00000000-0005-0000-0000-0000DA900000}"/>
    <cellStyle name="Percent 13 2" xfId="588" xr:uid="{00000000-0005-0000-0000-0000DB900000}"/>
    <cellStyle name="Percent 13 2 2" xfId="20572" xr:uid="{00000000-0005-0000-0000-0000DC900000}"/>
    <cellStyle name="Percent 13 3" xfId="20571" xr:uid="{00000000-0005-0000-0000-0000DD900000}"/>
    <cellStyle name="Percent 14" xfId="435" xr:uid="{00000000-0005-0000-0000-0000DE900000}"/>
    <cellStyle name="Percent 14 2" xfId="593" xr:uid="{00000000-0005-0000-0000-0000DF900000}"/>
    <cellStyle name="Percent 14 2 2" xfId="20574" xr:uid="{00000000-0005-0000-0000-0000E0900000}"/>
    <cellStyle name="Percent 14 3" xfId="20573" xr:uid="{00000000-0005-0000-0000-0000E1900000}"/>
    <cellStyle name="Percent 15" xfId="657" xr:uid="{00000000-0005-0000-0000-0000E2900000}"/>
    <cellStyle name="Percent 15 2" xfId="20576" xr:uid="{00000000-0005-0000-0000-0000E3900000}"/>
    <cellStyle name="Percent 15 3" xfId="20575" xr:uid="{00000000-0005-0000-0000-0000E4900000}"/>
    <cellStyle name="Percent 16" xfId="661" xr:uid="{00000000-0005-0000-0000-0000E5900000}"/>
    <cellStyle name="Percent 16 2" xfId="20578" xr:uid="{00000000-0005-0000-0000-0000E6900000}"/>
    <cellStyle name="Percent 16 3" xfId="20577" xr:uid="{00000000-0005-0000-0000-0000E7900000}"/>
    <cellStyle name="Percent 17" xfId="667" xr:uid="{00000000-0005-0000-0000-0000E8900000}"/>
    <cellStyle name="Percent 17 2" xfId="20580" xr:uid="{00000000-0005-0000-0000-0000E9900000}"/>
    <cellStyle name="Percent 17 3" xfId="20579" xr:uid="{00000000-0005-0000-0000-0000EA900000}"/>
    <cellStyle name="Percent 18" xfId="20581" xr:uid="{00000000-0005-0000-0000-0000EB900000}"/>
    <cellStyle name="Percent 18 2" xfId="20582" xr:uid="{00000000-0005-0000-0000-0000EC900000}"/>
    <cellStyle name="Percent 19" xfId="20583" xr:uid="{00000000-0005-0000-0000-0000ED900000}"/>
    <cellStyle name="Percent 19 2" xfId="20584" xr:uid="{00000000-0005-0000-0000-0000EE900000}"/>
    <cellStyle name="Percent 2" xfId="128" xr:uid="{00000000-0005-0000-0000-0000EF900000}"/>
    <cellStyle name="Percent 2 10" xfId="20585" xr:uid="{00000000-0005-0000-0000-0000F0900000}"/>
    <cellStyle name="Percent 2 11" xfId="20586" xr:uid="{00000000-0005-0000-0000-0000F1900000}"/>
    <cellStyle name="Percent 2 12" xfId="20587" xr:uid="{00000000-0005-0000-0000-0000F2900000}"/>
    <cellStyle name="Percent 2 13" xfId="20588" xr:uid="{00000000-0005-0000-0000-0000F3900000}"/>
    <cellStyle name="Percent 2 14" xfId="20589" xr:uid="{00000000-0005-0000-0000-0000F4900000}"/>
    <cellStyle name="Percent 2 15" xfId="20590" xr:uid="{00000000-0005-0000-0000-0000F5900000}"/>
    <cellStyle name="Percent 2 16" xfId="20591" xr:uid="{00000000-0005-0000-0000-0000F6900000}"/>
    <cellStyle name="Percent 2 17" xfId="20592" xr:uid="{00000000-0005-0000-0000-0000F7900000}"/>
    <cellStyle name="Percent 2 18" xfId="20593" xr:uid="{00000000-0005-0000-0000-0000F8900000}"/>
    <cellStyle name="Percent 2 19" xfId="20594" xr:uid="{00000000-0005-0000-0000-0000F9900000}"/>
    <cellStyle name="Percent 2 2" xfId="275" xr:uid="{00000000-0005-0000-0000-0000FA900000}"/>
    <cellStyle name="Percent 2 2 10" xfId="20595" xr:uid="{00000000-0005-0000-0000-0000FB900000}"/>
    <cellStyle name="Percent 2 2 10 2" xfId="20596" xr:uid="{00000000-0005-0000-0000-0000FC900000}"/>
    <cellStyle name="Percent 2 2 10 3" xfId="20597" xr:uid="{00000000-0005-0000-0000-0000FD900000}"/>
    <cellStyle name="Percent 2 2 11" xfId="20598" xr:uid="{00000000-0005-0000-0000-0000FE900000}"/>
    <cellStyle name="Percent 2 2 11 2" xfId="20599" xr:uid="{00000000-0005-0000-0000-0000FF900000}"/>
    <cellStyle name="Percent 2 2 11 3" xfId="20600" xr:uid="{00000000-0005-0000-0000-000000910000}"/>
    <cellStyle name="Percent 2 2 12" xfId="20601" xr:uid="{00000000-0005-0000-0000-000001910000}"/>
    <cellStyle name="Percent 2 2 12 2" xfId="20602" xr:uid="{00000000-0005-0000-0000-000002910000}"/>
    <cellStyle name="Percent 2 2 12 3" xfId="20603" xr:uid="{00000000-0005-0000-0000-000003910000}"/>
    <cellStyle name="Percent 2 2 13" xfId="20604" xr:uid="{00000000-0005-0000-0000-000004910000}"/>
    <cellStyle name="Percent 2 2 13 2" xfId="20605" xr:uid="{00000000-0005-0000-0000-000005910000}"/>
    <cellStyle name="Percent 2 2 13 3" xfId="20606" xr:uid="{00000000-0005-0000-0000-000006910000}"/>
    <cellStyle name="Percent 2 2 14" xfId="20607" xr:uid="{00000000-0005-0000-0000-000007910000}"/>
    <cellStyle name="Percent 2 2 14 2" xfId="20608" xr:uid="{00000000-0005-0000-0000-000008910000}"/>
    <cellStyle name="Percent 2 2 14 3" xfId="20609" xr:uid="{00000000-0005-0000-0000-000009910000}"/>
    <cellStyle name="Percent 2 2 15" xfId="20610" xr:uid="{00000000-0005-0000-0000-00000A910000}"/>
    <cellStyle name="Percent 2 2 16" xfId="20611" xr:uid="{00000000-0005-0000-0000-00000B910000}"/>
    <cellStyle name="Percent 2 2 17" xfId="20612" xr:uid="{00000000-0005-0000-0000-00000C910000}"/>
    <cellStyle name="Percent 2 2 18" xfId="20613" xr:uid="{00000000-0005-0000-0000-00000D910000}"/>
    <cellStyle name="Percent 2 2 19" xfId="20614" xr:uid="{00000000-0005-0000-0000-00000E910000}"/>
    <cellStyle name="Percent 2 2 2" xfId="20615" xr:uid="{00000000-0005-0000-0000-00000F910000}"/>
    <cellStyle name="Percent 2 2 2 10" xfId="20616" xr:uid="{00000000-0005-0000-0000-000010910000}"/>
    <cellStyle name="Percent 2 2 2 2" xfId="20617" xr:uid="{00000000-0005-0000-0000-000011910000}"/>
    <cellStyle name="Percent 2 2 2 3" xfId="20618" xr:uid="{00000000-0005-0000-0000-000012910000}"/>
    <cellStyle name="Percent 2 2 2 4" xfId="20619" xr:uid="{00000000-0005-0000-0000-000013910000}"/>
    <cellStyle name="Percent 2 2 2 5" xfId="20620" xr:uid="{00000000-0005-0000-0000-000014910000}"/>
    <cellStyle name="Percent 2 2 2 6" xfId="20621" xr:uid="{00000000-0005-0000-0000-000015910000}"/>
    <cellStyle name="Percent 2 2 2 7" xfId="20622" xr:uid="{00000000-0005-0000-0000-000016910000}"/>
    <cellStyle name="Percent 2 2 2 8" xfId="20623" xr:uid="{00000000-0005-0000-0000-000017910000}"/>
    <cellStyle name="Percent 2 2 2 9" xfId="20624" xr:uid="{00000000-0005-0000-0000-000018910000}"/>
    <cellStyle name="Percent 2 2 20" xfId="20625" xr:uid="{00000000-0005-0000-0000-000019910000}"/>
    <cellStyle name="Percent 2 2 21" xfId="20626" xr:uid="{00000000-0005-0000-0000-00001A910000}"/>
    <cellStyle name="Percent 2 2 3" xfId="20627" xr:uid="{00000000-0005-0000-0000-00001B910000}"/>
    <cellStyle name="Percent 2 2 3 2" xfId="20628" xr:uid="{00000000-0005-0000-0000-00001C910000}"/>
    <cellStyle name="Percent 2 2 3 3" xfId="20629" xr:uid="{00000000-0005-0000-0000-00001D910000}"/>
    <cellStyle name="Percent 2 2 4" xfId="20630" xr:uid="{00000000-0005-0000-0000-00001E910000}"/>
    <cellStyle name="Percent 2 2 4 2" xfId="20631" xr:uid="{00000000-0005-0000-0000-00001F910000}"/>
    <cellStyle name="Percent 2 2 4 3" xfId="20632" xr:uid="{00000000-0005-0000-0000-000020910000}"/>
    <cellStyle name="Percent 2 2 5" xfId="20633" xr:uid="{00000000-0005-0000-0000-000021910000}"/>
    <cellStyle name="Percent 2 2 5 2" xfId="20634" xr:uid="{00000000-0005-0000-0000-000022910000}"/>
    <cellStyle name="Percent 2 2 5 3" xfId="20635" xr:uid="{00000000-0005-0000-0000-000023910000}"/>
    <cellStyle name="Percent 2 2 6" xfId="20636" xr:uid="{00000000-0005-0000-0000-000024910000}"/>
    <cellStyle name="Percent 2 2 6 2" xfId="20637" xr:uid="{00000000-0005-0000-0000-000025910000}"/>
    <cellStyle name="Percent 2 2 6 3" xfId="20638" xr:uid="{00000000-0005-0000-0000-000026910000}"/>
    <cellStyle name="Percent 2 2 7" xfId="20639" xr:uid="{00000000-0005-0000-0000-000027910000}"/>
    <cellStyle name="Percent 2 2 7 2" xfId="20640" xr:uid="{00000000-0005-0000-0000-000028910000}"/>
    <cellStyle name="Percent 2 2 7 3" xfId="20641" xr:uid="{00000000-0005-0000-0000-000029910000}"/>
    <cellStyle name="Percent 2 2 8" xfId="20642" xr:uid="{00000000-0005-0000-0000-00002A910000}"/>
    <cellStyle name="Percent 2 2 8 2" xfId="20643" xr:uid="{00000000-0005-0000-0000-00002B910000}"/>
    <cellStyle name="Percent 2 2 8 3" xfId="20644" xr:uid="{00000000-0005-0000-0000-00002C910000}"/>
    <cellStyle name="Percent 2 2 9" xfId="20645" xr:uid="{00000000-0005-0000-0000-00002D910000}"/>
    <cellStyle name="Percent 2 2 9 2" xfId="20646" xr:uid="{00000000-0005-0000-0000-00002E910000}"/>
    <cellStyle name="Percent 2 2 9 3" xfId="20647" xr:uid="{00000000-0005-0000-0000-00002F910000}"/>
    <cellStyle name="Percent 2 20" xfId="20648" xr:uid="{00000000-0005-0000-0000-000030910000}"/>
    <cellStyle name="Percent 2 21" xfId="20649" xr:uid="{00000000-0005-0000-0000-000031910000}"/>
    <cellStyle name="Percent 2 22" xfId="20650" xr:uid="{00000000-0005-0000-0000-000032910000}"/>
    <cellStyle name="Percent 2 23" xfId="20651" xr:uid="{00000000-0005-0000-0000-000033910000}"/>
    <cellStyle name="Percent 2 24" xfId="20652" xr:uid="{00000000-0005-0000-0000-000034910000}"/>
    <cellStyle name="Percent 2 25" xfId="20653" xr:uid="{00000000-0005-0000-0000-000035910000}"/>
    <cellStyle name="Percent 2 26" xfId="20654" xr:uid="{00000000-0005-0000-0000-000036910000}"/>
    <cellStyle name="Percent 2 3" xfId="454" xr:uid="{00000000-0005-0000-0000-000037910000}"/>
    <cellStyle name="Percent 2 3 10" xfId="20656" xr:uid="{00000000-0005-0000-0000-000038910000}"/>
    <cellStyle name="Percent 2 3 11" xfId="20655" xr:uid="{00000000-0005-0000-0000-000039910000}"/>
    <cellStyle name="Percent 2 3 2" xfId="20657" xr:uid="{00000000-0005-0000-0000-00003A910000}"/>
    <cellStyle name="Percent 2 3 3" xfId="20658" xr:uid="{00000000-0005-0000-0000-00003B910000}"/>
    <cellStyle name="Percent 2 3 4" xfId="20659" xr:uid="{00000000-0005-0000-0000-00003C910000}"/>
    <cellStyle name="Percent 2 3 5" xfId="20660" xr:uid="{00000000-0005-0000-0000-00003D910000}"/>
    <cellStyle name="Percent 2 3 6" xfId="20661" xr:uid="{00000000-0005-0000-0000-00003E910000}"/>
    <cellStyle name="Percent 2 3 7" xfId="20662" xr:uid="{00000000-0005-0000-0000-00003F910000}"/>
    <cellStyle name="Percent 2 3 8" xfId="20663" xr:uid="{00000000-0005-0000-0000-000040910000}"/>
    <cellStyle name="Percent 2 3 9" xfId="20664" xr:uid="{00000000-0005-0000-0000-000041910000}"/>
    <cellStyle name="Percent 2 4" xfId="20665" xr:uid="{00000000-0005-0000-0000-000042910000}"/>
    <cellStyle name="Percent 2 4 10" xfId="20666" xr:uid="{00000000-0005-0000-0000-000043910000}"/>
    <cellStyle name="Percent 2 4 2" xfId="20667" xr:uid="{00000000-0005-0000-0000-000044910000}"/>
    <cellStyle name="Percent 2 4 3" xfId="20668" xr:uid="{00000000-0005-0000-0000-000045910000}"/>
    <cellStyle name="Percent 2 4 4" xfId="20669" xr:uid="{00000000-0005-0000-0000-000046910000}"/>
    <cellStyle name="Percent 2 4 5" xfId="20670" xr:uid="{00000000-0005-0000-0000-000047910000}"/>
    <cellStyle name="Percent 2 4 6" xfId="20671" xr:uid="{00000000-0005-0000-0000-000048910000}"/>
    <cellStyle name="Percent 2 4 7" xfId="20672" xr:uid="{00000000-0005-0000-0000-000049910000}"/>
    <cellStyle name="Percent 2 4 8" xfId="20673" xr:uid="{00000000-0005-0000-0000-00004A910000}"/>
    <cellStyle name="Percent 2 4 9" xfId="20674" xr:uid="{00000000-0005-0000-0000-00004B910000}"/>
    <cellStyle name="Percent 2 5" xfId="20675" xr:uid="{00000000-0005-0000-0000-00004C910000}"/>
    <cellStyle name="Percent 2 5 10" xfId="20676" xr:uid="{00000000-0005-0000-0000-00004D910000}"/>
    <cellStyle name="Percent 2 5 2" xfId="20677" xr:uid="{00000000-0005-0000-0000-00004E910000}"/>
    <cellStyle name="Percent 2 5 3" xfId="20678" xr:uid="{00000000-0005-0000-0000-00004F910000}"/>
    <cellStyle name="Percent 2 5 4" xfId="20679" xr:uid="{00000000-0005-0000-0000-000050910000}"/>
    <cellStyle name="Percent 2 5 5" xfId="20680" xr:uid="{00000000-0005-0000-0000-000051910000}"/>
    <cellStyle name="Percent 2 5 6" xfId="20681" xr:uid="{00000000-0005-0000-0000-000052910000}"/>
    <cellStyle name="Percent 2 5 7" xfId="20682" xr:uid="{00000000-0005-0000-0000-000053910000}"/>
    <cellStyle name="Percent 2 5 8" xfId="20683" xr:uid="{00000000-0005-0000-0000-000054910000}"/>
    <cellStyle name="Percent 2 5 9" xfId="20684" xr:uid="{00000000-0005-0000-0000-000055910000}"/>
    <cellStyle name="Percent 2 6" xfId="20685" xr:uid="{00000000-0005-0000-0000-000056910000}"/>
    <cellStyle name="Percent 2 6 10" xfId="20686" xr:uid="{00000000-0005-0000-0000-000057910000}"/>
    <cellStyle name="Percent 2 6 2" xfId="20687" xr:uid="{00000000-0005-0000-0000-000058910000}"/>
    <cellStyle name="Percent 2 6 3" xfId="20688" xr:uid="{00000000-0005-0000-0000-000059910000}"/>
    <cellStyle name="Percent 2 6 4" xfId="20689" xr:uid="{00000000-0005-0000-0000-00005A910000}"/>
    <cellStyle name="Percent 2 6 5" xfId="20690" xr:uid="{00000000-0005-0000-0000-00005B910000}"/>
    <cellStyle name="Percent 2 6 6" xfId="20691" xr:uid="{00000000-0005-0000-0000-00005C910000}"/>
    <cellStyle name="Percent 2 6 7" xfId="20692" xr:uid="{00000000-0005-0000-0000-00005D910000}"/>
    <cellStyle name="Percent 2 6 8" xfId="20693" xr:uid="{00000000-0005-0000-0000-00005E910000}"/>
    <cellStyle name="Percent 2 6 9" xfId="20694" xr:uid="{00000000-0005-0000-0000-00005F910000}"/>
    <cellStyle name="Percent 2 7" xfId="20695" xr:uid="{00000000-0005-0000-0000-000060910000}"/>
    <cellStyle name="Percent 2 8" xfId="20696" xr:uid="{00000000-0005-0000-0000-000061910000}"/>
    <cellStyle name="Percent 2 9" xfId="20697" xr:uid="{00000000-0005-0000-0000-000062910000}"/>
    <cellStyle name="Percent 20" xfId="20698" xr:uid="{00000000-0005-0000-0000-000063910000}"/>
    <cellStyle name="Percent 20 2" xfId="20699" xr:uid="{00000000-0005-0000-0000-000064910000}"/>
    <cellStyle name="Percent 21" xfId="20700" xr:uid="{00000000-0005-0000-0000-000065910000}"/>
    <cellStyle name="Percent 21 2" xfId="20701" xr:uid="{00000000-0005-0000-0000-000066910000}"/>
    <cellStyle name="Percent 22" xfId="20702" xr:uid="{00000000-0005-0000-0000-000067910000}"/>
    <cellStyle name="Percent 22 2" xfId="20703" xr:uid="{00000000-0005-0000-0000-000068910000}"/>
    <cellStyle name="Percent 23" xfId="20704" xr:uid="{00000000-0005-0000-0000-000069910000}"/>
    <cellStyle name="Percent 24" xfId="20705" xr:uid="{00000000-0005-0000-0000-00006A910000}"/>
    <cellStyle name="Percent 25" xfId="20706" xr:uid="{00000000-0005-0000-0000-00006B910000}"/>
    <cellStyle name="Percent 26" xfId="20707" xr:uid="{00000000-0005-0000-0000-00006C910000}"/>
    <cellStyle name="Percent 27" xfId="20708" xr:uid="{00000000-0005-0000-0000-00006D910000}"/>
    <cellStyle name="Percent 28" xfId="20709" xr:uid="{00000000-0005-0000-0000-00006E910000}"/>
    <cellStyle name="Percent 29" xfId="20710" xr:uid="{00000000-0005-0000-0000-00006F910000}"/>
    <cellStyle name="Percent 3" xfId="129" xr:uid="{00000000-0005-0000-0000-000070910000}"/>
    <cellStyle name="Percent 3 2" xfId="276" xr:uid="{00000000-0005-0000-0000-000071910000}"/>
    <cellStyle name="Percent 3 3" xfId="287" xr:uid="{00000000-0005-0000-0000-000072910000}"/>
    <cellStyle name="Percent 3 3 2" xfId="501" xr:uid="{00000000-0005-0000-0000-000073910000}"/>
    <cellStyle name="Percent 3 3 3" xfId="20711" xr:uid="{00000000-0005-0000-0000-000074910000}"/>
    <cellStyle name="Percent 3 4" xfId="315" xr:uid="{00000000-0005-0000-0000-000075910000}"/>
    <cellStyle name="Percent 3 4 2" xfId="20712" xr:uid="{00000000-0005-0000-0000-000076910000}"/>
    <cellStyle name="Percent 3 5" xfId="20713" xr:uid="{00000000-0005-0000-0000-000077910000}"/>
    <cellStyle name="Percent 30" xfId="20714" xr:uid="{00000000-0005-0000-0000-000078910000}"/>
    <cellStyle name="Percent 31" xfId="20715" xr:uid="{00000000-0005-0000-0000-000079910000}"/>
    <cellStyle name="Percent 32" xfId="20716" xr:uid="{00000000-0005-0000-0000-00007A910000}"/>
    <cellStyle name="Percent 33" xfId="20717" xr:uid="{00000000-0005-0000-0000-00007B910000}"/>
    <cellStyle name="Percent 34" xfId="20718" xr:uid="{00000000-0005-0000-0000-00007C910000}"/>
    <cellStyle name="Percent 35" xfId="20719" xr:uid="{00000000-0005-0000-0000-00007D910000}"/>
    <cellStyle name="Percent 36" xfId="20720" xr:uid="{00000000-0005-0000-0000-00007E910000}"/>
    <cellStyle name="Percent 37" xfId="20721" xr:uid="{00000000-0005-0000-0000-00007F910000}"/>
    <cellStyle name="Percent 38" xfId="20722" xr:uid="{00000000-0005-0000-0000-000080910000}"/>
    <cellStyle name="Percent 39" xfId="20723" xr:uid="{00000000-0005-0000-0000-000081910000}"/>
    <cellStyle name="Percent 39 2" xfId="20724" xr:uid="{00000000-0005-0000-0000-000082910000}"/>
    <cellStyle name="Percent 39 2 2" xfId="20725" xr:uid="{00000000-0005-0000-0000-000083910000}"/>
    <cellStyle name="Percent 39 3" xfId="20726" xr:uid="{00000000-0005-0000-0000-000084910000}"/>
    <cellStyle name="Percent 39 3 2" xfId="20727" xr:uid="{00000000-0005-0000-0000-000085910000}"/>
    <cellStyle name="Percent 39 4" xfId="20728" xr:uid="{00000000-0005-0000-0000-000086910000}"/>
    <cellStyle name="Percent 39 4 2" xfId="20729" xr:uid="{00000000-0005-0000-0000-000087910000}"/>
    <cellStyle name="Percent 39 5" xfId="20730" xr:uid="{00000000-0005-0000-0000-000088910000}"/>
    <cellStyle name="Percent 39 5 2" xfId="20731" xr:uid="{00000000-0005-0000-0000-000089910000}"/>
    <cellStyle name="Percent 39 6" xfId="20732" xr:uid="{00000000-0005-0000-0000-00008A910000}"/>
    <cellStyle name="Percent 39 6 2" xfId="20733" xr:uid="{00000000-0005-0000-0000-00008B910000}"/>
    <cellStyle name="Percent 39 7" xfId="20734" xr:uid="{00000000-0005-0000-0000-00008C910000}"/>
    <cellStyle name="Percent 39 7 2" xfId="20735" xr:uid="{00000000-0005-0000-0000-00008D910000}"/>
    <cellStyle name="Percent 39 8" xfId="20736" xr:uid="{00000000-0005-0000-0000-00008E910000}"/>
    <cellStyle name="Percent 4" xfId="130" xr:uid="{00000000-0005-0000-0000-00008F910000}"/>
    <cellStyle name="Percent 4 10" xfId="20737" xr:uid="{00000000-0005-0000-0000-000090910000}"/>
    <cellStyle name="Percent 4 11" xfId="20738" xr:uid="{00000000-0005-0000-0000-000091910000}"/>
    <cellStyle name="Percent 4 12" xfId="20739" xr:uid="{00000000-0005-0000-0000-000092910000}"/>
    <cellStyle name="Percent 4 13" xfId="20740" xr:uid="{00000000-0005-0000-0000-000093910000}"/>
    <cellStyle name="Percent 4 2" xfId="277" xr:uid="{00000000-0005-0000-0000-000094910000}"/>
    <cellStyle name="Percent 4 2 10" xfId="20742" xr:uid="{00000000-0005-0000-0000-000095910000}"/>
    <cellStyle name="Percent 4 2 2" xfId="20743" xr:uid="{00000000-0005-0000-0000-000096910000}"/>
    <cellStyle name="Percent 4 2 2 2" xfId="20744" xr:uid="{00000000-0005-0000-0000-000097910000}"/>
    <cellStyle name="Percent 4 2 2 3" xfId="20745" xr:uid="{00000000-0005-0000-0000-000098910000}"/>
    <cellStyle name="Percent 4 2 2 4" xfId="20746" xr:uid="{00000000-0005-0000-0000-000099910000}"/>
    <cellStyle name="Percent 4 2 3" xfId="20747" xr:uid="{00000000-0005-0000-0000-00009A910000}"/>
    <cellStyle name="Percent 4 2 4" xfId="20748" xr:uid="{00000000-0005-0000-0000-00009B910000}"/>
    <cellStyle name="Percent 4 2 5" xfId="20749" xr:uid="{00000000-0005-0000-0000-00009C910000}"/>
    <cellStyle name="Percent 4 2 6" xfId="20750" xr:uid="{00000000-0005-0000-0000-00009D910000}"/>
    <cellStyle name="Percent 4 2 7" xfId="20751" xr:uid="{00000000-0005-0000-0000-00009E910000}"/>
    <cellStyle name="Percent 4 2 8" xfId="20752" xr:uid="{00000000-0005-0000-0000-00009F910000}"/>
    <cellStyle name="Percent 4 2 9" xfId="20753" xr:uid="{00000000-0005-0000-0000-0000A0910000}"/>
    <cellStyle name="Percent 4 3" xfId="288" xr:uid="{00000000-0005-0000-0000-0000A1910000}"/>
    <cellStyle name="Percent 4 3 2" xfId="20754" xr:uid="{00000000-0005-0000-0000-0000A2910000}"/>
    <cellStyle name="Percent 4 4" xfId="20755" xr:uid="{00000000-0005-0000-0000-0000A3910000}"/>
    <cellStyle name="Percent 4 5" xfId="20756" xr:uid="{00000000-0005-0000-0000-0000A4910000}"/>
    <cellStyle name="Percent 4 6" xfId="20757" xr:uid="{00000000-0005-0000-0000-0000A5910000}"/>
    <cellStyle name="Percent 4 6 2" xfId="20758" xr:uid="{00000000-0005-0000-0000-0000A6910000}"/>
    <cellStyle name="Percent 4 6 3" xfId="20759" xr:uid="{00000000-0005-0000-0000-0000A7910000}"/>
    <cellStyle name="Percent 4 6 4" xfId="20760" xr:uid="{00000000-0005-0000-0000-0000A8910000}"/>
    <cellStyle name="Percent 4 7" xfId="20761" xr:uid="{00000000-0005-0000-0000-0000A9910000}"/>
    <cellStyle name="Percent 4 8" xfId="20762" xr:uid="{00000000-0005-0000-0000-0000AA910000}"/>
    <cellStyle name="Percent 4 9" xfId="20763" xr:uid="{00000000-0005-0000-0000-0000AB910000}"/>
    <cellStyle name="Percent 40" xfId="20764" xr:uid="{00000000-0005-0000-0000-0000AC910000}"/>
    <cellStyle name="Percent 40 2" xfId="20765" xr:uid="{00000000-0005-0000-0000-0000AD910000}"/>
    <cellStyle name="Percent 40 2 2" xfId="20766" xr:uid="{00000000-0005-0000-0000-0000AE910000}"/>
    <cellStyle name="Percent 40 3" xfId="20767" xr:uid="{00000000-0005-0000-0000-0000AF910000}"/>
    <cellStyle name="Percent 40 3 2" xfId="20768" xr:uid="{00000000-0005-0000-0000-0000B0910000}"/>
    <cellStyle name="Percent 40 4" xfId="20769" xr:uid="{00000000-0005-0000-0000-0000B1910000}"/>
    <cellStyle name="Percent 40 4 2" xfId="20770" xr:uid="{00000000-0005-0000-0000-0000B2910000}"/>
    <cellStyle name="Percent 40 5" xfId="20771" xr:uid="{00000000-0005-0000-0000-0000B3910000}"/>
    <cellStyle name="Percent 40 5 2" xfId="20772" xr:uid="{00000000-0005-0000-0000-0000B4910000}"/>
    <cellStyle name="Percent 40 6" xfId="20773" xr:uid="{00000000-0005-0000-0000-0000B5910000}"/>
    <cellStyle name="Percent 40 6 2" xfId="20774" xr:uid="{00000000-0005-0000-0000-0000B6910000}"/>
    <cellStyle name="Percent 40 7" xfId="20775" xr:uid="{00000000-0005-0000-0000-0000B7910000}"/>
    <cellStyle name="Percent 40 7 2" xfId="20776" xr:uid="{00000000-0005-0000-0000-0000B8910000}"/>
    <cellStyle name="Percent 40 8" xfId="20777" xr:uid="{00000000-0005-0000-0000-0000B9910000}"/>
    <cellStyle name="Percent 41" xfId="20778" xr:uid="{00000000-0005-0000-0000-0000BA910000}"/>
    <cellStyle name="Percent 41 2" xfId="20779" xr:uid="{00000000-0005-0000-0000-0000BB910000}"/>
    <cellStyle name="Percent 42" xfId="20780" xr:uid="{00000000-0005-0000-0000-0000BC910000}"/>
    <cellStyle name="Percent 42 2" xfId="20781" xr:uid="{00000000-0005-0000-0000-0000BD910000}"/>
    <cellStyle name="Percent 42 2 2" xfId="20782" xr:uid="{00000000-0005-0000-0000-0000BE910000}"/>
    <cellStyle name="Percent 42 3" xfId="20783" xr:uid="{00000000-0005-0000-0000-0000BF910000}"/>
    <cellStyle name="Percent 42 3 2" xfId="20784" xr:uid="{00000000-0005-0000-0000-0000C0910000}"/>
    <cellStyle name="Percent 42 4" xfId="20785" xr:uid="{00000000-0005-0000-0000-0000C1910000}"/>
    <cellStyle name="Percent 42 4 2" xfId="20786" xr:uid="{00000000-0005-0000-0000-0000C2910000}"/>
    <cellStyle name="Percent 42 5" xfId="20787" xr:uid="{00000000-0005-0000-0000-0000C3910000}"/>
    <cellStyle name="Percent 42 5 2" xfId="20788" xr:uid="{00000000-0005-0000-0000-0000C4910000}"/>
    <cellStyle name="Percent 42 6" xfId="20789" xr:uid="{00000000-0005-0000-0000-0000C5910000}"/>
    <cellStyle name="Percent 42 6 2" xfId="20790" xr:uid="{00000000-0005-0000-0000-0000C6910000}"/>
    <cellStyle name="Percent 42 7" xfId="20791" xr:uid="{00000000-0005-0000-0000-0000C7910000}"/>
    <cellStyle name="Percent 42 7 2" xfId="20792" xr:uid="{00000000-0005-0000-0000-0000C8910000}"/>
    <cellStyle name="Percent 42 8" xfId="20793" xr:uid="{00000000-0005-0000-0000-0000C9910000}"/>
    <cellStyle name="Percent 43" xfId="20794" xr:uid="{00000000-0005-0000-0000-0000CA910000}"/>
    <cellStyle name="Percent 43 10" xfId="20795" xr:uid="{00000000-0005-0000-0000-0000CB910000}"/>
    <cellStyle name="Percent 43 2" xfId="20796" xr:uid="{00000000-0005-0000-0000-0000CC910000}"/>
    <cellStyle name="Percent 43 3" xfId="20797" xr:uid="{00000000-0005-0000-0000-0000CD910000}"/>
    <cellStyle name="Percent 43 4" xfId="20798" xr:uid="{00000000-0005-0000-0000-0000CE910000}"/>
    <cellStyle name="Percent 43 5" xfId="20799" xr:uid="{00000000-0005-0000-0000-0000CF910000}"/>
    <cellStyle name="Percent 43 6" xfId="20800" xr:uid="{00000000-0005-0000-0000-0000D0910000}"/>
    <cellStyle name="Percent 43 7" xfId="20801" xr:uid="{00000000-0005-0000-0000-0000D1910000}"/>
    <cellStyle name="Percent 43 8" xfId="20802" xr:uid="{00000000-0005-0000-0000-0000D2910000}"/>
    <cellStyle name="Percent 43 9" xfId="20803" xr:uid="{00000000-0005-0000-0000-0000D3910000}"/>
    <cellStyle name="Percent 44" xfId="20804" xr:uid="{00000000-0005-0000-0000-0000D4910000}"/>
    <cellStyle name="Percent 44 10" xfId="20805" xr:uid="{00000000-0005-0000-0000-0000D5910000}"/>
    <cellStyle name="Percent 44 2" xfId="20806" xr:uid="{00000000-0005-0000-0000-0000D6910000}"/>
    <cellStyle name="Percent 44 3" xfId="20807" xr:uid="{00000000-0005-0000-0000-0000D7910000}"/>
    <cellStyle name="Percent 44 4" xfId="20808" xr:uid="{00000000-0005-0000-0000-0000D8910000}"/>
    <cellStyle name="Percent 44 5" xfId="20809" xr:uid="{00000000-0005-0000-0000-0000D9910000}"/>
    <cellStyle name="Percent 44 6" xfId="20810" xr:uid="{00000000-0005-0000-0000-0000DA910000}"/>
    <cellStyle name="Percent 44 7" xfId="20811" xr:uid="{00000000-0005-0000-0000-0000DB910000}"/>
    <cellStyle name="Percent 44 8" xfId="20812" xr:uid="{00000000-0005-0000-0000-0000DC910000}"/>
    <cellStyle name="Percent 44 9" xfId="20813" xr:uid="{00000000-0005-0000-0000-0000DD910000}"/>
    <cellStyle name="Percent 45" xfId="20814" xr:uid="{00000000-0005-0000-0000-0000DE910000}"/>
    <cellStyle name="Percent 45 10" xfId="20815" xr:uid="{00000000-0005-0000-0000-0000DF910000}"/>
    <cellStyle name="Percent 45 2" xfId="20816" xr:uid="{00000000-0005-0000-0000-0000E0910000}"/>
    <cellStyle name="Percent 45 3" xfId="20817" xr:uid="{00000000-0005-0000-0000-0000E1910000}"/>
    <cellStyle name="Percent 45 4" xfId="20818" xr:uid="{00000000-0005-0000-0000-0000E2910000}"/>
    <cellStyle name="Percent 45 5" xfId="20819" xr:uid="{00000000-0005-0000-0000-0000E3910000}"/>
    <cellStyle name="Percent 45 6" xfId="20820" xr:uid="{00000000-0005-0000-0000-0000E4910000}"/>
    <cellStyle name="Percent 45 7" xfId="20821" xr:uid="{00000000-0005-0000-0000-0000E5910000}"/>
    <cellStyle name="Percent 45 8" xfId="20822" xr:uid="{00000000-0005-0000-0000-0000E6910000}"/>
    <cellStyle name="Percent 45 9" xfId="20823" xr:uid="{00000000-0005-0000-0000-0000E7910000}"/>
    <cellStyle name="Percent 46" xfId="20824" xr:uid="{00000000-0005-0000-0000-0000E8910000}"/>
    <cellStyle name="Percent 46 10" xfId="20825" xr:uid="{00000000-0005-0000-0000-0000E9910000}"/>
    <cellStyle name="Percent 46 2" xfId="20826" xr:uid="{00000000-0005-0000-0000-0000EA910000}"/>
    <cellStyle name="Percent 46 3" xfId="20827" xr:uid="{00000000-0005-0000-0000-0000EB910000}"/>
    <cellStyle name="Percent 46 4" xfId="20828" xr:uid="{00000000-0005-0000-0000-0000EC910000}"/>
    <cellStyle name="Percent 46 5" xfId="20829" xr:uid="{00000000-0005-0000-0000-0000ED910000}"/>
    <cellStyle name="Percent 46 6" xfId="20830" xr:uid="{00000000-0005-0000-0000-0000EE910000}"/>
    <cellStyle name="Percent 46 7" xfId="20831" xr:uid="{00000000-0005-0000-0000-0000EF910000}"/>
    <cellStyle name="Percent 46 8" xfId="20832" xr:uid="{00000000-0005-0000-0000-0000F0910000}"/>
    <cellStyle name="Percent 46 9" xfId="20833" xr:uid="{00000000-0005-0000-0000-0000F1910000}"/>
    <cellStyle name="Percent 47" xfId="20834" xr:uid="{00000000-0005-0000-0000-0000F2910000}"/>
    <cellStyle name="Percent 47 10" xfId="20835" xr:uid="{00000000-0005-0000-0000-0000F3910000}"/>
    <cellStyle name="Percent 47 2" xfId="20836" xr:uid="{00000000-0005-0000-0000-0000F4910000}"/>
    <cellStyle name="Percent 47 3" xfId="20837" xr:uid="{00000000-0005-0000-0000-0000F5910000}"/>
    <cellStyle name="Percent 47 4" xfId="20838" xr:uid="{00000000-0005-0000-0000-0000F6910000}"/>
    <cellStyle name="Percent 47 5" xfId="20839" xr:uid="{00000000-0005-0000-0000-0000F7910000}"/>
    <cellStyle name="Percent 47 6" xfId="20840" xr:uid="{00000000-0005-0000-0000-0000F8910000}"/>
    <cellStyle name="Percent 47 7" xfId="20841" xr:uid="{00000000-0005-0000-0000-0000F9910000}"/>
    <cellStyle name="Percent 47 8" xfId="20842" xr:uid="{00000000-0005-0000-0000-0000FA910000}"/>
    <cellStyle name="Percent 47 9" xfId="20843" xr:uid="{00000000-0005-0000-0000-0000FB910000}"/>
    <cellStyle name="Percent 48" xfId="20844" xr:uid="{00000000-0005-0000-0000-0000FC910000}"/>
    <cellStyle name="Percent 48 10" xfId="20845" xr:uid="{00000000-0005-0000-0000-0000FD910000}"/>
    <cellStyle name="Percent 48 2" xfId="20846" xr:uid="{00000000-0005-0000-0000-0000FE910000}"/>
    <cellStyle name="Percent 48 3" xfId="20847" xr:uid="{00000000-0005-0000-0000-0000FF910000}"/>
    <cellStyle name="Percent 48 4" xfId="20848" xr:uid="{00000000-0005-0000-0000-000000920000}"/>
    <cellStyle name="Percent 48 5" xfId="20849" xr:uid="{00000000-0005-0000-0000-000001920000}"/>
    <cellStyle name="Percent 48 6" xfId="20850" xr:uid="{00000000-0005-0000-0000-000002920000}"/>
    <cellStyle name="Percent 48 7" xfId="20851" xr:uid="{00000000-0005-0000-0000-000003920000}"/>
    <cellStyle name="Percent 48 8" xfId="20852" xr:uid="{00000000-0005-0000-0000-000004920000}"/>
    <cellStyle name="Percent 48 9" xfId="20853" xr:uid="{00000000-0005-0000-0000-000005920000}"/>
    <cellStyle name="Percent 49" xfId="673" xr:uid="{00000000-0005-0000-0000-000006920000}"/>
    <cellStyle name="Percent 5" xfId="131" xr:uid="{00000000-0005-0000-0000-000007920000}"/>
    <cellStyle name="Percent 5 2" xfId="278" xr:uid="{00000000-0005-0000-0000-000008920000}"/>
    <cellStyle name="Percent 5 3" xfId="20854" xr:uid="{00000000-0005-0000-0000-000009920000}"/>
    <cellStyle name="Percent 5 4" xfId="20855" xr:uid="{00000000-0005-0000-0000-00000A920000}"/>
    <cellStyle name="Percent 5 5" xfId="20856" xr:uid="{00000000-0005-0000-0000-00000B920000}"/>
    <cellStyle name="Percent 5 6" xfId="37597" xr:uid="{00000000-0005-0000-0000-00000C920000}"/>
    <cellStyle name="Percent 50" xfId="328" xr:uid="{00000000-0005-0000-0000-00000D920000}"/>
    <cellStyle name="Percent 50 2" xfId="21155" xr:uid="{00000000-0005-0000-0000-00000E920000}"/>
    <cellStyle name="Percent 51 2" xfId="20857" xr:uid="{00000000-0005-0000-0000-00000F920000}"/>
    <cellStyle name="Percent 51 3" xfId="20858" xr:uid="{00000000-0005-0000-0000-000010920000}"/>
    <cellStyle name="Percent 51 4" xfId="20859" xr:uid="{00000000-0005-0000-0000-000011920000}"/>
    <cellStyle name="Percent 52 2" xfId="20860" xr:uid="{00000000-0005-0000-0000-000012920000}"/>
    <cellStyle name="Percent 52 3" xfId="20861" xr:uid="{00000000-0005-0000-0000-000013920000}"/>
    <cellStyle name="Percent 52 4" xfId="20862" xr:uid="{00000000-0005-0000-0000-000014920000}"/>
    <cellStyle name="Percent 52 5" xfId="20863" xr:uid="{00000000-0005-0000-0000-000015920000}"/>
    <cellStyle name="Percent 52 6" xfId="20864" xr:uid="{00000000-0005-0000-0000-000016920000}"/>
    <cellStyle name="Percent 52 7" xfId="20865" xr:uid="{00000000-0005-0000-0000-000017920000}"/>
    <cellStyle name="Percent 52 8" xfId="20866" xr:uid="{00000000-0005-0000-0000-000018920000}"/>
    <cellStyle name="Percent 55 2" xfId="20867" xr:uid="{00000000-0005-0000-0000-000019920000}"/>
    <cellStyle name="Percent 55 3" xfId="20868" xr:uid="{00000000-0005-0000-0000-00001A920000}"/>
    <cellStyle name="Percent 57 2" xfId="20869" xr:uid="{00000000-0005-0000-0000-00001B920000}"/>
    <cellStyle name="Percent 57 2 2" xfId="20870" xr:uid="{00000000-0005-0000-0000-00001C920000}"/>
    <cellStyle name="Percent 57 2 3" xfId="20871" xr:uid="{00000000-0005-0000-0000-00001D920000}"/>
    <cellStyle name="Percent 57 3" xfId="20872" xr:uid="{00000000-0005-0000-0000-00001E920000}"/>
    <cellStyle name="Percent 57 4" xfId="20873" xr:uid="{00000000-0005-0000-0000-00001F920000}"/>
    <cellStyle name="Percent 58 2" xfId="20874" xr:uid="{00000000-0005-0000-0000-000020920000}"/>
    <cellStyle name="Percent 58 3" xfId="20875" xr:uid="{00000000-0005-0000-0000-000021920000}"/>
    <cellStyle name="Percent 59 2" xfId="20876" xr:uid="{00000000-0005-0000-0000-000022920000}"/>
    <cellStyle name="Percent 59 3" xfId="20877" xr:uid="{00000000-0005-0000-0000-000023920000}"/>
    <cellStyle name="Percent 6" xfId="132" xr:uid="{00000000-0005-0000-0000-000024920000}"/>
    <cellStyle name="Percent 6 2" xfId="279" xr:uid="{00000000-0005-0000-0000-000025920000}"/>
    <cellStyle name="Percent 6 3" xfId="20878" xr:uid="{00000000-0005-0000-0000-000026920000}"/>
    <cellStyle name="Percent 6 4" xfId="20879" xr:uid="{00000000-0005-0000-0000-000027920000}"/>
    <cellStyle name="Percent 6 5" xfId="20880" xr:uid="{00000000-0005-0000-0000-000028920000}"/>
    <cellStyle name="Percent 6 6" xfId="37598" xr:uid="{00000000-0005-0000-0000-000029920000}"/>
    <cellStyle name="Percent 60 2" xfId="20881" xr:uid="{00000000-0005-0000-0000-00002A920000}"/>
    <cellStyle name="Percent 60 3" xfId="20882" xr:uid="{00000000-0005-0000-0000-00002B920000}"/>
    <cellStyle name="Percent 61 2" xfId="20883" xr:uid="{00000000-0005-0000-0000-00002C920000}"/>
    <cellStyle name="Percent 61 3" xfId="20884" xr:uid="{00000000-0005-0000-0000-00002D920000}"/>
    <cellStyle name="Percent 62" xfId="20885" xr:uid="{00000000-0005-0000-0000-00002E920000}"/>
    <cellStyle name="Percent 64" xfId="20886" xr:uid="{00000000-0005-0000-0000-00002F920000}"/>
    <cellStyle name="Percent 68" xfId="20887" xr:uid="{00000000-0005-0000-0000-000030920000}"/>
    <cellStyle name="Percent 7" xfId="133" xr:uid="{00000000-0005-0000-0000-000031920000}"/>
    <cellStyle name="Percent 7 10" xfId="20888" xr:uid="{00000000-0005-0000-0000-000032920000}"/>
    <cellStyle name="Percent 7 11" xfId="20889" xr:uid="{00000000-0005-0000-0000-000033920000}"/>
    <cellStyle name="Percent 7 12" xfId="37690" xr:uid="{00000000-0005-0000-0000-000034920000}"/>
    <cellStyle name="Percent 7 13" xfId="37599" xr:uid="{00000000-0005-0000-0000-000035920000}"/>
    <cellStyle name="Percent 7 2" xfId="306" xr:uid="{00000000-0005-0000-0000-000036920000}"/>
    <cellStyle name="Percent 7 2 10" xfId="20890" xr:uid="{00000000-0005-0000-0000-000037920000}"/>
    <cellStyle name="Percent 7 2 2" xfId="20891" xr:uid="{00000000-0005-0000-0000-000038920000}"/>
    <cellStyle name="Percent 7 2 3" xfId="20892" xr:uid="{00000000-0005-0000-0000-000039920000}"/>
    <cellStyle name="Percent 7 2 4" xfId="20893" xr:uid="{00000000-0005-0000-0000-00003A920000}"/>
    <cellStyle name="Percent 7 2 5" xfId="20894" xr:uid="{00000000-0005-0000-0000-00003B920000}"/>
    <cellStyle name="Percent 7 2 6" xfId="20895" xr:uid="{00000000-0005-0000-0000-00003C920000}"/>
    <cellStyle name="Percent 7 2 7" xfId="20896" xr:uid="{00000000-0005-0000-0000-00003D920000}"/>
    <cellStyle name="Percent 7 2 8" xfId="20897" xr:uid="{00000000-0005-0000-0000-00003E920000}"/>
    <cellStyle name="Percent 7 2 9" xfId="20898" xr:uid="{00000000-0005-0000-0000-00003F920000}"/>
    <cellStyle name="Percent 7 3" xfId="20899" xr:uid="{00000000-0005-0000-0000-000040920000}"/>
    <cellStyle name="Percent 7 3 10" xfId="20900" xr:uid="{00000000-0005-0000-0000-000041920000}"/>
    <cellStyle name="Percent 7 3 2" xfId="20901" xr:uid="{00000000-0005-0000-0000-000042920000}"/>
    <cellStyle name="Percent 7 3 3" xfId="20902" xr:uid="{00000000-0005-0000-0000-000043920000}"/>
    <cellStyle name="Percent 7 3 4" xfId="20903" xr:uid="{00000000-0005-0000-0000-000044920000}"/>
    <cellStyle name="Percent 7 3 5" xfId="20904" xr:uid="{00000000-0005-0000-0000-000045920000}"/>
    <cellStyle name="Percent 7 3 6" xfId="20905" xr:uid="{00000000-0005-0000-0000-000046920000}"/>
    <cellStyle name="Percent 7 3 7" xfId="20906" xr:uid="{00000000-0005-0000-0000-000047920000}"/>
    <cellStyle name="Percent 7 3 8" xfId="20907" xr:uid="{00000000-0005-0000-0000-000048920000}"/>
    <cellStyle name="Percent 7 3 9" xfId="20908" xr:uid="{00000000-0005-0000-0000-000049920000}"/>
    <cellStyle name="Percent 7 4" xfId="20909" xr:uid="{00000000-0005-0000-0000-00004A920000}"/>
    <cellStyle name="Percent 7 4 10" xfId="20910" xr:uid="{00000000-0005-0000-0000-00004B920000}"/>
    <cellStyle name="Percent 7 4 2" xfId="20911" xr:uid="{00000000-0005-0000-0000-00004C920000}"/>
    <cellStyle name="Percent 7 4 3" xfId="20912" xr:uid="{00000000-0005-0000-0000-00004D920000}"/>
    <cellStyle name="Percent 7 4 4" xfId="20913" xr:uid="{00000000-0005-0000-0000-00004E920000}"/>
    <cellStyle name="Percent 7 4 5" xfId="20914" xr:uid="{00000000-0005-0000-0000-00004F920000}"/>
    <cellStyle name="Percent 7 4 6" xfId="20915" xr:uid="{00000000-0005-0000-0000-000050920000}"/>
    <cellStyle name="Percent 7 4 7" xfId="20916" xr:uid="{00000000-0005-0000-0000-000051920000}"/>
    <cellStyle name="Percent 7 4 8" xfId="20917" xr:uid="{00000000-0005-0000-0000-000052920000}"/>
    <cellStyle name="Percent 7 4 9" xfId="20918" xr:uid="{00000000-0005-0000-0000-000053920000}"/>
    <cellStyle name="Percent 7 5" xfId="20919" xr:uid="{00000000-0005-0000-0000-000054920000}"/>
    <cellStyle name="Percent 7 5 10" xfId="20920" xr:uid="{00000000-0005-0000-0000-000055920000}"/>
    <cellStyle name="Percent 7 5 2" xfId="20921" xr:uid="{00000000-0005-0000-0000-000056920000}"/>
    <cellStyle name="Percent 7 5 3" xfId="20922" xr:uid="{00000000-0005-0000-0000-000057920000}"/>
    <cellStyle name="Percent 7 5 4" xfId="20923" xr:uid="{00000000-0005-0000-0000-000058920000}"/>
    <cellStyle name="Percent 7 5 5" xfId="20924" xr:uid="{00000000-0005-0000-0000-000059920000}"/>
    <cellStyle name="Percent 7 5 6" xfId="20925" xr:uid="{00000000-0005-0000-0000-00005A920000}"/>
    <cellStyle name="Percent 7 5 7" xfId="20926" xr:uid="{00000000-0005-0000-0000-00005B920000}"/>
    <cellStyle name="Percent 7 5 8" xfId="20927" xr:uid="{00000000-0005-0000-0000-00005C920000}"/>
    <cellStyle name="Percent 7 5 9" xfId="20928" xr:uid="{00000000-0005-0000-0000-00005D920000}"/>
    <cellStyle name="Percent 7 6" xfId="20929" xr:uid="{00000000-0005-0000-0000-00005E920000}"/>
    <cellStyle name="Percent 7 6 10" xfId="20930" xr:uid="{00000000-0005-0000-0000-00005F920000}"/>
    <cellStyle name="Percent 7 6 2" xfId="20931" xr:uid="{00000000-0005-0000-0000-000060920000}"/>
    <cellStyle name="Percent 7 6 3" xfId="20932" xr:uid="{00000000-0005-0000-0000-000061920000}"/>
    <cellStyle name="Percent 7 6 4" xfId="20933" xr:uid="{00000000-0005-0000-0000-000062920000}"/>
    <cellStyle name="Percent 7 6 5" xfId="20934" xr:uid="{00000000-0005-0000-0000-000063920000}"/>
    <cellStyle name="Percent 7 6 6" xfId="20935" xr:uid="{00000000-0005-0000-0000-000064920000}"/>
    <cellStyle name="Percent 7 6 7" xfId="20936" xr:uid="{00000000-0005-0000-0000-000065920000}"/>
    <cellStyle name="Percent 7 6 8" xfId="20937" xr:uid="{00000000-0005-0000-0000-000066920000}"/>
    <cellStyle name="Percent 7 6 9" xfId="20938" xr:uid="{00000000-0005-0000-0000-000067920000}"/>
    <cellStyle name="Percent 7 7" xfId="20939" xr:uid="{00000000-0005-0000-0000-000068920000}"/>
    <cellStyle name="Percent 7 7 10" xfId="20940" xr:uid="{00000000-0005-0000-0000-000069920000}"/>
    <cellStyle name="Percent 7 7 2" xfId="20941" xr:uid="{00000000-0005-0000-0000-00006A920000}"/>
    <cellStyle name="Percent 7 7 3" xfId="20942" xr:uid="{00000000-0005-0000-0000-00006B920000}"/>
    <cellStyle name="Percent 7 7 4" xfId="20943" xr:uid="{00000000-0005-0000-0000-00006C920000}"/>
    <cellStyle name="Percent 7 7 5" xfId="20944" xr:uid="{00000000-0005-0000-0000-00006D920000}"/>
    <cellStyle name="Percent 7 7 6" xfId="20945" xr:uid="{00000000-0005-0000-0000-00006E920000}"/>
    <cellStyle name="Percent 7 7 7" xfId="20946" xr:uid="{00000000-0005-0000-0000-00006F920000}"/>
    <cellStyle name="Percent 7 7 8" xfId="20947" xr:uid="{00000000-0005-0000-0000-000070920000}"/>
    <cellStyle name="Percent 7 7 9" xfId="20948" xr:uid="{00000000-0005-0000-0000-000071920000}"/>
    <cellStyle name="Percent 7 8" xfId="20949" xr:uid="{00000000-0005-0000-0000-000072920000}"/>
    <cellStyle name="Percent 7 9" xfId="20950" xr:uid="{00000000-0005-0000-0000-000073920000}"/>
    <cellStyle name="Percent 8" xfId="134" xr:uid="{00000000-0005-0000-0000-000074920000}"/>
    <cellStyle name="Percent 8 10" xfId="20951" xr:uid="{00000000-0005-0000-0000-000075920000}"/>
    <cellStyle name="Percent 8 11" xfId="20952" xr:uid="{00000000-0005-0000-0000-000076920000}"/>
    <cellStyle name="Percent 8 2" xfId="280" xr:uid="{00000000-0005-0000-0000-000077920000}"/>
    <cellStyle name="Percent 8 2 10" xfId="20953" xr:uid="{00000000-0005-0000-0000-000078920000}"/>
    <cellStyle name="Percent 8 2 2" xfId="20954" xr:uid="{00000000-0005-0000-0000-000079920000}"/>
    <cellStyle name="Percent 8 2 3" xfId="20955" xr:uid="{00000000-0005-0000-0000-00007A920000}"/>
    <cellStyle name="Percent 8 2 4" xfId="20956" xr:uid="{00000000-0005-0000-0000-00007B920000}"/>
    <cellStyle name="Percent 8 2 5" xfId="20957" xr:uid="{00000000-0005-0000-0000-00007C920000}"/>
    <cellStyle name="Percent 8 2 6" xfId="20958" xr:uid="{00000000-0005-0000-0000-00007D920000}"/>
    <cellStyle name="Percent 8 2 7" xfId="20959" xr:uid="{00000000-0005-0000-0000-00007E920000}"/>
    <cellStyle name="Percent 8 2 8" xfId="20960" xr:uid="{00000000-0005-0000-0000-00007F920000}"/>
    <cellStyle name="Percent 8 2 9" xfId="20961" xr:uid="{00000000-0005-0000-0000-000080920000}"/>
    <cellStyle name="Percent 8 3" xfId="20962" xr:uid="{00000000-0005-0000-0000-000081920000}"/>
    <cellStyle name="Percent 8 3 10" xfId="20963" xr:uid="{00000000-0005-0000-0000-000082920000}"/>
    <cellStyle name="Percent 8 3 2" xfId="20964" xr:uid="{00000000-0005-0000-0000-000083920000}"/>
    <cellStyle name="Percent 8 3 3" xfId="20965" xr:uid="{00000000-0005-0000-0000-000084920000}"/>
    <cellStyle name="Percent 8 3 4" xfId="20966" xr:uid="{00000000-0005-0000-0000-000085920000}"/>
    <cellStyle name="Percent 8 3 5" xfId="20967" xr:uid="{00000000-0005-0000-0000-000086920000}"/>
    <cellStyle name="Percent 8 3 6" xfId="20968" xr:uid="{00000000-0005-0000-0000-000087920000}"/>
    <cellStyle name="Percent 8 3 7" xfId="20969" xr:uid="{00000000-0005-0000-0000-000088920000}"/>
    <cellStyle name="Percent 8 3 8" xfId="20970" xr:uid="{00000000-0005-0000-0000-000089920000}"/>
    <cellStyle name="Percent 8 3 9" xfId="20971" xr:uid="{00000000-0005-0000-0000-00008A920000}"/>
    <cellStyle name="Percent 8 4" xfId="20972" xr:uid="{00000000-0005-0000-0000-00008B920000}"/>
    <cellStyle name="Percent 8 4 10" xfId="20973" xr:uid="{00000000-0005-0000-0000-00008C920000}"/>
    <cellStyle name="Percent 8 4 2" xfId="20974" xr:uid="{00000000-0005-0000-0000-00008D920000}"/>
    <cellStyle name="Percent 8 4 3" xfId="20975" xr:uid="{00000000-0005-0000-0000-00008E920000}"/>
    <cellStyle name="Percent 8 4 4" xfId="20976" xr:uid="{00000000-0005-0000-0000-00008F920000}"/>
    <cellStyle name="Percent 8 4 5" xfId="20977" xr:uid="{00000000-0005-0000-0000-000090920000}"/>
    <cellStyle name="Percent 8 4 6" xfId="20978" xr:uid="{00000000-0005-0000-0000-000091920000}"/>
    <cellStyle name="Percent 8 4 7" xfId="20979" xr:uid="{00000000-0005-0000-0000-000092920000}"/>
    <cellStyle name="Percent 8 4 8" xfId="20980" xr:uid="{00000000-0005-0000-0000-000093920000}"/>
    <cellStyle name="Percent 8 4 9" xfId="20981" xr:uid="{00000000-0005-0000-0000-000094920000}"/>
    <cellStyle name="Percent 8 5" xfId="20982" xr:uid="{00000000-0005-0000-0000-000095920000}"/>
    <cellStyle name="Percent 8 5 10" xfId="20983" xr:uid="{00000000-0005-0000-0000-000096920000}"/>
    <cellStyle name="Percent 8 5 2" xfId="20984" xr:uid="{00000000-0005-0000-0000-000097920000}"/>
    <cellStyle name="Percent 8 5 3" xfId="20985" xr:uid="{00000000-0005-0000-0000-000098920000}"/>
    <cellStyle name="Percent 8 5 4" xfId="20986" xr:uid="{00000000-0005-0000-0000-000099920000}"/>
    <cellStyle name="Percent 8 5 5" xfId="20987" xr:uid="{00000000-0005-0000-0000-00009A920000}"/>
    <cellStyle name="Percent 8 5 6" xfId="20988" xr:uid="{00000000-0005-0000-0000-00009B920000}"/>
    <cellStyle name="Percent 8 5 7" xfId="20989" xr:uid="{00000000-0005-0000-0000-00009C920000}"/>
    <cellStyle name="Percent 8 5 8" xfId="20990" xr:uid="{00000000-0005-0000-0000-00009D920000}"/>
    <cellStyle name="Percent 8 5 9" xfId="20991" xr:uid="{00000000-0005-0000-0000-00009E920000}"/>
    <cellStyle name="Percent 8 6" xfId="20992" xr:uid="{00000000-0005-0000-0000-00009F920000}"/>
    <cellStyle name="Percent 8 6 10" xfId="20993" xr:uid="{00000000-0005-0000-0000-0000A0920000}"/>
    <cellStyle name="Percent 8 6 2" xfId="20994" xr:uid="{00000000-0005-0000-0000-0000A1920000}"/>
    <cellStyle name="Percent 8 6 3" xfId="20995" xr:uid="{00000000-0005-0000-0000-0000A2920000}"/>
    <cellStyle name="Percent 8 6 4" xfId="20996" xr:uid="{00000000-0005-0000-0000-0000A3920000}"/>
    <cellStyle name="Percent 8 6 5" xfId="20997" xr:uid="{00000000-0005-0000-0000-0000A4920000}"/>
    <cellStyle name="Percent 8 6 6" xfId="20998" xr:uid="{00000000-0005-0000-0000-0000A5920000}"/>
    <cellStyle name="Percent 8 6 7" xfId="20999" xr:uid="{00000000-0005-0000-0000-0000A6920000}"/>
    <cellStyle name="Percent 8 6 8" xfId="21000" xr:uid="{00000000-0005-0000-0000-0000A7920000}"/>
    <cellStyle name="Percent 8 6 9" xfId="21001" xr:uid="{00000000-0005-0000-0000-0000A8920000}"/>
    <cellStyle name="Percent 8 7" xfId="21002" xr:uid="{00000000-0005-0000-0000-0000A9920000}"/>
    <cellStyle name="Percent 8 7 10" xfId="21003" xr:uid="{00000000-0005-0000-0000-0000AA920000}"/>
    <cellStyle name="Percent 8 7 2" xfId="21004" xr:uid="{00000000-0005-0000-0000-0000AB920000}"/>
    <cellStyle name="Percent 8 7 3" xfId="21005" xr:uid="{00000000-0005-0000-0000-0000AC920000}"/>
    <cellStyle name="Percent 8 7 4" xfId="21006" xr:uid="{00000000-0005-0000-0000-0000AD920000}"/>
    <cellStyle name="Percent 8 7 5" xfId="21007" xr:uid="{00000000-0005-0000-0000-0000AE920000}"/>
    <cellStyle name="Percent 8 7 6" xfId="21008" xr:uid="{00000000-0005-0000-0000-0000AF920000}"/>
    <cellStyle name="Percent 8 7 7" xfId="21009" xr:uid="{00000000-0005-0000-0000-0000B0920000}"/>
    <cellStyle name="Percent 8 7 8" xfId="21010" xr:uid="{00000000-0005-0000-0000-0000B1920000}"/>
    <cellStyle name="Percent 8 7 9" xfId="21011" xr:uid="{00000000-0005-0000-0000-0000B2920000}"/>
    <cellStyle name="Percent 8 8" xfId="21012" xr:uid="{00000000-0005-0000-0000-0000B3920000}"/>
    <cellStyle name="Percent 8 9" xfId="21013" xr:uid="{00000000-0005-0000-0000-0000B4920000}"/>
    <cellStyle name="Percent 9" xfId="135" xr:uid="{00000000-0005-0000-0000-0000B5920000}"/>
    <cellStyle name="Percent 9 2" xfId="21014" xr:uid="{00000000-0005-0000-0000-0000B6920000}"/>
    <cellStyle name="Percent 9 3" xfId="21015" xr:uid="{00000000-0005-0000-0000-0000B7920000}"/>
    <cellStyle name="Percent 9 4" xfId="21016" xr:uid="{00000000-0005-0000-0000-0000B8920000}"/>
    <cellStyle name="Percent 9 5" xfId="21017" xr:uid="{00000000-0005-0000-0000-0000B9920000}"/>
    <cellStyle name="Title" xfId="137" builtinId="15" customBuiltin="1"/>
    <cellStyle name="Title 10 2" xfId="21018" xr:uid="{00000000-0005-0000-0000-0000BB920000}"/>
    <cellStyle name="Title 10 3" xfId="21019" xr:uid="{00000000-0005-0000-0000-0000BC920000}"/>
    <cellStyle name="Title 11 2" xfId="21020" xr:uid="{00000000-0005-0000-0000-0000BD920000}"/>
    <cellStyle name="Title 11 3" xfId="21021" xr:uid="{00000000-0005-0000-0000-0000BE920000}"/>
    <cellStyle name="Title 12 2" xfId="21022" xr:uid="{00000000-0005-0000-0000-0000BF920000}"/>
    <cellStyle name="Title 12 3" xfId="21023" xr:uid="{00000000-0005-0000-0000-0000C0920000}"/>
    <cellStyle name="Title 13 2" xfId="21024" xr:uid="{00000000-0005-0000-0000-0000C1920000}"/>
    <cellStyle name="Title 13 3" xfId="21025" xr:uid="{00000000-0005-0000-0000-0000C2920000}"/>
    <cellStyle name="Title 14 2" xfId="21026" xr:uid="{00000000-0005-0000-0000-0000C3920000}"/>
    <cellStyle name="Title 14 3" xfId="21027" xr:uid="{00000000-0005-0000-0000-0000C4920000}"/>
    <cellStyle name="Title 15" xfId="21028" xr:uid="{00000000-0005-0000-0000-0000C5920000}"/>
    <cellStyle name="Title 15 2" xfId="21029" xr:uid="{00000000-0005-0000-0000-0000C6920000}"/>
    <cellStyle name="Title 15 3" xfId="21030" xr:uid="{00000000-0005-0000-0000-0000C7920000}"/>
    <cellStyle name="Title 15 4" xfId="21031" xr:uid="{00000000-0005-0000-0000-0000C8920000}"/>
    <cellStyle name="Title 15 5" xfId="21032" xr:uid="{00000000-0005-0000-0000-0000C9920000}"/>
    <cellStyle name="Title 15 6" xfId="21033" xr:uid="{00000000-0005-0000-0000-0000CA920000}"/>
    <cellStyle name="Title 15 7" xfId="21034" xr:uid="{00000000-0005-0000-0000-0000CB920000}"/>
    <cellStyle name="Title 16" xfId="21035" xr:uid="{00000000-0005-0000-0000-0000CC920000}"/>
    <cellStyle name="Title 17" xfId="21036" xr:uid="{00000000-0005-0000-0000-0000CD920000}"/>
    <cellStyle name="Title 18" xfId="21037" xr:uid="{00000000-0005-0000-0000-0000CE920000}"/>
    <cellStyle name="Title 19" xfId="21038" xr:uid="{00000000-0005-0000-0000-0000CF920000}"/>
    <cellStyle name="Title 2" xfId="21039" xr:uid="{00000000-0005-0000-0000-0000D0920000}"/>
    <cellStyle name="Title 2 10" xfId="21040" xr:uid="{00000000-0005-0000-0000-0000D1920000}"/>
    <cellStyle name="Title 2 2" xfId="21041" xr:uid="{00000000-0005-0000-0000-0000D2920000}"/>
    <cellStyle name="Title 2 3" xfId="21042" xr:uid="{00000000-0005-0000-0000-0000D3920000}"/>
    <cellStyle name="Title 2 4" xfId="21043" xr:uid="{00000000-0005-0000-0000-0000D4920000}"/>
    <cellStyle name="Title 2 5" xfId="21044" xr:uid="{00000000-0005-0000-0000-0000D5920000}"/>
    <cellStyle name="Title 2 6" xfId="21045" xr:uid="{00000000-0005-0000-0000-0000D6920000}"/>
    <cellStyle name="Title 2 7" xfId="21046" xr:uid="{00000000-0005-0000-0000-0000D7920000}"/>
    <cellStyle name="Title 2 8" xfId="21047" xr:uid="{00000000-0005-0000-0000-0000D8920000}"/>
    <cellStyle name="Title 2 9" xfId="21048" xr:uid="{00000000-0005-0000-0000-0000D9920000}"/>
    <cellStyle name="Title 20" xfId="21049" xr:uid="{00000000-0005-0000-0000-0000DA920000}"/>
    <cellStyle name="Title 21" xfId="21050" xr:uid="{00000000-0005-0000-0000-0000DB920000}"/>
    <cellStyle name="Title 22" xfId="21051" xr:uid="{00000000-0005-0000-0000-0000DC920000}"/>
    <cellStyle name="Title 3 2" xfId="21052" xr:uid="{00000000-0005-0000-0000-0000DD920000}"/>
    <cellStyle name="Title 3 3" xfId="21053" xr:uid="{00000000-0005-0000-0000-0000DE920000}"/>
    <cellStyle name="Title 4 2" xfId="21054" xr:uid="{00000000-0005-0000-0000-0000DF920000}"/>
    <cellStyle name="Title 4 3" xfId="21055" xr:uid="{00000000-0005-0000-0000-0000E0920000}"/>
    <cellStyle name="Title 5 2" xfId="21056" xr:uid="{00000000-0005-0000-0000-0000E1920000}"/>
    <cellStyle name="Title 5 3" xfId="21057" xr:uid="{00000000-0005-0000-0000-0000E2920000}"/>
    <cellStyle name="Title 6 2" xfId="21058" xr:uid="{00000000-0005-0000-0000-0000E3920000}"/>
    <cellStyle name="Title 6 3" xfId="21059" xr:uid="{00000000-0005-0000-0000-0000E4920000}"/>
    <cellStyle name="Title 7 2" xfId="21060" xr:uid="{00000000-0005-0000-0000-0000E5920000}"/>
    <cellStyle name="Title 7 3" xfId="21061" xr:uid="{00000000-0005-0000-0000-0000E6920000}"/>
    <cellStyle name="Title 8 2" xfId="21062" xr:uid="{00000000-0005-0000-0000-0000E7920000}"/>
    <cellStyle name="Title 8 3" xfId="21063" xr:uid="{00000000-0005-0000-0000-0000E8920000}"/>
    <cellStyle name="Title 9 2" xfId="21064" xr:uid="{00000000-0005-0000-0000-0000E9920000}"/>
    <cellStyle name="Title 9 3" xfId="21065" xr:uid="{00000000-0005-0000-0000-0000EA920000}"/>
    <cellStyle name="Total" xfId="150" builtinId="25" customBuiltin="1"/>
    <cellStyle name="Total 10 2" xfId="21066" xr:uid="{00000000-0005-0000-0000-0000EC920000}"/>
    <cellStyle name="Total 10 3" xfId="21067" xr:uid="{00000000-0005-0000-0000-0000ED920000}"/>
    <cellStyle name="Total 11 2" xfId="21068" xr:uid="{00000000-0005-0000-0000-0000EE920000}"/>
    <cellStyle name="Total 11 3" xfId="21069" xr:uid="{00000000-0005-0000-0000-0000EF920000}"/>
    <cellStyle name="Total 12 2" xfId="21070" xr:uid="{00000000-0005-0000-0000-0000F0920000}"/>
    <cellStyle name="Total 12 3" xfId="21071" xr:uid="{00000000-0005-0000-0000-0000F1920000}"/>
    <cellStyle name="Total 13 2" xfId="21072" xr:uid="{00000000-0005-0000-0000-0000F2920000}"/>
    <cellStyle name="Total 13 3" xfId="21073" xr:uid="{00000000-0005-0000-0000-0000F3920000}"/>
    <cellStyle name="Total 14 2" xfId="21074" xr:uid="{00000000-0005-0000-0000-0000F4920000}"/>
    <cellStyle name="Total 14 3" xfId="21075" xr:uid="{00000000-0005-0000-0000-0000F5920000}"/>
    <cellStyle name="Total 15" xfId="21076" xr:uid="{00000000-0005-0000-0000-0000F6920000}"/>
    <cellStyle name="Total 15 2" xfId="21077" xr:uid="{00000000-0005-0000-0000-0000F7920000}"/>
    <cellStyle name="Total 15 3" xfId="21078" xr:uid="{00000000-0005-0000-0000-0000F8920000}"/>
    <cellStyle name="Total 15 4" xfId="21079" xr:uid="{00000000-0005-0000-0000-0000F9920000}"/>
    <cellStyle name="Total 15 5" xfId="21080" xr:uid="{00000000-0005-0000-0000-0000FA920000}"/>
    <cellStyle name="Total 15 6" xfId="21081" xr:uid="{00000000-0005-0000-0000-0000FB920000}"/>
    <cellStyle name="Total 15 7" xfId="21082" xr:uid="{00000000-0005-0000-0000-0000FC920000}"/>
    <cellStyle name="Total 16" xfId="21083" xr:uid="{00000000-0005-0000-0000-0000FD920000}"/>
    <cellStyle name="Total 17" xfId="21084" xr:uid="{00000000-0005-0000-0000-0000FE920000}"/>
    <cellStyle name="Total 18" xfId="21085" xr:uid="{00000000-0005-0000-0000-0000FF920000}"/>
    <cellStyle name="Total 19" xfId="21086" xr:uid="{00000000-0005-0000-0000-000000930000}"/>
    <cellStyle name="Total 2" xfId="405" xr:uid="{00000000-0005-0000-0000-000001930000}"/>
    <cellStyle name="Total 2 2" xfId="513" xr:uid="{00000000-0005-0000-0000-000002930000}"/>
    <cellStyle name="Total 2 2 2" xfId="21087" xr:uid="{00000000-0005-0000-0000-000003930000}"/>
    <cellStyle name="Total 2 3" xfId="21088" xr:uid="{00000000-0005-0000-0000-000004930000}"/>
    <cellStyle name="Total 20" xfId="21089" xr:uid="{00000000-0005-0000-0000-000005930000}"/>
    <cellStyle name="Total 21" xfId="21090" xr:uid="{00000000-0005-0000-0000-000006930000}"/>
    <cellStyle name="Total 22" xfId="21091" xr:uid="{00000000-0005-0000-0000-000007930000}"/>
    <cellStyle name="Total 3" xfId="658" xr:uid="{00000000-0005-0000-0000-000008930000}"/>
    <cellStyle name="Total 3 2" xfId="21092" xr:uid="{00000000-0005-0000-0000-000009930000}"/>
    <cellStyle name="Total 3 3" xfId="21093" xr:uid="{00000000-0005-0000-0000-00000A930000}"/>
    <cellStyle name="Total 4 2" xfId="21094" xr:uid="{00000000-0005-0000-0000-00000B930000}"/>
    <cellStyle name="Total 4 3" xfId="21095" xr:uid="{00000000-0005-0000-0000-00000C930000}"/>
    <cellStyle name="Total 5 2" xfId="21096" xr:uid="{00000000-0005-0000-0000-00000D930000}"/>
    <cellStyle name="Total 5 3" xfId="21097" xr:uid="{00000000-0005-0000-0000-00000E930000}"/>
    <cellStyle name="Total 6 2" xfId="21098" xr:uid="{00000000-0005-0000-0000-00000F930000}"/>
    <cellStyle name="Total 6 3" xfId="21099" xr:uid="{00000000-0005-0000-0000-000010930000}"/>
    <cellStyle name="Total 7 2" xfId="21100" xr:uid="{00000000-0005-0000-0000-000011930000}"/>
    <cellStyle name="Total 7 3" xfId="21101" xr:uid="{00000000-0005-0000-0000-000012930000}"/>
    <cellStyle name="Total 8 2" xfId="21102" xr:uid="{00000000-0005-0000-0000-000013930000}"/>
    <cellStyle name="Total 8 3" xfId="21103" xr:uid="{00000000-0005-0000-0000-000014930000}"/>
    <cellStyle name="Total 9 2" xfId="21104" xr:uid="{00000000-0005-0000-0000-000015930000}"/>
    <cellStyle name="Total 9 3" xfId="21105" xr:uid="{00000000-0005-0000-0000-000016930000}"/>
    <cellStyle name="Warning Text" xfId="148" builtinId="11" customBuiltin="1"/>
    <cellStyle name="Warning Text 10 2" xfId="21106" xr:uid="{00000000-0005-0000-0000-000018930000}"/>
    <cellStyle name="Warning Text 10 3" xfId="21107" xr:uid="{00000000-0005-0000-0000-000019930000}"/>
    <cellStyle name="Warning Text 11 2" xfId="21108" xr:uid="{00000000-0005-0000-0000-00001A930000}"/>
    <cellStyle name="Warning Text 11 3" xfId="21109" xr:uid="{00000000-0005-0000-0000-00001B930000}"/>
    <cellStyle name="Warning Text 12 2" xfId="21110" xr:uid="{00000000-0005-0000-0000-00001C930000}"/>
    <cellStyle name="Warning Text 12 3" xfId="21111" xr:uid="{00000000-0005-0000-0000-00001D930000}"/>
    <cellStyle name="Warning Text 13 2" xfId="21112" xr:uid="{00000000-0005-0000-0000-00001E930000}"/>
    <cellStyle name="Warning Text 13 3" xfId="21113" xr:uid="{00000000-0005-0000-0000-00001F930000}"/>
    <cellStyle name="Warning Text 14 2" xfId="21114" xr:uid="{00000000-0005-0000-0000-000020930000}"/>
    <cellStyle name="Warning Text 14 3" xfId="21115" xr:uid="{00000000-0005-0000-0000-000021930000}"/>
    <cellStyle name="Warning Text 15" xfId="21116" xr:uid="{00000000-0005-0000-0000-000022930000}"/>
    <cellStyle name="Warning Text 15 2" xfId="21117" xr:uid="{00000000-0005-0000-0000-000023930000}"/>
    <cellStyle name="Warning Text 15 3" xfId="21118" xr:uid="{00000000-0005-0000-0000-000024930000}"/>
    <cellStyle name="Warning Text 15 4" xfId="21119" xr:uid="{00000000-0005-0000-0000-000025930000}"/>
    <cellStyle name="Warning Text 15 5" xfId="21120" xr:uid="{00000000-0005-0000-0000-000026930000}"/>
    <cellStyle name="Warning Text 15 6" xfId="21121" xr:uid="{00000000-0005-0000-0000-000027930000}"/>
    <cellStyle name="Warning Text 15 7" xfId="21122" xr:uid="{00000000-0005-0000-0000-000028930000}"/>
    <cellStyle name="Warning Text 16" xfId="21123" xr:uid="{00000000-0005-0000-0000-000029930000}"/>
    <cellStyle name="Warning Text 17" xfId="21124" xr:uid="{00000000-0005-0000-0000-00002A930000}"/>
    <cellStyle name="Warning Text 18" xfId="21125" xr:uid="{00000000-0005-0000-0000-00002B930000}"/>
    <cellStyle name="Warning Text 19" xfId="21126" xr:uid="{00000000-0005-0000-0000-00002C930000}"/>
    <cellStyle name="Warning Text 2" xfId="402" xr:uid="{00000000-0005-0000-0000-00002D930000}"/>
    <cellStyle name="Warning Text 2 2" xfId="496" xr:uid="{00000000-0005-0000-0000-00002E930000}"/>
    <cellStyle name="Warning Text 2 2 2" xfId="21127" xr:uid="{00000000-0005-0000-0000-00002F930000}"/>
    <cellStyle name="Warning Text 2 3" xfId="21128" xr:uid="{00000000-0005-0000-0000-000030930000}"/>
    <cellStyle name="Warning Text 20" xfId="21129" xr:uid="{00000000-0005-0000-0000-000031930000}"/>
    <cellStyle name="Warning Text 21" xfId="21130" xr:uid="{00000000-0005-0000-0000-000032930000}"/>
    <cellStyle name="Warning Text 22" xfId="21131" xr:uid="{00000000-0005-0000-0000-000033930000}"/>
    <cellStyle name="Warning Text 3" xfId="659" xr:uid="{00000000-0005-0000-0000-000034930000}"/>
    <cellStyle name="Warning Text 3 2" xfId="21132" xr:uid="{00000000-0005-0000-0000-000035930000}"/>
    <cellStyle name="Warning Text 3 3" xfId="21133" xr:uid="{00000000-0005-0000-0000-000036930000}"/>
    <cellStyle name="Warning Text 4 2" xfId="21134" xr:uid="{00000000-0005-0000-0000-000037930000}"/>
    <cellStyle name="Warning Text 4 3" xfId="21135" xr:uid="{00000000-0005-0000-0000-000038930000}"/>
    <cellStyle name="Warning Text 5 2" xfId="21136" xr:uid="{00000000-0005-0000-0000-000039930000}"/>
    <cellStyle name="Warning Text 5 3" xfId="21137" xr:uid="{00000000-0005-0000-0000-00003A930000}"/>
    <cellStyle name="Warning Text 6 2" xfId="21138" xr:uid="{00000000-0005-0000-0000-00003B930000}"/>
    <cellStyle name="Warning Text 6 3" xfId="21139" xr:uid="{00000000-0005-0000-0000-00003C930000}"/>
    <cellStyle name="Warning Text 7 2" xfId="21140" xr:uid="{00000000-0005-0000-0000-00003D930000}"/>
    <cellStyle name="Warning Text 7 3" xfId="21141" xr:uid="{00000000-0005-0000-0000-00003E930000}"/>
    <cellStyle name="Warning Text 8 2" xfId="21142" xr:uid="{00000000-0005-0000-0000-00003F930000}"/>
    <cellStyle name="Warning Text 8 3" xfId="21143" xr:uid="{00000000-0005-0000-0000-000040930000}"/>
    <cellStyle name="Warning Text 9 2" xfId="21144" xr:uid="{00000000-0005-0000-0000-000041930000}"/>
    <cellStyle name="Warning Text 9 3" xfId="21145" xr:uid="{00000000-0005-0000-0000-000042930000}"/>
  </cellStyles>
  <dxfs count="0"/>
  <tableStyles count="0" defaultTableStyle="TableStyleMedium2" defaultPivotStyle="PivotStyleLight16"/>
  <colors>
    <mruColors>
      <color rgb="FFFFFFCC"/>
      <color rgb="FF0000FF"/>
      <color rgb="FF007A37"/>
      <color rgb="FFF7C5BB"/>
      <color rgb="FFFFCC99"/>
      <color rgb="FFBDFFBD"/>
      <color rgb="FFC028AE"/>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16</xdr:row>
      <xdr:rowOff>0</xdr:rowOff>
    </xdr:from>
    <xdr:to>
      <xdr:col>45</xdr:col>
      <xdr:colOff>177672</xdr:colOff>
      <xdr:row>38</xdr:row>
      <xdr:rowOff>54368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9303382" y="2991971"/>
          <a:ext cx="17457143" cy="4323809"/>
        </a:xfrm>
        <a:prstGeom prst="rect">
          <a:avLst/>
        </a:prstGeom>
      </xdr:spPr>
    </xdr:pic>
    <xdr:clientData/>
  </xdr:twoCellAnchor>
  <xdr:twoCellAnchor editAs="oneCell">
    <xdr:from>
      <xdr:col>131</xdr:col>
      <xdr:colOff>0</xdr:colOff>
      <xdr:row>15</xdr:row>
      <xdr:rowOff>0</xdr:rowOff>
    </xdr:from>
    <xdr:to>
      <xdr:col>140</xdr:col>
      <xdr:colOff>707930</xdr:colOff>
      <xdr:row>28</xdr:row>
      <xdr:rowOff>173915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137944412" y="2902324"/>
          <a:ext cx="11219047" cy="2695238"/>
        </a:xfrm>
        <a:prstGeom prst="rect">
          <a:avLst/>
        </a:prstGeom>
      </xdr:spPr>
    </xdr:pic>
    <xdr:clientData/>
  </xdr:twoCellAnchor>
  <xdr:twoCellAnchor editAs="oneCell">
    <xdr:from>
      <xdr:col>131</xdr:col>
      <xdr:colOff>0</xdr:colOff>
      <xdr:row>30</xdr:row>
      <xdr:rowOff>0</xdr:rowOff>
    </xdr:from>
    <xdr:to>
      <xdr:col>137</xdr:col>
      <xdr:colOff>556475</xdr:colOff>
      <xdr:row>45</xdr:row>
      <xdr:rowOff>41647</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37944412" y="5804647"/>
          <a:ext cx="8142857" cy="3000000"/>
        </a:xfrm>
        <a:prstGeom prst="rect">
          <a:avLst/>
        </a:prstGeom>
      </xdr:spPr>
    </xdr:pic>
    <xdr:clientData/>
  </xdr:twoCellAnchor>
  <xdr:twoCellAnchor editAs="oneCell">
    <xdr:from>
      <xdr:col>142</xdr:col>
      <xdr:colOff>0</xdr:colOff>
      <xdr:row>15</xdr:row>
      <xdr:rowOff>0</xdr:rowOff>
    </xdr:from>
    <xdr:to>
      <xdr:col>152</xdr:col>
      <xdr:colOff>164623</xdr:colOff>
      <xdr:row>29</xdr:row>
      <xdr:rowOff>173891</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150405353" y="2902324"/>
          <a:ext cx="9790476" cy="2885714"/>
        </a:xfrm>
        <a:prstGeom prst="rect">
          <a:avLst/>
        </a:prstGeom>
      </xdr:spPr>
    </xdr:pic>
    <xdr:clientData/>
  </xdr:twoCellAnchor>
  <xdr:twoCellAnchor editAs="oneCell">
    <xdr:from>
      <xdr:col>153</xdr:col>
      <xdr:colOff>1</xdr:colOff>
      <xdr:row>15</xdr:row>
      <xdr:rowOff>0</xdr:rowOff>
    </xdr:from>
    <xdr:to>
      <xdr:col>162</xdr:col>
      <xdr:colOff>549089</xdr:colOff>
      <xdr:row>28</xdr:row>
      <xdr:rowOff>126296</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161006119" y="2902324"/>
          <a:ext cx="9121588" cy="26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402166</xdr:colOff>
      <xdr:row>15</xdr:row>
      <xdr:rowOff>105833</xdr:rowOff>
    </xdr:from>
    <xdr:to>
      <xdr:col>42</xdr:col>
      <xdr:colOff>666220</xdr:colOff>
      <xdr:row>24</xdr:row>
      <xdr:rowOff>48476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947583" y="2709333"/>
          <a:ext cx="3742857" cy="1657143"/>
        </a:xfrm>
        <a:prstGeom prst="rect">
          <a:avLst/>
        </a:prstGeom>
      </xdr:spPr>
    </xdr:pic>
    <xdr:clientData/>
  </xdr:twoCellAnchor>
  <xdr:twoCellAnchor editAs="oneCell">
    <xdr:from>
      <xdr:col>48</xdr:col>
      <xdr:colOff>0</xdr:colOff>
      <xdr:row>15</xdr:row>
      <xdr:rowOff>0</xdr:rowOff>
    </xdr:from>
    <xdr:to>
      <xdr:col>65</xdr:col>
      <xdr:colOff>1432732</xdr:colOff>
      <xdr:row>37</xdr:row>
      <xdr:rowOff>132809</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2035118" y="2801471"/>
          <a:ext cx="17457143" cy="43238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seworks21.ameren.com/460/RiderEEIC/Library/2024%20Nov%20Filing/JNG2%20-%20MEEIA%20Rider%20Calcs%20November%202024-%20rates.xlsx" TargetMode="External"/><Relationship Id="rId1" Type="http://schemas.openxmlformats.org/officeDocument/2006/relationships/externalLinkPath" Target="JNG2%20-%20MEEIA%20Rider%20Calcs%20November%202024-%20rat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aseworks21.ameren.com/460/RiderEEIC/Library/2024%20Nov%20Filing/JNG4%20-%20MEEIA%20Rider%20Calcs%20November%202024%20-%20Support.xlsx" TargetMode="External"/><Relationship Id="rId1" Type="http://schemas.openxmlformats.org/officeDocument/2006/relationships/externalLinkPath" Target="JNG4%20-%20MEEIA%20Rider%20Calcs%20November%202024%20-%20Sup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C"/>
      <sheetName val="PCR (M3)"/>
      <sheetName val="PCR (M4)"/>
      <sheetName val="PTD"/>
      <sheetName val="TDR (M2) Final"/>
      <sheetName val="TDR (M3)"/>
      <sheetName val="TDR (M4)"/>
      <sheetName val="EO"/>
      <sheetName val="EOR (M3)"/>
      <sheetName val="OA"/>
      <sheetName val="OAR (M3)"/>
      <sheetName val="tariff tables (M3)"/>
      <sheetName val="tariff tables (M4)"/>
      <sheetName val="Sheet 91.23"/>
    </sheetNames>
    <sheetDataSet>
      <sheetData sheetId="0"/>
      <sheetData sheetId="1">
        <row r="15">
          <cell r="BU15">
            <v>1540217.1530572069</v>
          </cell>
          <cell r="BV15">
            <v>3622699.7254595435</v>
          </cell>
          <cell r="BW15">
            <v>0</v>
          </cell>
        </row>
        <row r="16">
          <cell r="BU16">
            <v>4599183.0698242383</v>
          </cell>
          <cell r="BV16">
            <v>14470003.882834464</v>
          </cell>
          <cell r="BW16">
            <v>0</v>
          </cell>
        </row>
        <row r="17">
          <cell r="BU17">
            <v>1011386.3594138328</v>
          </cell>
          <cell r="BV17">
            <v>1545713.0962357754</v>
          </cell>
          <cell r="BW17">
            <v>0</v>
          </cell>
        </row>
        <row r="18">
          <cell r="BU18">
            <v>63000</v>
          </cell>
          <cell r="BV18">
            <v>100000</v>
          </cell>
          <cell r="BW18">
            <v>0</v>
          </cell>
        </row>
        <row r="35">
          <cell r="BU35">
            <v>2672527.8263291107</v>
          </cell>
          <cell r="BV35">
            <v>3375874.9208807731</v>
          </cell>
          <cell r="BW35">
            <v>3972507.0347746601</v>
          </cell>
        </row>
        <row r="36">
          <cell r="BU36">
            <v>607515.88732540258</v>
          </cell>
          <cell r="BV36">
            <v>727206.15607499378</v>
          </cell>
          <cell r="BW36">
            <v>817892.59263035445</v>
          </cell>
        </row>
        <row r="37">
          <cell r="BU37">
            <v>1312873.3669365526</v>
          </cell>
          <cell r="BV37">
            <v>1444754.0392588251</v>
          </cell>
          <cell r="BW37">
            <v>1518192.9974317155</v>
          </cell>
        </row>
        <row r="38">
          <cell r="BU38">
            <v>581052.88524262351</v>
          </cell>
          <cell r="BV38">
            <v>614353.33551913348</v>
          </cell>
          <cell r="BW38">
            <v>640910.42622038152</v>
          </cell>
        </row>
        <row r="39">
          <cell r="BU39">
            <v>181597.68760760041</v>
          </cell>
          <cell r="BV39">
            <v>179551.60339822681</v>
          </cell>
          <cell r="BW39">
            <v>178871.22437659843</v>
          </cell>
        </row>
      </sheetData>
      <sheetData sheetId="2">
        <row r="15">
          <cell r="B15">
            <v>0</v>
          </cell>
          <cell r="C15">
            <v>0</v>
          </cell>
          <cell r="D15">
            <v>862189.06402896566</v>
          </cell>
        </row>
        <row r="16">
          <cell r="B16">
            <v>0</v>
          </cell>
          <cell r="C16">
            <v>0</v>
          </cell>
          <cell r="D16">
            <v>0</v>
          </cell>
        </row>
        <row r="17">
          <cell r="B17">
            <v>0</v>
          </cell>
          <cell r="C17">
            <v>0</v>
          </cell>
          <cell r="D17">
            <v>155633.34402326509</v>
          </cell>
        </row>
        <row r="18">
          <cell r="B18">
            <v>0</v>
          </cell>
          <cell r="C18">
            <v>0</v>
          </cell>
          <cell r="D18">
            <v>0</v>
          </cell>
        </row>
        <row r="35">
          <cell r="B35">
            <v>0</v>
          </cell>
          <cell r="C35">
            <v>0</v>
          </cell>
          <cell r="D35">
            <v>0</v>
          </cell>
        </row>
        <row r="36">
          <cell r="B36">
            <v>0</v>
          </cell>
          <cell r="C36">
            <v>0</v>
          </cell>
          <cell r="D36">
            <v>0</v>
          </cell>
        </row>
        <row r="37">
          <cell r="B37">
            <v>0</v>
          </cell>
          <cell r="C37">
            <v>0</v>
          </cell>
          <cell r="D37">
            <v>0</v>
          </cell>
        </row>
        <row r="38">
          <cell r="B38">
            <v>0</v>
          </cell>
          <cell r="C38">
            <v>0</v>
          </cell>
          <cell r="D38">
            <v>0</v>
          </cell>
        </row>
        <row r="39">
          <cell r="B39">
            <v>0</v>
          </cell>
          <cell r="C39">
            <v>0</v>
          </cell>
          <cell r="D39">
            <v>0</v>
          </cell>
        </row>
      </sheetData>
      <sheetData sheetId="3"/>
      <sheetData sheetId="4"/>
      <sheetData sheetId="5">
        <row r="22">
          <cell r="BT22">
            <v>309858.29870482441</v>
          </cell>
          <cell r="BU22">
            <v>391405.78792820557</v>
          </cell>
          <cell r="BV22">
            <v>460580.52577097504</v>
          </cell>
        </row>
        <row r="23">
          <cell r="BT23">
            <v>163003.31398066776</v>
          </cell>
          <cell r="BU23">
            <v>195117.55307211404</v>
          </cell>
          <cell r="BV23">
            <v>219449.73927501347</v>
          </cell>
        </row>
        <row r="24">
          <cell r="BT24">
            <v>399198.07514596864</v>
          </cell>
          <cell r="BU24">
            <v>439298.2949126719</v>
          </cell>
          <cell r="BV24">
            <v>461628.46892766497</v>
          </cell>
        </row>
        <row r="25">
          <cell r="BT25">
            <v>81524.150058755928</v>
          </cell>
          <cell r="BU25">
            <v>86196.342512000105</v>
          </cell>
          <cell r="BV25">
            <v>89922.413412669499</v>
          </cell>
        </row>
        <row r="26">
          <cell r="BT26">
            <v>16810.834836388542</v>
          </cell>
          <cell r="BU26">
            <v>16621.425025293112</v>
          </cell>
          <cell r="BV26">
            <v>16558.441077042335</v>
          </cell>
        </row>
        <row r="36">
          <cell r="BT36">
            <v>-13280.095967709647</v>
          </cell>
          <cell r="BU36">
            <v>-16775.108001723016</v>
          </cell>
          <cell r="BV36">
            <v>-19739.841110156725</v>
          </cell>
        </row>
      </sheetData>
      <sheetData sheetId="6">
        <row r="22">
          <cell r="B22">
            <v>0</v>
          </cell>
          <cell r="C22">
            <v>0</v>
          </cell>
          <cell r="D22">
            <v>0</v>
          </cell>
        </row>
        <row r="23">
          <cell r="B23">
            <v>0</v>
          </cell>
          <cell r="C23">
            <v>0</v>
          </cell>
          <cell r="D23">
            <v>0</v>
          </cell>
        </row>
        <row r="24">
          <cell r="B24">
            <v>0</v>
          </cell>
          <cell r="C24">
            <v>0</v>
          </cell>
          <cell r="D24">
            <v>0</v>
          </cell>
        </row>
        <row r="25">
          <cell r="B25">
            <v>0</v>
          </cell>
          <cell r="C25">
            <v>0</v>
          </cell>
          <cell r="D25">
            <v>0</v>
          </cell>
        </row>
        <row r="26">
          <cell r="B26">
            <v>0</v>
          </cell>
          <cell r="C26">
            <v>0</v>
          </cell>
          <cell r="D26">
            <v>0</v>
          </cell>
        </row>
        <row r="36">
          <cell r="B36">
            <v>0</v>
          </cell>
          <cell r="C36">
            <v>0</v>
          </cell>
          <cell r="D36">
            <v>0</v>
          </cell>
        </row>
      </sheetData>
      <sheetData sheetId="7"/>
      <sheetData sheetId="8">
        <row r="29">
          <cell r="AV29">
            <v>317644.87806109479</v>
          </cell>
          <cell r="AW29">
            <v>400680.98344902432</v>
          </cell>
          <cell r="AX29">
            <v>470998.71526855009</v>
          </cell>
        </row>
        <row r="30">
          <cell r="AV30">
            <v>89522.210748201149</v>
          </cell>
          <cell r="AW30">
            <v>107032.14459323295</v>
          </cell>
          <cell r="AX30">
            <v>120271.86499207762</v>
          </cell>
        </row>
        <row r="31">
          <cell r="AV31">
            <v>208553.47304221653</v>
          </cell>
          <cell r="AW31">
            <v>229247.42117076539</v>
          </cell>
          <cell r="AX31">
            <v>240698.32056702653</v>
          </cell>
        </row>
        <row r="32">
          <cell r="AV32">
            <v>92634.37381037559</v>
          </cell>
          <cell r="AW32">
            <v>97835.49741223357</v>
          </cell>
          <cell r="AX32">
            <v>101980.10642959461</v>
          </cell>
        </row>
        <row r="33">
          <cell r="AV33">
            <v>38792.887830038337</v>
          </cell>
          <cell r="AW33">
            <v>38324.873453531036</v>
          </cell>
          <cell r="AX33">
            <v>38156.470139840021</v>
          </cell>
        </row>
      </sheetData>
      <sheetData sheetId="9"/>
      <sheetData sheetId="10">
        <row r="22">
          <cell r="AW22">
            <v>1370.775374318378</v>
          </cell>
        </row>
        <row r="23">
          <cell r="AW23">
            <v>620.79134165491791</v>
          </cell>
        </row>
        <row r="24">
          <cell r="AW24">
            <v>1164.2584336132786</v>
          </cell>
        </row>
        <row r="25">
          <cell r="AW25">
            <v>0</v>
          </cell>
        </row>
        <row r="26">
          <cell r="AW26">
            <v>0</v>
          </cell>
        </row>
        <row r="29">
          <cell r="AU29">
            <v>942.56640374212088</v>
          </cell>
          <cell r="AV29">
            <v>1188.9643425787069</v>
          </cell>
        </row>
        <row r="30">
          <cell r="AU30">
            <v>456.52054109009322</v>
          </cell>
          <cell r="AV30">
            <v>546.08440199335814</v>
          </cell>
        </row>
        <row r="31">
          <cell r="AU31">
            <v>996.7782530914335</v>
          </cell>
          <cell r="AV31">
            <v>1096.1479473633271</v>
          </cell>
        </row>
        <row r="32">
          <cell r="AU32">
            <v>-4.4004084260245397</v>
          </cell>
          <cell r="AV32">
            <v>-4.9724844997535733</v>
          </cell>
        </row>
        <row r="33">
          <cell r="AU33">
            <v>-1.3501147269486209</v>
          </cell>
          <cell r="AV33">
            <v>-1.4266831766178676</v>
          </cell>
        </row>
      </sheetData>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C.1, PCR.2F, EO.5"/>
      <sheetName val="PPC.2, PCR.1F"/>
      <sheetName val="PPC.3, PCR.2"/>
      <sheetName val="PCR.1 (M3)"/>
      <sheetName val="PCR1.A (M3)"/>
      <sheetName val="PCR1.B (M3)"/>
      <sheetName val="PCR.3 (M3)"/>
      <sheetName val="PCR.4 (M3)"/>
      <sheetName val="PCR.5 (M3)"/>
      <sheetName val="PCR.5F"/>
      <sheetName val="PCR.6, TDR.5, EOR.5, OAR.5"/>
      <sheetName val="PTD.1, TDR.1, &amp; TDR.1F"/>
      <sheetName val="TDR.2 (M2)"/>
      <sheetName val="TDR.2 (M3)"/>
      <sheetName val="TDR.3 (M2)"/>
      <sheetName val="TDR.3 (M3)"/>
      <sheetName val="TDR.4 (M2)"/>
      <sheetName val="TDR.4 (M3)"/>
      <sheetName val="TDR.4F"/>
      <sheetName val="EO.1"/>
      <sheetName val="EO.2"/>
      <sheetName val="EO.3"/>
      <sheetName val="EO.4"/>
      <sheetName val="EOR.1F, EOR.1"/>
      <sheetName val="EOR.2 (M3)"/>
      <sheetName val="EOR.3 (M3)"/>
      <sheetName val="EOR.4 (M3)"/>
      <sheetName val="EOR.4F"/>
      <sheetName val="OAR.1A (M3)"/>
      <sheetName val="OAR.1B (M3)"/>
      <sheetName val="OAR.1C (M3)"/>
      <sheetName val="OAR.2 (M3)"/>
      <sheetName val="OAR.3 (M3)"/>
      <sheetName val="OAR.4 (M3)"/>
      <sheetName val="OAR.4F"/>
    </sheetNames>
    <sheetDataSet>
      <sheetData sheetId="0">
        <row r="27">
          <cell r="B27">
            <v>961721412.71587527</v>
          </cell>
          <cell r="C27">
            <v>1214824095.0295494</v>
          </cell>
          <cell r="D27">
            <v>1429524901.4319398</v>
          </cell>
          <cell r="E27">
            <v>1190064267.3489525</v>
          </cell>
          <cell r="F27">
            <v>1014603094.1799415</v>
          </cell>
          <cell r="G27">
            <v>769303151.60249138</v>
          </cell>
          <cell r="H27">
            <v>927870218.58284807</v>
          </cell>
          <cell r="I27">
            <v>1194387015.1541328</v>
          </cell>
          <cell r="J27">
            <v>1365782366.0928786</v>
          </cell>
          <cell r="K27">
            <v>1314496222.440345</v>
          </cell>
          <cell r="L27">
            <v>995414652.60440254</v>
          </cell>
          <cell r="M27">
            <v>744037470.45533097</v>
          </cell>
          <cell r="N27">
            <v>962466196.97000563</v>
          </cell>
          <cell r="O27">
            <v>1215138004.097733</v>
          </cell>
          <cell r="P27">
            <v>1429450922.8617308</v>
          </cell>
        </row>
        <row r="28">
          <cell r="B28">
            <v>230556313.97548485</v>
          </cell>
          <cell r="C28">
            <v>275979565.87286288</v>
          </cell>
          <cell r="D28">
            <v>310395670.82745898</v>
          </cell>
          <cell r="E28">
            <v>281276494.88891542</v>
          </cell>
          <cell r="F28">
            <v>249236647.45428941</v>
          </cell>
          <cell r="G28">
            <v>226767828.98855263</v>
          </cell>
          <cell r="H28">
            <v>244827574.56690574</v>
          </cell>
          <cell r="I28">
            <v>283225222.41562188</v>
          </cell>
          <cell r="J28">
            <v>307995205.45052862</v>
          </cell>
          <cell r="K28">
            <v>298959962.50381666</v>
          </cell>
          <cell r="L28">
            <v>263905607.13617331</v>
          </cell>
          <cell r="M28">
            <v>215412360.63650614</v>
          </cell>
          <cell r="N28">
            <v>230921583.85977823</v>
          </cell>
          <cell r="O28">
            <v>276273412.16607565</v>
          </cell>
          <cell r="P28">
            <v>310697639.29799688</v>
          </cell>
        </row>
        <row r="29">
          <cell r="B29">
            <v>503402364.62291127</v>
          </cell>
          <cell r="C29">
            <v>553970107.07777035</v>
          </cell>
          <cell r="D29">
            <v>582129216.80663931</v>
          </cell>
          <cell r="E29">
            <v>515865693.45582765</v>
          </cell>
          <cell r="F29">
            <v>522575519.43424022</v>
          </cell>
          <cell r="G29">
            <v>505674054.43839753</v>
          </cell>
          <cell r="H29">
            <v>572817819.76956499</v>
          </cell>
          <cell r="I29">
            <v>606308434.76448393</v>
          </cell>
          <cell r="J29">
            <v>651004657.0920285</v>
          </cell>
          <cell r="K29">
            <v>635975233.95183766</v>
          </cell>
          <cell r="L29">
            <v>573938163.98230696</v>
          </cell>
          <cell r="M29">
            <v>528417686.98890507</v>
          </cell>
          <cell r="N29">
            <v>506348801.23189801</v>
          </cell>
          <cell r="O29">
            <v>556790182.67338777</v>
          </cell>
          <cell r="P29">
            <v>582413683.09713233</v>
          </cell>
        </row>
        <row r="30">
          <cell r="B30">
            <v>220932655.9857884</v>
          </cell>
          <cell r="C30">
            <v>233594424.1517618</v>
          </cell>
          <cell r="D30">
            <v>243692177.27010703</v>
          </cell>
          <cell r="E30">
            <v>223508963.31422031</v>
          </cell>
          <cell r="F30">
            <v>225935520.4983165</v>
          </cell>
          <cell r="G30">
            <v>225755520.24654862</v>
          </cell>
          <cell r="H30">
            <v>236650278.90790892</v>
          </cell>
          <cell r="I30">
            <v>249267183.76549473</v>
          </cell>
          <cell r="J30">
            <v>265487281.99319294</v>
          </cell>
          <cell r="K30">
            <v>265793432.46048093</v>
          </cell>
          <cell r="L30">
            <v>249354980.18941644</v>
          </cell>
          <cell r="M30">
            <v>232261215.72278216</v>
          </cell>
          <cell r="N30">
            <v>221653157.12380189</v>
          </cell>
          <cell r="O30">
            <v>234363625.54023194</v>
          </cell>
          <cell r="P30">
            <v>243138516.68845567</v>
          </cell>
        </row>
        <row r="31">
          <cell r="B31">
            <v>67785624.340276375</v>
          </cell>
          <cell r="C31">
            <v>67021875.10198836</v>
          </cell>
          <cell r="D31">
            <v>66767907.568719082</v>
          </cell>
          <cell r="E31">
            <v>62741418.197744302</v>
          </cell>
          <cell r="F31">
            <v>65152113.496512696</v>
          </cell>
          <cell r="G31">
            <v>69133414.966971025</v>
          </cell>
          <cell r="H31">
            <v>75596299.297143608</v>
          </cell>
          <cell r="I31">
            <v>78385915.566683248</v>
          </cell>
          <cell r="J31">
            <v>83584005.816239804</v>
          </cell>
          <cell r="K31">
            <v>82353168.95995523</v>
          </cell>
          <cell r="L31">
            <v>75919704.330048919</v>
          </cell>
          <cell r="M31">
            <v>73493705.531886309</v>
          </cell>
          <cell r="N31">
            <v>67867153.794123709</v>
          </cell>
          <cell r="O31">
            <v>67101871.772907503</v>
          </cell>
          <cell r="P31">
            <v>68603660.857099026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45E0C-E6F7-424D-9106-42B016BF0362}">
  <sheetPr>
    <pageSetUpPr fitToPage="1"/>
  </sheetPr>
  <dimension ref="A1:E183"/>
  <sheetViews>
    <sheetView zoomScale="110" zoomScaleNormal="110" zoomScaleSheetLayoutView="80" workbookViewId="0">
      <pane xSplit="2" ySplit="4" topLeftCell="C5" activePane="bottomRight" state="frozen"/>
      <selection activeCell="C78" sqref="C78"/>
      <selection pane="topRight" activeCell="C78" sqref="C78"/>
      <selection pane="bottomLeft" activeCell="C78" sqref="C78"/>
      <selection pane="bottomRight" activeCell="J17" sqref="J17"/>
    </sheetView>
  </sheetViews>
  <sheetFormatPr defaultColWidth="9.140625" defaultRowHeight="15" zeroHeight="1" outlineLevelRow="1" x14ac:dyDescent="0.25"/>
  <cols>
    <col min="1" max="1" width="3.140625" style="1" customWidth="1"/>
    <col min="2" max="2" width="48.28515625" customWidth="1"/>
    <col min="3" max="4" width="14.5703125" customWidth="1"/>
    <col min="5" max="5" width="14.5703125" bestFit="1" customWidth="1"/>
  </cols>
  <sheetData>
    <row r="1" spans="1:5" ht="15.75" x14ac:dyDescent="0.25">
      <c r="A1" s="46" t="s">
        <v>157</v>
      </c>
    </row>
    <row r="2" spans="1:5" ht="15.75" x14ac:dyDescent="0.25">
      <c r="A2" s="46" t="s">
        <v>7</v>
      </c>
      <c r="B2" s="33"/>
      <c r="C2" s="39"/>
      <c r="D2" s="39"/>
      <c r="E2" s="39"/>
    </row>
    <row r="3" spans="1:5" x14ac:dyDescent="0.25">
      <c r="A3" s="55"/>
    </row>
    <row r="4" spans="1:5" x14ac:dyDescent="0.25">
      <c r="C4" s="10">
        <v>45597</v>
      </c>
      <c r="D4" s="10">
        <v>45627</v>
      </c>
      <c r="E4" s="10">
        <v>45658</v>
      </c>
    </row>
    <row r="5" spans="1:5" ht="15" customHeight="1" x14ac:dyDescent="0.25">
      <c r="A5" s="295" t="s">
        <v>0</v>
      </c>
      <c r="B5" s="5"/>
      <c r="C5" s="229"/>
      <c r="D5" s="229"/>
      <c r="E5" s="229"/>
    </row>
    <row r="6" spans="1:5" s="3" customFormat="1" ht="15" customHeight="1" x14ac:dyDescent="0.25">
      <c r="A6" s="295"/>
      <c r="B6" s="5" t="s">
        <v>9</v>
      </c>
      <c r="C6" s="118">
        <f>SUM('[1]PCR (M4)'!$B$15:$B$18)</f>
        <v>0</v>
      </c>
      <c r="D6" s="118">
        <f>SUM('[1]PCR (M4)'!$C$15:$C$18)</f>
        <v>0</v>
      </c>
      <c r="E6" s="118">
        <f>SUM('[1]PCR (M4)'!$D$15:$D$18)</f>
        <v>1017822.4080522307</v>
      </c>
    </row>
    <row r="7" spans="1:5" s="3" customFormat="1" x14ac:dyDescent="0.25">
      <c r="A7" s="295"/>
      <c r="B7" s="5" t="s">
        <v>10</v>
      </c>
      <c r="C7" s="126">
        <f>SUM('[1]PCR (M4)'!$B$35:$B$39)</f>
        <v>0</v>
      </c>
      <c r="D7" s="126">
        <f>SUM('[1]PCR (M4)'!$C$35:$C$39)</f>
        <v>0</v>
      </c>
      <c r="E7" s="126">
        <f>SUM('[1]PCR (M4)'!$D$35:$D$39)</f>
        <v>0</v>
      </c>
    </row>
    <row r="8" spans="1:5" s="3" customFormat="1" x14ac:dyDescent="0.25">
      <c r="A8" s="295"/>
      <c r="B8" s="5" t="s">
        <v>11</v>
      </c>
      <c r="C8" s="8">
        <f>IF(OR(C6="",C7=""),"",C6-C7)</f>
        <v>0</v>
      </c>
      <c r="D8" s="8">
        <f t="shared" ref="D8:E8" si="0">IF(OR(D6="",D7=""),"",D6-D7)</f>
        <v>0</v>
      </c>
      <c r="E8" s="8">
        <f t="shared" si="0"/>
        <v>1017822.4080522307</v>
      </c>
    </row>
    <row r="9" spans="1:5" s="3" customFormat="1" x14ac:dyDescent="0.25">
      <c r="A9" s="295"/>
      <c r="B9" s="5" t="s">
        <v>4</v>
      </c>
      <c r="C9" s="274">
        <v>4.9407439999999997E-2</v>
      </c>
      <c r="D9" s="274">
        <v>4.9407439999999997E-2</v>
      </c>
      <c r="E9" s="274">
        <v>4.9407439999999997E-2</v>
      </c>
    </row>
    <row r="10" spans="1:5" s="3" customFormat="1" x14ac:dyDescent="0.25">
      <c r="A10" s="295"/>
      <c r="B10" s="5" t="s">
        <v>5</v>
      </c>
      <c r="C10" s="8">
        <f>IF(OR(C9="",C8=""),"",ROUND(((C8)*C9)/12,2))</f>
        <v>0</v>
      </c>
      <c r="D10" s="8">
        <f t="shared" ref="D10:E10" si="1">IF(OR(D9="",D8="",C13=""),"",ROUND(((C13+D8)*D9)/12,2))</f>
        <v>0</v>
      </c>
      <c r="E10" s="8">
        <f t="shared" si="1"/>
        <v>4190.67</v>
      </c>
    </row>
    <row r="11" spans="1:5" s="3" customFormat="1" x14ac:dyDescent="0.25">
      <c r="A11" s="295"/>
      <c r="B11" s="6" t="s">
        <v>6</v>
      </c>
      <c r="C11" s="8">
        <f>IF(OR(C10=""),"",C10)</f>
        <v>0</v>
      </c>
      <c r="D11" s="8">
        <f t="shared" ref="D11:E11" si="2">IF(OR(C11="",D10=""),"",C11+D10)</f>
        <v>0</v>
      </c>
      <c r="E11" s="8">
        <f t="shared" si="2"/>
        <v>4190.67</v>
      </c>
    </row>
    <row r="12" spans="1:5" s="3" customFormat="1" x14ac:dyDescent="0.25">
      <c r="A12" s="295"/>
      <c r="B12" s="5" t="s">
        <v>12</v>
      </c>
      <c r="C12" s="8">
        <f t="shared" ref="C12:E12" si="3">IF(OR(C10="",C8=""),"",C8+C10)</f>
        <v>0</v>
      </c>
      <c r="D12" s="8">
        <f t="shared" si="3"/>
        <v>0</v>
      </c>
      <c r="E12" s="8">
        <f t="shared" si="3"/>
        <v>1022013.0780522308</v>
      </c>
    </row>
    <row r="13" spans="1:5" s="3" customFormat="1" x14ac:dyDescent="0.25">
      <c r="A13" s="295"/>
      <c r="B13" s="9" t="s">
        <v>3</v>
      </c>
      <c r="C13" s="8">
        <f>IF(OR(C12=""),"",C12)</f>
        <v>0</v>
      </c>
      <c r="D13" s="8">
        <f t="shared" ref="D13:E13" si="4">IF(OR(D12="",C13=""),"",D12+C13)</f>
        <v>0</v>
      </c>
      <c r="E13" s="8">
        <f t="shared" si="4"/>
        <v>1022013.0780522308</v>
      </c>
    </row>
    <row r="14" spans="1:5" s="4" customFormat="1" ht="8.25" customHeight="1" x14ac:dyDescent="0.25">
      <c r="A14" s="40"/>
      <c r="B14" s="11"/>
      <c r="C14" s="12"/>
      <c r="D14" s="12"/>
      <c r="E14" s="12"/>
    </row>
    <row r="15" spans="1:5" s="4" customFormat="1" ht="15" customHeight="1" x14ac:dyDescent="0.25">
      <c r="A15" s="292" t="s">
        <v>25</v>
      </c>
      <c r="B15" s="15"/>
      <c r="C15" s="7"/>
      <c r="D15" s="7"/>
      <c r="E15" s="7"/>
    </row>
    <row r="16" spans="1:5" s="2" customFormat="1" ht="15" customHeight="1" x14ac:dyDescent="0.25">
      <c r="A16" s="292"/>
      <c r="B16" s="15" t="s">
        <v>28</v>
      </c>
      <c r="C16" s="19">
        <f t="shared" ref="C16:E21" si="5">IF(C67="","",SUM(C67,C57,C47,C37,C27))</f>
        <v>0</v>
      </c>
      <c r="D16" s="19">
        <f t="shared" si="5"/>
        <v>0</v>
      </c>
      <c r="E16" s="19">
        <f t="shared" si="5"/>
        <v>1702.8266487025264</v>
      </c>
    </row>
    <row r="17" spans="1:5" s="4" customFormat="1" ht="15" customHeight="1" x14ac:dyDescent="0.25">
      <c r="A17" s="292"/>
      <c r="B17" s="16" t="s">
        <v>26</v>
      </c>
      <c r="C17" s="19">
        <f t="shared" si="5"/>
        <v>0</v>
      </c>
      <c r="D17" s="19">
        <f t="shared" si="5"/>
        <v>0</v>
      </c>
      <c r="E17" s="19">
        <f t="shared" si="5"/>
        <v>0</v>
      </c>
    </row>
    <row r="18" spans="1:5" s="4" customFormat="1" ht="15" customHeight="1" x14ac:dyDescent="0.25">
      <c r="A18" s="292"/>
      <c r="B18" s="16" t="s">
        <v>51</v>
      </c>
      <c r="C18" s="19">
        <f t="shared" si="5"/>
        <v>0</v>
      </c>
      <c r="D18" s="19">
        <f t="shared" si="5"/>
        <v>0</v>
      </c>
      <c r="E18" s="19">
        <f t="shared" si="5"/>
        <v>0</v>
      </c>
    </row>
    <row r="19" spans="1:5" s="4" customFormat="1" ht="15" customHeight="1" x14ac:dyDescent="0.25">
      <c r="A19" s="292"/>
      <c r="B19" s="16" t="s">
        <v>52</v>
      </c>
      <c r="C19" s="19">
        <f t="shared" si="5"/>
        <v>0</v>
      </c>
      <c r="D19" s="19">
        <f t="shared" si="5"/>
        <v>0</v>
      </c>
      <c r="E19" s="19">
        <f t="shared" si="5"/>
        <v>0</v>
      </c>
    </row>
    <row r="20" spans="1:5" s="4" customFormat="1" x14ac:dyDescent="0.25">
      <c r="A20" s="292"/>
      <c r="B20" s="16" t="s">
        <v>13</v>
      </c>
      <c r="C20" s="19">
        <f t="shared" si="5"/>
        <v>0</v>
      </c>
      <c r="D20" s="19">
        <f t="shared" si="5"/>
        <v>0</v>
      </c>
      <c r="E20" s="19">
        <f t="shared" si="5"/>
        <v>1702.8266487025264</v>
      </c>
    </row>
    <row r="21" spans="1:5" s="4" customFormat="1" x14ac:dyDescent="0.25">
      <c r="A21" s="292"/>
      <c r="B21" s="17" t="s">
        <v>8</v>
      </c>
      <c r="C21" s="118">
        <f>IF(C72="","",SUM(C72,C62,C52,C42,C32))</f>
        <v>0</v>
      </c>
      <c r="D21" s="118">
        <f t="shared" si="5"/>
        <v>0</v>
      </c>
      <c r="E21" s="118">
        <f t="shared" si="5"/>
        <v>7.0100000000000007</v>
      </c>
    </row>
    <row r="22" spans="1:5" s="4" customFormat="1" x14ac:dyDescent="0.25">
      <c r="A22" s="292"/>
      <c r="B22" s="17" t="s">
        <v>27</v>
      </c>
      <c r="C22" s="14">
        <f>IF(C21="","",C21)</f>
        <v>0</v>
      </c>
      <c r="D22" s="14">
        <f t="shared" ref="D22:E22" si="6">IF(D21="","",C22+D21)</f>
        <v>0</v>
      </c>
      <c r="E22" s="14">
        <f t="shared" si="6"/>
        <v>7.0100000000000007</v>
      </c>
    </row>
    <row r="23" spans="1:5" s="4" customFormat="1" x14ac:dyDescent="0.25">
      <c r="A23" s="292"/>
      <c r="B23" s="16" t="s">
        <v>14</v>
      </c>
      <c r="C23" s="19">
        <f t="shared" ref="C23:E24" si="7">IF(C73="","",SUM(C73,C63,C53,C43,C33))</f>
        <v>0</v>
      </c>
      <c r="D23" s="19">
        <f t="shared" si="7"/>
        <v>0</v>
      </c>
      <c r="E23" s="19">
        <f t="shared" si="7"/>
        <v>1709.8366487025266</v>
      </c>
    </row>
    <row r="24" spans="1:5" s="4" customFormat="1" x14ac:dyDescent="0.25">
      <c r="A24" s="292"/>
      <c r="B24" s="18" t="s">
        <v>2</v>
      </c>
      <c r="C24" s="19">
        <f t="shared" si="7"/>
        <v>0</v>
      </c>
      <c r="D24" s="19">
        <f t="shared" si="7"/>
        <v>0</v>
      </c>
      <c r="E24" s="19">
        <f t="shared" si="7"/>
        <v>1709.8366487025266</v>
      </c>
    </row>
    <row r="25" spans="1:5" s="4" customFormat="1" ht="8.25" customHeight="1" x14ac:dyDescent="0.25">
      <c r="A25" s="40"/>
      <c r="B25" s="11"/>
      <c r="C25" s="12"/>
      <c r="D25" s="12"/>
      <c r="E25" s="12"/>
    </row>
    <row r="26" spans="1:5" s="4" customFormat="1" ht="15" hidden="1" customHeight="1" outlineLevel="1" x14ac:dyDescent="0.25">
      <c r="A26" s="292" t="s">
        <v>20</v>
      </c>
      <c r="B26" s="15"/>
      <c r="C26" s="7"/>
      <c r="D26" s="7"/>
      <c r="E26" s="7"/>
    </row>
    <row r="27" spans="1:5" s="2" customFormat="1" ht="15" hidden="1" customHeight="1" outlineLevel="1" x14ac:dyDescent="0.25">
      <c r="A27" s="292"/>
      <c r="B27" s="15" t="s">
        <v>28</v>
      </c>
      <c r="C27" s="20">
        <f>IF('M4 Allocations - TD'!B5="","",'M4 Allocations - TD'!B31)</f>
        <v>0</v>
      </c>
      <c r="D27" s="20">
        <f>IF('M4 Allocations - TD'!C5="","",'M4 Allocations - TD'!C31)</f>
        <v>0</v>
      </c>
      <c r="E27" s="20">
        <f>IF('M4 Allocations - TD'!D5="","",'M4 Allocations - TD'!D31)</f>
        <v>1676.0444770623374</v>
      </c>
    </row>
    <row r="28" spans="1:5" s="4" customFormat="1" ht="15" hidden="1" customHeight="1" outlineLevel="1" x14ac:dyDescent="0.25">
      <c r="A28" s="292"/>
      <c r="B28" s="16" t="s">
        <v>26</v>
      </c>
      <c r="C28" s="20">
        <f>IF('M4 Allocations - TD'!B51="","",'M4 Allocations - TD'!B69)</f>
        <v>0</v>
      </c>
      <c r="D28" s="20">
        <f>IF('M4 Allocations - TD'!C51="","",'M4 Allocations - TD'!C69)</f>
        <v>0</v>
      </c>
      <c r="E28" s="20">
        <f>IF('M4 Allocations - TD'!D51="","",'M4 Allocations - TD'!D69)</f>
        <v>0</v>
      </c>
    </row>
    <row r="29" spans="1:5" s="4" customFormat="1" ht="15" hidden="1" customHeight="1" outlineLevel="1" x14ac:dyDescent="0.25">
      <c r="A29" s="292"/>
      <c r="B29" s="16" t="s">
        <v>51</v>
      </c>
      <c r="C29" s="20">
        <v>0</v>
      </c>
      <c r="D29" s="20">
        <v>0</v>
      </c>
      <c r="E29" s="20">
        <v>0</v>
      </c>
    </row>
    <row r="30" spans="1:5" s="4" customFormat="1" ht="15" hidden="1" customHeight="1" outlineLevel="1" x14ac:dyDescent="0.25">
      <c r="A30" s="292"/>
      <c r="B30" s="16" t="s">
        <v>52</v>
      </c>
      <c r="C30" s="7">
        <f t="shared" ref="C30:E30" si="8">IF(OR(C29="",C28=""),"",C28+C29)</f>
        <v>0</v>
      </c>
      <c r="D30" s="7">
        <f t="shared" si="8"/>
        <v>0</v>
      </c>
      <c r="E30" s="7">
        <f t="shared" si="8"/>
        <v>0</v>
      </c>
    </row>
    <row r="31" spans="1:5" s="4" customFormat="1" hidden="1" outlineLevel="1" x14ac:dyDescent="0.25">
      <c r="A31" s="292"/>
      <c r="B31" s="16" t="s">
        <v>13</v>
      </c>
      <c r="C31" s="7">
        <f t="shared" ref="C31:E31" si="9">IF(OR(C30="",C27=""),"",C27-C30)</f>
        <v>0</v>
      </c>
      <c r="D31" s="7">
        <f t="shared" si="9"/>
        <v>0</v>
      </c>
      <c r="E31" s="7">
        <f t="shared" si="9"/>
        <v>1676.0444770623374</v>
      </c>
    </row>
    <row r="32" spans="1:5" s="4" customFormat="1" hidden="1" outlineLevel="1" x14ac:dyDescent="0.25">
      <c r="A32" s="292"/>
      <c r="B32" s="17" t="s">
        <v>8</v>
      </c>
      <c r="C32" s="7">
        <f>IF(OR(C9="",C31=""),"",ROUND((C29+C31)*C9/12,2))</f>
        <v>0</v>
      </c>
      <c r="D32" s="7">
        <f t="shared" ref="D32:E32" si="10">IF(OR(D9="",D31=""),"",ROUND((D29+D31+C34)*D9/12,2))</f>
        <v>0</v>
      </c>
      <c r="E32" s="7">
        <f t="shared" si="10"/>
        <v>6.9</v>
      </c>
    </row>
    <row r="33" spans="1:5" s="4" customFormat="1" hidden="1" outlineLevel="1" x14ac:dyDescent="0.25">
      <c r="A33" s="292"/>
      <c r="B33" s="16" t="s">
        <v>14</v>
      </c>
      <c r="C33" s="7">
        <f t="shared" ref="C33:E33" si="11">IF(OR(C31="",C32=""),"",C31+C32)</f>
        <v>0</v>
      </c>
      <c r="D33" s="7">
        <f t="shared" si="11"/>
        <v>0</v>
      </c>
      <c r="E33" s="7">
        <f t="shared" si="11"/>
        <v>1682.9444770623375</v>
      </c>
    </row>
    <row r="34" spans="1:5" s="4" customFormat="1" hidden="1" outlineLevel="1" x14ac:dyDescent="0.25">
      <c r="A34" s="292"/>
      <c r="B34" s="18" t="s">
        <v>15</v>
      </c>
      <c r="C34" s="7">
        <f>IF(OR(C33=""),"",C33+C29)</f>
        <v>0</v>
      </c>
      <c r="D34" s="7">
        <f t="shared" ref="D34:E34" si="12">IF(OR(D33="",C34=""),"",D33+D29+C34)</f>
        <v>0</v>
      </c>
      <c r="E34" s="7">
        <f t="shared" si="12"/>
        <v>1682.9444770623375</v>
      </c>
    </row>
    <row r="35" spans="1:5" s="4" customFormat="1" ht="8.25" hidden="1" customHeight="1" outlineLevel="1" x14ac:dyDescent="0.25">
      <c r="A35" s="40"/>
      <c r="B35" s="11"/>
      <c r="C35" s="12"/>
      <c r="D35" s="12"/>
      <c r="E35" s="12"/>
    </row>
    <row r="36" spans="1:5" s="4" customFormat="1" ht="15" hidden="1" customHeight="1" outlineLevel="1" x14ac:dyDescent="0.25">
      <c r="A36" s="292" t="s">
        <v>21</v>
      </c>
      <c r="B36" s="15"/>
      <c r="C36" s="7"/>
      <c r="D36" s="7"/>
      <c r="E36" s="7"/>
    </row>
    <row r="37" spans="1:5" s="2" customFormat="1" ht="15" hidden="1" customHeight="1" outlineLevel="1" x14ac:dyDescent="0.25">
      <c r="A37" s="292"/>
      <c r="B37" s="15" t="s">
        <v>28</v>
      </c>
      <c r="C37" s="20">
        <f>IF('M4 Allocations - TD'!B6="","",'M4 Allocations - TD'!B32)</f>
        <v>0</v>
      </c>
      <c r="D37" s="20">
        <f>IF('M4 Allocations - TD'!C6="","",'M4 Allocations - TD'!C32)</f>
        <v>0</v>
      </c>
      <c r="E37" s="20">
        <f>IF('M4 Allocations - TD'!D6="","",'M4 Allocations - TD'!D32)</f>
        <v>6.9103690592109759</v>
      </c>
    </row>
    <row r="38" spans="1:5" s="4" customFormat="1" ht="15" hidden="1" customHeight="1" outlineLevel="1" x14ac:dyDescent="0.25">
      <c r="A38" s="292"/>
      <c r="B38" s="16" t="s">
        <v>26</v>
      </c>
      <c r="C38" s="20">
        <f>IF('M4 Allocations - TD'!B52="","",'M4 Allocations - TD'!B70)</f>
        <v>0</v>
      </c>
      <c r="D38" s="20">
        <f>IF('M4 Allocations - TD'!C52="","",'M4 Allocations - TD'!C70)</f>
        <v>0</v>
      </c>
      <c r="E38" s="20">
        <f>IF('M4 Allocations - TD'!D52="","",'M4 Allocations - TD'!D70)</f>
        <v>0</v>
      </c>
    </row>
    <row r="39" spans="1:5" s="4" customFormat="1" ht="15" hidden="1" customHeight="1" outlineLevel="1" x14ac:dyDescent="0.25">
      <c r="A39" s="292"/>
      <c r="B39" s="16" t="s">
        <v>51</v>
      </c>
      <c r="C39" s="20">
        <v>0</v>
      </c>
      <c r="D39" s="20">
        <v>0</v>
      </c>
      <c r="E39" s="20">
        <v>0</v>
      </c>
    </row>
    <row r="40" spans="1:5" s="4" customFormat="1" ht="15" hidden="1" customHeight="1" outlineLevel="1" x14ac:dyDescent="0.25">
      <c r="A40" s="292"/>
      <c r="B40" s="16" t="s">
        <v>52</v>
      </c>
      <c r="C40" s="7">
        <f t="shared" ref="C40:E40" si="13">IF(OR(C39="",C38=""),"",C38+C39)</f>
        <v>0</v>
      </c>
      <c r="D40" s="7">
        <f t="shared" si="13"/>
        <v>0</v>
      </c>
      <c r="E40" s="7">
        <f t="shared" si="13"/>
        <v>0</v>
      </c>
    </row>
    <row r="41" spans="1:5" s="4" customFormat="1" hidden="1" outlineLevel="1" x14ac:dyDescent="0.25">
      <c r="A41" s="292"/>
      <c r="B41" s="16" t="s">
        <v>13</v>
      </c>
      <c r="C41" s="7">
        <f t="shared" ref="C41:E41" si="14">IF(OR(C40="",C37=""),"",C37-C40)</f>
        <v>0</v>
      </c>
      <c r="D41" s="7">
        <f t="shared" si="14"/>
        <v>0</v>
      </c>
      <c r="E41" s="7">
        <f t="shared" si="14"/>
        <v>6.9103690592109759</v>
      </c>
    </row>
    <row r="42" spans="1:5" s="4" customFormat="1" hidden="1" outlineLevel="1" x14ac:dyDescent="0.25">
      <c r="A42" s="292"/>
      <c r="B42" s="17" t="s">
        <v>8</v>
      </c>
      <c r="C42" s="7">
        <f>IF(OR(C9="",C41=""),"",ROUND((C39+C41)*C9/12,2))</f>
        <v>0</v>
      </c>
      <c r="D42" s="7">
        <f t="shared" ref="D42:E42" si="15">IF(OR(D9="",D41=""),"",ROUND((D39+D41+C44)*D9/12,2))</f>
        <v>0</v>
      </c>
      <c r="E42" s="7">
        <f t="shared" si="15"/>
        <v>0.03</v>
      </c>
    </row>
    <row r="43" spans="1:5" s="4" customFormat="1" hidden="1" outlineLevel="1" x14ac:dyDescent="0.25">
      <c r="A43" s="292"/>
      <c r="B43" s="16" t="s">
        <v>14</v>
      </c>
      <c r="C43" s="7">
        <f t="shared" ref="C43:E43" si="16">IF(OR(C41="",C42=""),"",C41+C42)</f>
        <v>0</v>
      </c>
      <c r="D43" s="7">
        <f t="shared" si="16"/>
        <v>0</v>
      </c>
      <c r="E43" s="7">
        <f t="shared" si="16"/>
        <v>6.9403690592109761</v>
      </c>
    </row>
    <row r="44" spans="1:5" s="4" customFormat="1" hidden="1" outlineLevel="1" x14ac:dyDescent="0.25">
      <c r="A44" s="292"/>
      <c r="B44" s="18" t="s">
        <v>16</v>
      </c>
      <c r="C44" s="7">
        <f>IF(OR(C43=""),"",C43+C39)</f>
        <v>0</v>
      </c>
      <c r="D44" s="7">
        <f t="shared" ref="D44:E44" si="17">IF(OR(D43="",C44=""),"",D43+D39+C44)</f>
        <v>0</v>
      </c>
      <c r="E44" s="7">
        <f t="shared" si="17"/>
        <v>6.9403690592109761</v>
      </c>
    </row>
    <row r="45" spans="1:5" s="4" customFormat="1" ht="8.25" hidden="1" customHeight="1" outlineLevel="1" x14ac:dyDescent="0.25">
      <c r="A45" s="40"/>
      <c r="B45" s="11"/>
      <c r="C45" s="12"/>
      <c r="D45" s="12"/>
      <c r="E45" s="12"/>
    </row>
    <row r="46" spans="1:5" s="4" customFormat="1" ht="15" hidden="1" customHeight="1" outlineLevel="1" x14ac:dyDescent="0.25">
      <c r="A46" s="292" t="s">
        <v>22</v>
      </c>
      <c r="B46" s="15"/>
      <c r="C46" s="7"/>
      <c r="D46" s="7"/>
      <c r="E46" s="7"/>
    </row>
    <row r="47" spans="1:5" s="2" customFormat="1" ht="15" hidden="1" customHeight="1" outlineLevel="1" x14ac:dyDescent="0.25">
      <c r="A47" s="292"/>
      <c r="B47" s="15" t="s">
        <v>28</v>
      </c>
      <c r="C47" s="20">
        <f>IF('M4 Allocations - TD'!B7="","",'M4 Allocations - TD'!B33)</f>
        <v>0</v>
      </c>
      <c r="D47" s="20">
        <f>IF('M4 Allocations - TD'!C7="","",'M4 Allocations - TD'!C33)</f>
        <v>0</v>
      </c>
      <c r="E47" s="20">
        <f>IF('M4 Allocations - TD'!D7="","",'M4 Allocations - TD'!D33)</f>
        <v>12.959999466356765</v>
      </c>
    </row>
    <row r="48" spans="1:5" s="4" customFormat="1" ht="15" hidden="1" customHeight="1" outlineLevel="1" x14ac:dyDescent="0.25">
      <c r="A48" s="292"/>
      <c r="B48" s="16" t="s">
        <v>26</v>
      </c>
      <c r="C48" s="20">
        <f>IF('M4 Allocations - TD'!B53="","",'M4 Allocations - TD'!B71)</f>
        <v>0</v>
      </c>
      <c r="D48" s="20">
        <f>IF('M4 Allocations - TD'!C53="","",'M4 Allocations - TD'!C71)</f>
        <v>0</v>
      </c>
      <c r="E48" s="20">
        <f>IF('M4 Allocations - TD'!D53="","",'M4 Allocations - TD'!D71)</f>
        <v>0</v>
      </c>
    </row>
    <row r="49" spans="1:5" s="4" customFormat="1" ht="15" hidden="1" customHeight="1" outlineLevel="1" x14ac:dyDescent="0.25">
      <c r="A49" s="292"/>
      <c r="B49" s="16" t="s">
        <v>51</v>
      </c>
      <c r="C49" s="20">
        <v>0</v>
      </c>
      <c r="D49" s="20">
        <v>0</v>
      </c>
      <c r="E49" s="20">
        <v>0</v>
      </c>
    </row>
    <row r="50" spans="1:5" s="4" customFormat="1" ht="15" hidden="1" customHeight="1" outlineLevel="1" x14ac:dyDescent="0.25">
      <c r="A50" s="292"/>
      <c r="B50" s="16" t="s">
        <v>52</v>
      </c>
      <c r="C50" s="7">
        <f t="shared" ref="C50:E50" si="18">IF(OR(C49="",C48=""),"",C48+C49)</f>
        <v>0</v>
      </c>
      <c r="D50" s="7">
        <f t="shared" si="18"/>
        <v>0</v>
      </c>
      <c r="E50" s="7">
        <f t="shared" si="18"/>
        <v>0</v>
      </c>
    </row>
    <row r="51" spans="1:5" s="4" customFormat="1" hidden="1" outlineLevel="1" x14ac:dyDescent="0.25">
      <c r="A51" s="292"/>
      <c r="B51" s="16" t="s">
        <v>13</v>
      </c>
      <c r="C51" s="7">
        <f t="shared" ref="C51:E51" si="19">IF(OR(C50="",C47=""),"",C47-C50)</f>
        <v>0</v>
      </c>
      <c r="D51" s="7">
        <f t="shared" si="19"/>
        <v>0</v>
      </c>
      <c r="E51" s="7">
        <f t="shared" si="19"/>
        <v>12.959999466356765</v>
      </c>
    </row>
    <row r="52" spans="1:5" s="4" customFormat="1" hidden="1" outlineLevel="1" x14ac:dyDescent="0.25">
      <c r="A52" s="292"/>
      <c r="B52" s="17" t="s">
        <v>8</v>
      </c>
      <c r="C52" s="7">
        <f>IF(OR(C9="",C51=""),"",ROUND((C49+C51)*C9/12,2))</f>
        <v>0</v>
      </c>
      <c r="D52" s="7">
        <f t="shared" ref="D52:E52" si="20">IF(OR(D9="",D51=""),"",ROUND((D49+D51+C54)*D9/12,2))</f>
        <v>0</v>
      </c>
      <c r="E52" s="7">
        <f t="shared" si="20"/>
        <v>0.05</v>
      </c>
    </row>
    <row r="53" spans="1:5" s="4" customFormat="1" hidden="1" outlineLevel="1" x14ac:dyDescent="0.25">
      <c r="A53" s="292"/>
      <c r="B53" s="16" t="s">
        <v>14</v>
      </c>
      <c r="C53" s="7">
        <f t="shared" ref="C53:E53" si="21">IF(OR(C51="",C52=""),"",C51+C52)</f>
        <v>0</v>
      </c>
      <c r="D53" s="7">
        <f t="shared" si="21"/>
        <v>0</v>
      </c>
      <c r="E53" s="7">
        <f t="shared" si="21"/>
        <v>13.009999466356765</v>
      </c>
    </row>
    <row r="54" spans="1:5" s="4" customFormat="1" hidden="1" outlineLevel="1" x14ac:dyDescent="0.25">
      <c r="A54" s="292"/>
      <c r="B54" s="18" t="s">
        <v>17</v>
      </c>
      <c r="C54" s="7">
        <f>IF(OR(C53=""),"",C53+C49)</f>
        <v>0</v>
      </c>
      <c r="D54" s="7">
        <f t="shared" ref="D54:E54" si="22">IF(OR(D53="",C54=""),"",D53+D49+C54)</f>
        <v>0</v>
      </c>
      <c r="E54" s="7">
        <f t="shared" si="22"/>
        <v>13.009999466356765</v>
      </c>
    </row>
    <row r="55" spans="1:5" s="4" customFormat="1" ht="8.25" hidden="1" customHeight="1" outlineLevel="1" x14ac:dyDescent="0.25">
      <c r="A55" s="40"/>
      <c r="B55" s="11"/>
      <c r="C55" s="12"/>
      <c r="D55" s="12"/>
      <c r="E55" s="12"/>
    </row>
    <row r="56" spans="1:5" s="4" customFormat="1" ht="15" hidden="1" customHeight="1" outlineLevel="1" x14ac:dyDescent="0.25">
      <c r="A56" s="292" t="s">
        <v>23</v>
      </c>
      <c r="B56" s="15"/>
      <c r="C56" s="7"/>
      <c r="D56" s="7"/>
      <c r="E56" s="7"/>
    </row>
    <row r="57" spans="1:5" s="2" customFormat="1" ht="15" hidden="1" customHeight="1" outlineLevel="1" x14ac:dyDescent="0.25">
      <c r="A57" s="292"/>
      <c r="B57" s="15" t="s">
        <v>28</v>
      </c>
      <c r="C57" s="20">
        <f>IF('M4 Allocations - TD'!B8="","",'M4 Allocations - TD'!B34)</f>
        <v>0</v>
      </c>
      <c r="D57" s="20">
        <f>IF('M4 Allocations - TD'!C8="","",'M4 Allocations - TD'!C34)</f>
        <v>0</v>
      </c>
      <c r="E57" s="20">
        <f>IF('M4 Allocations - TD'!D8="","",'M4 Allocations - TD'!D34)</f>
        <v>5.425342683710296</v>
      </c>
    </row>
    <row r="58" spans="1:5" s="4" customFormat="1" ht="15" hidden="1" customHeight="1" outlineLevel="1" x14ac:dyDescent="0.25">
      <c r="A58" s="292"/>
      <c r="B58" s="16" t="s">
        <v>26</v>
      </c>
      <c r="C58" s="20">
        <f>IF('M4 Allocations - TD'!B54="","",'M4 Allocations - TD'!B72)</f>
        <v>0</v>
      </c>
      <c r="D58" s="20">
        <f>IF('M4 Allocations - TD'!C54="","",'M4 Allocations - TD'!C72)</f>
        <v>0</v>
      </c>
      <c r="E58" s="20">
        <f>IF('M4 Allocations - TD'!D54="","",'M4 Allocations - TD'!D72)</f>
        <v>0</v>
      </c>
    </row>
    <row r="59" spans="1:5" s="4" customFormat="1" ht="15" hidden="1" customHeight="1" outlineLevel="1" x14ac:dyDescent="0.25">
      <c r="A59" s="292"/>
      <c r="B59" s="16" t="s">
        <v>51</v>
      </c>
      <c r="C59" s="20">
        <v>0</v>
      </c>
      <c r="D59" s="20">
        <v>0</v>
      </c>
      <c r="E59" s="20">
        <v>0</v>
      </c>
    </row>
    <row r="60" spans="1:5" s="4" customFormat="1" ht="15" hidden="1" customHeight="1" outlineLevel="1" x14ac:dyDescent="0.25">
      <c r="A60" s="292"/>
      <c r="B60" s="16" t="s">
        <v>52</v>
      </c>
      <c r="C60" s="7">
        <f t="shared" ref="C60:E60" si="23">IF(OR(C59="",C58=""),"",C58+C59)</f>
        <v>0</v>
      </c>
      <c r="D60" s="7">
        <f t="shared" si="23"/>
        <v>0</v>
      </c>
      <c r="E60" s="7">
        <f t="shared" si="23"/>
        <v>0</v>
      </c>
    </row>
    <row r="61" spans="1:5" s="4" customFormat="1" hidden="1" outlineLevel="1" x14ac:dyDescent="0.25">
      <c r="A61" s="292"/>
      <c r="B61" s="16" t="s">
        <v>13</v>
      </c>
      <c r="C61" s="7">
        <f t="shared" ref="C61:E61" si="24">IF(OR(C60="",C57=""),"",C57-C60)</f>
        <v>0</v>
      </c>
      <c r="D61" s="7">
        <f t="shared" si="24"/>
        <v>0</v>
      </c>
      <c r="E61" s="7">
        <f t="shared" si="24"/>
        <v>5.425342683710296</v>
      </c>
    </row>
    <row r="62" spans="1:5" s="4" customFormat="1" hidden="1" outlineLevel="1" x14ac:dyDescent="0.25">
      <c r="A62" s="292"/>
      <c r="B62" s="17" t="s">
        <v>8</v>
      </c>
      <c r="C62" s="7">
        <f>IF(OR(C9="",C61=""),"",ROUND((C59+C61)*C9/12,2))</f>
        <v>0</v>
      </c>
      <c r="D62" s="7">
        <f t="shared" ref="D62:E62" si="25">IF(OR(D9="",D61=""),"",ROUND((D59+D61+C64)*D9/12,2))</f>
        <v>0</v>
      </c>
      <c r="E62" s="7">
        <f t="shared" si="25"/>
        <v>0.02</v>
      </c>
    </row>
    <row r="63" spans="1:5" s="4" customFormat="1" hidden="1" outlineLevel="1" x14ac:dyDescent="0.25">
      <c r="A63" s="292"/>
      <c r="B63" s="16" t="s">
        <v>14</v>
      </c>
      <c r="C63" s="7">
        <f t="shared" ref="C63:E63" si="26">IF(OR(C61="",C62=""),"",C61+C62)</f>
        <v>0</v>
      </c>
      <c r="D63" s="7">
        <f t="shared" si="26"/>
        <v>0</v>
      </c>
      <c r="E63" s="7">
        <f t="shared" si="26"/>
        <v>5.4453426837102956</v>
      </c>
    </row>
    <row r="64" spans="1:5" s="4" customFormat="1" hidden="1" outlineLevel="1" x14ac:dyDescent="0.25">
      <c r="A64" s="292"/>
      <c r="B64" s="18" t="s">
        <v>18</v>
      </c>
      <c r="C64" s="7">
        <f>IF(OR(C63=""),"",C63+C59)</f>
        <v>0</v>
      </c>
      <c r="D64" s="7">
        <f t="shared" ref="D64:E64" si="27">IF(OR(D63="",C64=""),"",D63+D59+C64)</f>
        <v>0</v>
      </c>
      <c r="E64" s="7">
        <f t="shared" si="27"/>
        <v>5.4453426837102956</v>
      </c>
    </row>
    <row r="65" spans="1:5" s="4" customFormat="1" ht="8.25" hidden="1" customHeight="1" outlineLevel="1" x14ac:dyDescent="0.25">
      <c r="A65" s="40"/>
      <c r="B65" s="11"/>
      <c r="C65" s="12"/>
      <c r="D65" s="12"/>
      <c r="E65" s="12"/>
    </row>
    <row r="66" spans="1:5" s="4" customFormat="1" ht="15" hidden="1" customHeight="1" outlineLevel="1" x14ac:dyDescent="0.25">
      <c r="A66" s="292" t="s">
        <v>24</v>
      </c>
      <c r="B66" s="15"/>
      <c r="C66" s="7"/>
      <c r="D66" s="7"/>
      <c r="E66" s="7"/>
    </row>
    <row r="67" spans="1:5" s="2" customFormat="1" ht="15" hidden="1" customHeight="1" outlineLevel="1" x14ac:dyDescent="0.25">
      <c r="A67" s="292"/>
      <c r="B67" s="15" t="s">
        <v>28</v>
      </c>
      <c r="C67" s="20">
        <f>IF('M4 Allocations - TD'!B9="","",'M4 Allocations - TD'!B35)</f>
        <v>0</v>
      </c>
      <c r="D67" s="20">
        <f>IF('M4 Allocations - TD'!C9="","",'M4 Allocations - TD'!C35)</f>
        <v>0</v>
      </c>
      <c r="E67" s="20">
        <f>IF('M4 Allocations - TD'!D9="","",'M4 Allocations - TD'!D35)</f>
        <v>1.4864604309111322</v>
      </c>
    </row>
    <row r="68" spans="1:5" s="4" customFormat="1" ht="15" hidden="1" customHeight="1" outlineLevel="1" x14ac:dyDescent="0.25">
      <c r="A68" s="292"/>
      <c r="B68" s="16" t="s">
        <v>26</v>
      </c>
      <c r="C68" s="20">
        <f>IF('M4 Allocations - TD'!B55="","",'M4 Allocations - TD'!B73)</f>
        <v>0</v>
      </c>
      <c r="D68" s="20">
        <f>IF('M4 Allocations - TD'!C55="","",'M4 Allocations - TD'!C73)</f>
        <v>0</v>
      </c>
      <c r="E68" s="20">
        <f>IF('M4 Allocations - TD'!D55="","",'M4 Allocations - TD'!D73)</f>
        <v>0</v>
      </c>
    </row>
    <row r="69" spans="1:5" s="4" customFormat="1" ht="15" hidden="1" customHeight="1" outlineLevel="1" x14ac:dyDescent="0.25">
      <c r="A69" s="292"/>
      <c r="B69" s="16" t="s">
        <v>51</v>
      </c>
      <c r="C69" s="20">
        <v>0</v>
      </c>
      <c r="D69" s="20">
        <v>0</v>
      </c>
      <c r="E69" s="20">
        <v>0</v>
      </c>
    </row>
    <row r="70" spans="1:5" s="4" customFormat="1" ht="15" hidden="1" customHeight="1" outlineLevel="1" x14ac:dyDescent="0.25">
      <c r="A70" s="292"/>
      <c r="B70" s="16" t="s">
        <v>52</v>
      </c>
      <c r="C70" s="7">
        <f t="shared" ref="C70:E70" si="28">IF(OR(C69="",C68=""),"",C68+C69)</f>
        <v>0</v>
      </c>
      <c r="D70" s="7">
        <f t="shared" si="28"/>
        <v>0</v>
      </c>
      <c r="E70" s="7">
        <f t="shared" si="28"/>
        <v>0</v>
      </c>
    </row>
    <row r="71" spans="1:5" s="4" customFormat="1" hidden="1" outlineLevel="1" x14ac:dyDescent="0.25">
      <c r="A71" s="292"/>
      <c r="B71" s="16" t="s">
        <v>13</v>
      </c>
      <c r="C71" s="7">
        <f t="shared" ref="C71:E71" si="29">IF(OR(C70="",C67=""),"",C67-C70)</f>
        <v>0</v>
      </c>
      <c r="D71" s="7">
        <f t="shared" si="29"/>
        <v>0</v>
      </c>
      <c r="E71" s="7">
        <f t="shared" si="29"/>
        <v>1.4864604309111322</v>
      </c>
    </row>
    <row r="72" spans="1:5" s="4" customFormat="1" hidden="1" outlineLevel="1" x14ac:dyDescent="0.25">
      <c r="A72" s="292"/>
      <c r="B72" s="17" t="s">
        <v>8</v>
      </c>
      <c r="C72" s="7">
        <f>IF(OR(C9="",C71=""),"",ROUND((C69+C71)*C9/12,2))</f>
        <v>0</v>
      </c>
      <c r="D72" s="7">
        <f t="shared" ref="D72:E72" si="30">IF(OR(D9="",D71=""),"",ROUND((D69+D71+C74)*D9/12,2))</f>
        <v>0</v>
      </c>
      <c r="E72" s="7">
        <f t="shared" si="30"/>
        <v>0.01</v>
      </c>
    </row>
    <row r="73" spans="1:5" s="4" customFormat="1" hidden="1" outlineLevel="1" x14ac:dyDescent="0.25">
      <c r="A73" s="292"/>
      <c r="B73" s="16" t="s">
        <v>14</v>
      </c>
      <c r="C73" s="7">
        <f t="shared" ref="C73:E73" si="31">IF(OR(C71="",C72=""),"",C71+C72)</f>
        <v>0</v>
      </c>
      <c r="D73" s="7">
        <f t="shared" si="31"/>
        <v>0</v>
      </c>
      <c r="E73" s="7">
        <f t="shared" si="31"/>
        <v>1.4964604309111322</v>
      </c>
    </row>
    <row r="74" spans="1:5" s="4" customFormat="1" hidden="1" outlineLevel="1" x14ac:dyDescent="0.25">
      <c r="A74" s="292"/>
      <c r="B74" s="18" t="s">
        <v>19</v>
      </c>
      <c r="C74" s="7">
        <f>IF(OR(C73=""),"",C73+C69)</f>
        <v>0</v>
      </c>
      <c r="D74" s="7">
        <f t="shared" ref="D74:E74" si="32">IF(OR(D73="",C74=""),"",D73+D69+C74)</f>
        <v>0</v>
      </c>
      <c r="E74" s="7">
        <f t="shared" si="32"/>
        <v>1.4964604309111322</v>
      </c>
    </row>
    <row r="75" spans="1:5" s="4" customFormat="1" ht="8.25" hidden="1" customHeight="1" outlineLevel="1" x14ac:dyDescent="0.25">
      <c r="A75" s="40"/>
      <c r="B75" s="11"/>
      <c r="C75" s="12"/>
      <c r="D75" s="12"/>
      <c r="E75" s="12"/>
    </row>
    <row r="76" spans="1:5" ht="15" customHeight="1" collapsed="1" x14ac:dyDescent="0.25">
      <c r="A76" s="293" t="s">
        <v>65</v>
      </c>
      <c r="B76" s="84"/>
      <c r="C76" s="229"/>
      <c r="D76" s="229"/>
      <c r="E76" s="229"/>
    </row>
    <row r="77" spans="1:5" s="3" customFormat="1" x14ac:dyDescent="0.25">
      <c r="A77" s="293"/>
      <c r="B77" s="84" t="s">
        <v>66</v>
      </c>
      <c r="C77" s="126">
        <v>0</v>
      </c>
      <c r="D77" s="126">
        <v>0</v>
      </c>
      <c r="E77" s="126">
        <v>0</v>
      </c>
    </row>
    <row r="78" spans="1:5" s="3" customFormat="1" x14ac:dyDescent="0.25">
      <c r="A78" s="293"/>
      <c r="B78" s="84" t="s">
        <v>67</v>
      </c>
      <c r="C78" s="8">
        <f t="shared" ref="C78:E78" si="33">IF(OR(C77=""),"",C76-C77)</f>
        <v>0</v>
      </c>
      <c r="D78" s="8">
        <f t="shared" si="33"/>
        <v>0</v>
      </c>
      <c r="E78" s="8">
        <f t="shared" si="33"/>
        <v>0</v>
      </c>
    </row>
    <row r="79" spans="1:5" s="3" customFormat="1" x14ac:dyDescent="0.25">
      <c r="A79" s="293"/>
      <c r="B79" s="85" t="s">
        <v>8</v>
      </c>
      <c r="C79" s="126">
        <f>IF(OR(C9="",C78=""),"",((C78)*C9)/12)</f>
        <v>0</v>
      </c>
      <c r="D79" s="126">
        <f t="shared" ref="D79:E79" si="34">IF(OR(D9="",D78=""),"",((D78+C82)*D9)/12)</f>
        <v>0</v>
      </c>
      <c r="E79" s="126">
        <f t="shared" si="34"/>
        <v>0</v>
      </c>
    </row>
    <row r="80" spans="1:5" s="3" customFormat="1" x14ac:dyDescent="0.25">
      <c r="A80" s="293"/>
      <c r="B80" s="85" t="s">
        <v>6</v>
      </c>
      <c r="C80" s="8">
        <f>IF(OR(C79=""),"",C79)</f>
        <v>0</v>
      </c>
      <c r="D80" s="8">
        <f t="shared" ref="D80:E80" si="35">IF(OR(C80="",D79=""),"",C80+D79)</f>
        <v>0</v>
      </c>
      <c r="E80" s="8">
        <f t="shared" si="35"/>
        <v>0</v>
      </c>
    </row>
    <row r="81" spans="1:5" s="3" customFormat="1" x14ac:dyDescent="0.25">
      <c r="A81" s="293"/>
      <c r="B81" s="84" t="s">
        <v>69</v>
      </c>
      <c r="C81" s="8">
        <f t="shared" ref="C81:E81" si="36">IF(OR(C79="",C78=""),"",C78+C79)</f>
        <v>0</v>
      </c>
      <c r="D81" s="8">
        <f t="shared" si="36"/>
        <v>0</v>
      </c>
      <c r="E81" s="8">
        <f t="shared" si="36"/>
        <v>0</v>
      </c>
    </row>
    <row r="82" spans="1:5" s="3" customFormat="1" x14ac:dyDescent="0.25">
      <c r="A82" s="293"/>
      <c r="B82" s="86" t="s">
        <v>70</v>
      </c>
      <c r="C82" s="8">
        <f>IF(OR(C81=""),"",C81)</f>
        <v>0</v>
      </c>
      <c r="D82" s="8">
        <f t="shared" ref="D82:E82" si="37">IF(OR(D81="",C82=""),"",D81+C82)</f>
        <v>0</v>
      </c>
      <c r="E82" s="8">
        <f t="shared" si="37"/>
        <v>0</v>
      </c>
    </row>
    <row r="83" spans="1:5" s="4" customFormat="1" ht="8.25" customHeight="1" x14ac:dyDescent="0.25">
      <c r="A83" s="40"/>
      <c r="B83" s="11"/>
      <c r="C83" s="12"/>
      <c r="D83" s="12"/>
      <c r="E83" s="12"/>
    </row>
    <row r="84" spans="1:5" s="4" customFormat="1" x14ac:dyDescent="0.25">
      <c r="A84" s="123"/>
      <c r="B84" s="52"/>
      <c r="C84" s="7"/>
      <c r="D84" s="7"/>
      <c r="E84" s="7"/>
    </row>
    <row r="85" spans="1:5" x14ac:dyDescent="0.25">
      <c r="A85" s="294" t="s">
        <v>81</v>
      </c>
      <c r="B85" s="52" t="s">
        <v>72</v>
      </c>
      <c r="C85" s="60">
        <v>0</v>
      </c>
      <c r="D85" s="60">
        <v>0</v>
      </c>
      <c r="E85" s="60">
        <v>0</v>
      </c>
    </row>
    <row r="86" spans="1:5" x14ac:dyDescent="0.25">
      <c r="A86" s="294"/>
      <c r="B86" s="52" t="s">
        <v>73</v>
      </c>
      <c r="C86" s="126">
        <v>0</v>
      </c>
      <c r="D86" s="126">
        <v>0</v>
      </c>
      <c r="E86" s="126">
        <v>0</v>
      </c>
    </row>
    <row r="87" spans="1:5" x14ac:dyDescent="0.25">
      <c r="A87" s="294"/>
      <c r="B87" s="52" t="s">
        <v>74</v>
      </c>
      <c r="C87" s="7">
        <f>IF(OR(C85="",C86=""),"",C85-C86)</f>
        <v>0</v>
      </c>
      <c r="D87" s="7">
        <f t="shared" ref="D87:E87" si="38">IF(OR(D85="",D86=""),"",D85-D86)</f>
        <v>0</v>
      </c>
      <c r="E87" s="7">
        <f t="shared" si="38"/>
        <v>0</v>
      </c>
    </row>
    <row r="88" spans="1:5" x14ac:dyDescent="0.25">
      <c r="A88" s="294"/>
      <c r="B88" s="52" t="s">
        <v>4</v>
      </c>
      <c r="C88" s="61">
        <f t="shared" ref="C88:E88" si="39">IF(C87="","",C9)</f>
        <v>4.9407439999999997E-2</v>
      </c>
      <c r="D88" s="61">
        <f t="shared" si="39"/>
        <v>4.9407439999999997E-2</v>
      </c>
      <c r="E88" s="61">
        <f t="shared" si="39"/>
        <v>4.9407439999999997E-2</v>
      </c>
    </row>
    <row r="89" spans="1:5" x14ac:dyDescent="0.25">
      <c r="A89" s="294"/>
      <c r="B89" s="52" t="s">
        <v>49</v>
      </c>
      <c r="C89" s="126">
        <f>IF(OR(C88="",C87=""),"",((C87)*C88)/12)</f>
        <v>0</v>
      </c>
      <c r="D89" s="126">
        <f t="shared" ref="D89:E89" si="40">IF(OR(D88="",D87="",C92=""),"",((C92+D87)*D88)/12)</f>
        <v>0</v>
      </c>
      <c r="E89" s="126">
        <f t="shared" si="40"/>
        <v>0</v>
      </c>
    </row>
    <row r="90" spans="1:5" x14ac:dyDescent="0.25">
      <c r="A90" s="294"/>
      <c r="B90" s="53" t="s">
        <v>6</v>
      </c>
      <c r="C90" s="8">
        <f>IF(OR(C89=""),"",C89)</f>
        <v>0</v>
      </c>
      <c r="D90" s="8">
        <f t="shared" ref="D90:E90" si="41">IF(OR(C90="",D89=""),"",C90+D89)</f>
        <v>0</v>
      </c>
      <c r="E90" s="8">
        <f t="shared" si="41"/>
        <v>0</v>
      </c>
    </row>
    <row r="91" spans="1:5" x14ac:dyDescent="0.25">
      <c r="A91" s="294"/>
      <c r="B91" s="70" t="s">
        <v>75</v>
      </c>
      <c r="C91" s="8">
        <f t="shared" ref="C91:E91" si="42">IF(OR(C89="",C87=""),"",C87+C89)</f>
        <v>0</v>
      </c>
      <c r="D91" s="8">
        <f t="shared" si="42"/>
        <v>0</v>
      </c>
      <c r="E91" s="8">
        <f t="shared" si="42"/>
        <v>0</v>
      </c>
    </row>
    <row r="92" spans="1:5" x14ac:dyDescent="0.25">
      <c r="A92" s="294"/>
      <c r="B92" s="52" t="s">
        <v>76</v>
      </c>
      <c r="C92" s="8">
        <f>IF(OR(C91=""),"",C91)</f>
        <v>0</v>
      </c>
      <c r="D92" s="8">
        <f t="shared" ref="D92:E92" si="43">IF(OR(D91="",C92=""),"",C92+D91)</f>
        <v>0</v>
      </c>
      <c r="E92" s="8">
        <f t="shared" si="43"/>
        <v>0</v>
      </c>
    </row>
    <row r="93" spans="1:5" x14ac:dyDescent="0.25">
      <c r="A93" s="294"/>
      <c r="B93" s="54" t="s">
        <v>77</v>
      </c>
      <c r="C93" s="8">
        <f>IF(C86="","",-C86+C89)</f>
        <v>0</v>
      </c>
      <c r="D93" s="8">
        <f t="shared" ref="D93:E93" si="44">IF(D86="","",C93-D86+D89)</f>
        <v>0</v>
      </c>
      <c r="E93" s="8">
        <f t="shared" si="44"/>
        <v>0</v>
      </c>
    </row>
    <row r="94" spans="1:5" s="4" customFormat="1" ht="8.25" customHeight="1" x14ac:dyDescent="0.25">
      <c r="A94" s="40"/>
      <c r="B94" s="11"/>
      <c r="C94" s="12"/>
      <c r="D94" s="12"/>
      <c r="E94" s="12"/>
    </row>
    <row r="95" spans="1:5" x14ac:dyDescent="0.25">
      <c r="A95"/>
    </row>
    <row r="96" spans="1:5"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row r="175" spans="1:1" x14ac:dyDescent="0.25"/>
    <row r="176" spans="1:1" x14ac:dyDescent="0.25"/>
    <row r="177" x14ac:dyDescent="0.25"/>
    <row r="178" x14ac:dyDescent="0.25"/>
    <row r="179" x14ac:dyDescent="0.25"/>
    <row r="180" x14ac:dyDescent="0.25"/>
    <row r="181" x14ac:dyDescent="0.25"/>
    <row r="182" x14ac:dyDescent="0.25"/>
    <row r="183" x14ac:dyDescent="0.25"/>
  </sheetData>
  <mergeCells count="9">
    <mergeCell ref="A66:A74"/>
    <mergeCell ref="A76:A82"/>
    <mergeCell ref="A85:A93"/>
    <mergeCell ref="A5:A13"/>
    <mergeCell ref="A15:A24"/>
    <mergeCell ref="A26:A34"/>
    <mergeCell ref="A36:A44"/>
    <mergeCell ref="A46:A54"/>
    <mergeCell ref="A56:A64"/>
  </mergeCells>
  <printOptions headings="1"/>
  <pageMargins left="0.2" right="0.2" top="0.5" bottom="0.5" header="0.3" footer="0.3"/>
  <pageSetup scale="46" orientation="landscape" cellComments="asDisplayed" r:id="rId1"/>
  <headerFooter>
    <oddHeader>&amp;C&amp;A</oddHead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CT73"/>
  <sheetViews>
    <sheetView zoomScaleNormal="100" workbookViewId="0">
      <pane xSplit="1" ySplit="3" topLeftCell="CG4" activePane="bottomRight" state="frozen"/>
      <selection activeCell="CW24" sqref="CW24"/>
      <selection pane="topRight" activeCell="CW24" sqref="CW24"/>
      <selection pane="bottomLeft" activeCell="CW24" sqref="CW24"/>
      <selection pane="bottomRight" activeCell="CU1" sqref="CU1"/>
    </sheetView>
  </sheetViews>
  <sheetFormatPr defaultRowHeight="15" x14ac:dyDescent="0.25"/>
  <cols>
    <col min="1" max="1" width="39.140625" customWidth="1"/>
    <col min="2" max="3" width="11" customWidth="1"/>
    <col min="4" max="4" width="16" customWidth="1"/>
    <col min="5" max="18" width="14.140625" customWidth="1"/>
    <col min="19" max="19" width="15" bestFit="1" customWidth="1"/>
    <col min="20" max="20" width="14.140625" customWidth="1"/>
    <col min="21" max="21" width="15" customWidth="1"/>
    <col min="22" max="37" width="15.28515625" bestFit="1" customWidth="1"/>
    <col min="38" max="38" width="15" bestFit="1" customWidth="1"/>
    <col min="39" max="52" width="15.28515625" bestFit="1" customWidth="1"/>
    <col min="53" max="98" width="16" bestFit="1" customWidth="1"/>
  </cols>
  <sheetData>
    <row r="1" spans="1:98" x14ac:dyDescent="0.25">
      <c r="A1" s="33" t="s">
        <v>30</v>
      </c>
    </row>
    <row r="2" spans="1:98" x14ac:dyDescent="0.25">
      <c r="A2" s="25"/>
    </row>
    <row r="3" spans="1:98" x14ac:dyDescent="0.25">
      <c r="B3" s="10">
        <v>42370</v>
      </c>
      <c r="C3" s="10">
        <v>42401</v>
      </c>
      <c r="D3" s="10">
        <v>42430</v>
      </c>
      <c r="E3" s="10">
        <v>42461</v>
      </c>
      <c r="F3" s="10">
        <v>42491</v>
      </c>
      <c r="G3" s="10">
        <v>42522</v>
      </c>
      <c r="H3" s="10">
        <v>42552</v>
      </c>
      <c r="I3" s="10">
        <v>42583</v>
      </c>
      <c r="J3" s="10">
        <v>42614</v>
      </c>
      <c r="K3" s="10">
        <v>42644</v>
      </c>
      <c r="L3" s="10">
        <v>42675</v>
      </c>
      <c r="M3" s="10">
        <v>42705</v>
      </c>
      <c r="N3" s="10">
        <v>42736</v>
      </c>
      <c r="O3" s="10">
        <v>42767</v>
      </c>
      <c r="P3" s="10">
        <v>42795</v>
      </c>
      <c r="Q3" s="10">
        <v>42826</v>
      </c>
      <c r="R3" s="10">
        <v>42856</v>
      </c>
      <c r="S3" s="10">
        <v>42887</v>
      </c>
      <c r="T3" s="10">
        <v>42917</v>
      </c>
      <c r="U3" s="10">
        <v>42948</v>
      </c>
      <c r="V3" s="10">
        <v>42979</v>
      </c>
      <c r="W3" s="10">
        <v>43009</v>
      </c>
      <c r="X3" s="10">
        <v>43040</v>
      </c>
      <c r="Y3" s="10">
        <v>43070</v>
      </c>
      <c r="Z3" s="10">
        <v>43101</v>
      </c>
      <c r="AA3" s="10">
        <v>43132</v>
      </c>
      <c r="AB3" s="10">
        <v>43160</v>
      </c>
      <c r="AC3" s="10">
        <v>43191</v>
      </c>
      <c r="AD3" s="10">
        <v>43221</v>
      </c>
      <c r="AE3" s="10">
        <v>43252</v>
      </c>
      <c r="AF3" s="10">
        <v>43282</v>
      </c>
      <c r="AG3" s="10">
        <v>43313</v>
      </c>
      <c r="AH3" s="10">
        <v>43344</v>
      </c>
      <c r="AI3" s="10">
        <v>43374</v>
      </c>
      <c r="AJ3" s="10">
        <v>43405</v>
      </c>
      <c r="AK3" s="10">
        <v>43435</v>
      </c>
      <c r="AL3" s="10">
        <v>43466</v>
      </c>
      <c r="AM3" s="10">
        <v>43497</v>
      </c>
      <c r="AN3" s="10">
        <v>43525</v>
      </c>
      <c r="AO3" s="10">
        <v>43556</v>
      </c>
      <c r="AP3" s="10">
        <v>43586</v>
      </c>
      <c r="AQ3" s="10">
        <v>43617</v>
      </c>
      <c r="AR3" s="10">
        <v>43647</v>
      </c>
      <c r="AS3" s="10">
        <v>43678</v>
      </c>
      <c r="AT3" s="10">
        <v>43709</v>
      </c>
      <c r="AU3" s="10">
        <v>43739</v>
      </c>
      <c r="AV3" s="10">
        <v>43770</v>
      </c>
      <c r="AW3" s="10">
        <v>43800</v>
      </c>
      <c r="AX3" s="10">
        <v>43831</v>
      </c>
      <c r="AY3" s="10">
        <v>43862</v>
      </c>
      <c r="AZ3" s="10">
        <v>43891</v>
      </c>
      <c r="BA3" s="10">
        <v>43922</v>
      </c>
      <c r="BB3" s="10">
        <v>43952</v>
      </c>
      <c r="BC3" s="10">
        <v>43983</v>
      </c>
      <c r="BD3" s="10">
        <v>44013</v>
      </c>
      <c r="BE3" s="10">
        <v>44044</v>
      </c>
      <c r="BF3" s="10">
        <v>44075</v>
      </c>
      <c r="BG3" s="10">
        <v>44105</v>
      </c>
      <c r="BH3" s="10">
        <v>44136</v>
      </c>
      <c r="BI3" s="10">
        <v>44166</v>
      </c>
      <c r="BJ3" s="10">
        <v>44197</v>
      </c>
      <c r="BK3" s="10">
        <v>44228</v>
      </c>
      <c r="BL3" s="10">
        <v>44256</v>
      </c>
      <c r="BM3" s="10">
        <v>44287</v>
      </c>
      <c r="BN3" s="10">
        <v>44317</v>
      </c>
      <c r="BO3" s="10">
        <v>44348</v>
      </c>
      <c r="BP3" s="10">
        <v>44378</v>
      </c>
      <c r="BQ3" s="10">
        <v>44409</v>
      </c>
      <c r="BR3" s="10">
        <v>44440</v>
      </c>
      <c r="BS3" s="10">
        <v>44470</v>
      </c>
      <c r="BT3" s="10">
        <v>44501</v>
      </c>
      <c r="BU3" s="10">
        <v>44531</v>
      </c>
      <c r="BV3" s="10">
        <v>44562</v>
      </c>
      <c r="BW3" s="10">
        <v>44593</v>
      </c>
      <c r="BX3" s="10">
        <v>44621</v>
      </c>
      <c r="BY3" s="10">
        <v>44652</v>
      </c>
      <c r="BZ3" s="10">
        <v>44682</v>
      </c>
      <c r="CA3" s="10">
        <v>44713</v>
      </c>
      <c r="CB3" s="10">
        <v>44743</v>
      </c>
      <c r="CC3" s="10">
        <v>44774</v>
      </c>
      <c r="CD3" s="10">
        <v>44805</v>
      </c>
      <c r="CE3" s="10">
        <v>44835</v>
      </c>
      <c r="CF3" s="10">
        <v>44866</v>
      </c>
      <c r="CG3" s="10">
        <v>44896</v>
      </c>
      <c r="CH3" s="10">
        <v>44927</v>
      </c>
      <c r="CI3" s="10">
        <v>44958</v>
      </c>
      <c r="CJ3" s="10">
        <v>44986</v>
      </c>
      <c r="CK3" s="10">
        <v>45017</v>
      </c>
      <c r="CL3" s="10">
        <v>45047</v>
      </c>
      <c r="CM3" s="10">
        <v>45078</v>
      </c>
      <c r="CN3" s="10">
        <v>45108</v>
      </c>
      <c r="CO3" s="10">
        <v>45139</v>
      </c>
      <c r="CP3" s="10">
        <v>45170</v>
      </c>
      <c r="CQ3" s="10">
        <v>45200</v>
      </c>
      <c r="CR3" s="10">
        <v>45231</v>
      </c>
      <c r="CS3" s="10">
        <v>45261</v>
      </c>
      <c r="CT3" s="10">
        <v>45292</v>
      </c>
    </row>
    <row r="4" spans="1:98" x14ac:dyDescent="0.25">
      <c r="A4" s="36" t="s">
        <v>38</v>
      </c>
      <c r="B4" s="32"/>
      <c r="C4" s="32"/>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row>
    <row r="5" spans="1:98" x14ac:dyDescent="0.25">
      <c r="A5" t="s">
        <v>33</v>
      </c>
      <c r="B5" s="37"/>
      <c r="C5" s="37"/>
      <c r="D5" s="41">
        <v>0</v>
      </c>
      <c r="E5" s="41">
        <v>1328.78</v>
      </c>
      <c r="F5" s="41">
        <v>10855.31</v>
      </c>
      <c r="G5" s="41">
        <v>131208.19</v>
      </c>
      <c r="H5" s="41">
        <v>387288.84</v>
      </c>
      <c r="I5" s="41">
        <v>759760.94</v>
      </c>
      <c r="J5" s="41">
        <v>1430369.44</v>
      </c>
      <c r="K5" s="41">
        <v>1550921.07</v>
      </c>
      <c r="L5" s="41">
        <v>1735396.69</v>
      </c>
      <c r="M5" s="41">
        <v>2037094.64</v>
      </c>
      <c r="N5" s="41">
        <v>2364452.61</v>
      </c>
      <c r="O5" s="41">
        <v>2681724.66</v>
      </c>
      <c r="P5" s="41">
        <v>2987072.85</v>
      </c>
      <c r="Q5" s="41">
        <v>3184865.01</v>
      </c>
      <c r="R5" s="41">
        <v>3385529.7699999996</v>
      </c>
      <c r="S5" s="41">
        <v>4264552</v>
      </c>
      <c r="T5" s="41">
        <v>5547156.3399999999</v>
      </c>
      <c r="U5" s="41">
        <v>6946190.2599999998</v>
      </c>
      <c r="V5" s="41">
        <v>7850232.6099999994</v>
      </c>
      <c r="W5" s="42">
        <v>8126747.0099999998</v>
      </c>
      <c r="X5" s="42">
        <v>8499539.6099999994</v>
      </c>
      <c r="Y5" s="42">
        <v>9058824.6600000001</v>
      </c>
      <c r="Z5" s="42">
        <v>9650198.3699999992</v>
      </c>
      <c r="AA5" s="42">
        <v>10151034.449999999</v>
      </c>
      <c r="AB5" s="42">
        <v>10613841.620000001</v>
      </c>
      <c r="AC5" s="42">
        <v>10869441.710000001</v>
      </c>
      <c r="AD5" s="42">
        <v>11350949.390000001</v>
      </c>
      <c r="AE5" s="42">
        <v>13348695.730000002</v>
      </c>
      <c r="AF5" s="42">
        <v>16063513.910000002</v>
      </c>
      <c r="AG5" s="42">
        <v>18680994.800000004</v>
      </c>
      <c r="AH5" s="42">
        <v>20236402.510000005</v>
      </c>
      <c r="AI5" s="42">
        <v>20777772.98</v>
      </c>
      <c r="AJ5" s="42">
        <v>21274714.609999999</v>
      </c>
      <c r="AK5" s="42">
        <v>21954224.789999999</v>
      </c>
      <c r="AL5" s="42">
        <v>22632751.569999997</v>
      </c>
      <c r="AM5" s="42">
        <v>23234453.34</v>
      </c>
      <c r="AN5" s="42">
        <v>23939498.760000002</v>
      </c>
      <c r="AO5" s="42">
        <v>24497192.960000001</v>
      </c>
      <c r="AP5" s="42">
        <v>24846329.540000003</v>
      </c>
      <c r="AQ5" s="42">
        <v>27513104.980000004</v>
      </c>
      <c r="AR5" s="42">
        <v>30526797.800000001</v>
      </c>
      <c r="AS5" s="42">
        <v>33776773.060000002</v>
      </c>
      <c r="AT5" s="42">
        <v>35595655.670000002</v>
      </c>
      <c r="AU5" s="42">
        <f>36043069.48+0</f>
        <v>36043069.479999997</v>
      </c>
      <c r="AV5" s="42">
        <f>36595561+0</f>
        <v>36595561</v>
      </c>
      <c r="AW5" s="42">
        <f>37286780.96+0</f>
        <v>37286780.960000001</v>
      </c>
      <c r="AX5" s="42">
        <f>37986377.11+0</f>
        <v>37986377.109999999</v>
      </c>
      <c r="AY5" s="42">
        <f>0+36858732.18</f>
        <v>36858732.18</v>
      </c>
      <c r="AZ5" s="42">
        <f>0+37334684.61</f>
        <v>37334684.609999999</v>
      </c>
      <c r="BA5" s="42">
        <f t="shared" ref="BA5:BF5" si="0">37334684.61+0</f>
        <v>37334684.609999999</v>
      </c>
      <c r="BB5" s="42">
        <f t="shared" si="0"/>
        <v>37334684.609999999</v>
      </c>
      <c r="BC5" s="42">
        <f t="shared" si="0"/>
        <v>37334684.609999999</v>
      </c>
      <c r="BD5" s="42">
        <f t="shared" si="0"/>
        <v>37334684.609999999</v>
      </c>
      <c r="BE5" s="42">
        <f t="shared" si="0"/>
        <v>37334684.609999999</v>
      </c>
      <c r="BF5" s="42">
        <f t="shared" si="0"/>
        <v>37334684.609999999</v>
      </c>
      <c r="BG5" s="42">
        <f t="shared" ref="BG5:BM5" si="1">37334684.61+0</f>
        <v>37334684.609999999</v>
      </c>
      <c r="BH5" s="42">
        <f t="shared" si="1"/>
        <v>37334684.609999999</v>
      </c>
      <c r="BI5" s="42">
        <f t="shared" si="1"/>
        <v>37334684.609999999</v>
      </c>
      <c r="BJ5" s="42">
        <f t="shared" si="1"/>
        <v>37334684.609999999</v>
      </c>
      <c r="BK5" s="42">
        <f t="shared" si="1"/>
        <v>37334684.609999999</v>
      </c>
      <c r="BL5" s="42">
        <f t="shared" si="1"/>
        <v>37334684.609999999</v>
      </c>
      <c r="BM5" s="42">
        <f t="shared" si="1"/>
        <v>37334684.609999999</v>
      </c>
      <c r="BN5" s="42">
        <f t="shared" ref="BN5:BR5" si="2">37334684.61+0</f>
        <v>37334684.609999999</v>
      </c>
      <c r="BO5" s="42">
        <f t="shared" si="2"/>
        <v>37334684.609999999</v>
      </c>
      <c r="BP5" s="42">
        <f t="shared" si="2"/>
        <v>37334684.609999999</v>
      </c>
      <c r="BQ5" s="42">
        <f t="shared" si="2"/>
        <v>37334684.609999999</v>
      </c>
      <c r="BR5" s="42">
        <f t="shared" si="2"/>
        <v>37334684.609999999</v>
      </c>
      <c r="BS5" s="42">
        <f t="shared" ref="BS5:BW5" si="3">37334684.61+0</f>
        <v>37334684.609999999</v>
      </c>
      <c r="BT5" s="42">
        <f t="shared" si="3"/>
        <v>37334684.609999999</v>
      </c>
      <c r="BU5" s="42">
        <f t="shared" si="3"/>
        <v>37334684.609999999</v>
      </c>
      <c r="BV5" s="42">
        <f t="shared" si="3"/>
        <v>37334684.609999999</v>
      </c>
      <c r="BW5" s="42">
        <f t="shared" si="3"/>
        <v>37334684.609999999</v>
      </c>
      <c r="BX5" s="42">
        <f t="shared" ref="BX5:CT5" si="4">37334684.61+0</f>
        <v>37334684.609999999</v>
      </c>
      <c r="BY5" s="42">
        <f t="shared" si="4"/>
        <v>37334684.609999999</v>
      </c>
      <c r="BZ5" s="42">
        <f t="shared" si="4"/>
        <v>37334684.609999999</v>
      </c>
      <c r="CA5" s="42">
        <f t="shared" si="4"/>
        <v>37334684.609999999</v>
      </c>
      <c r="CB5" s="42">
        <f t="shared" si="4"/>
        <v>37334684.609999999</v>
      </c>
      <c r="CC5" s="42">
        <f t="shared" si="4"/>
        <v>37334684.609999999</v>
      </c>
      <c r="CD5" s="42">
        <f t="shared" si="4"/>
        <v>37334684.609999999</v>
      </c>
      <c r="CE5" s="42">
        <f t="shared" si="4"/>
        <v>37334684.609999999</v>
      </c>
      <c r="CF5" s="42">
        <f t="shared" si="4"/>
        <v>37334684.609999999</v>
      </c>
      <c r="CG5" s="42">
        <f t="shared" si="4"/>
        <v>37334684.609999999</v>
      </c>
      <c r="CH5" s="42">
        <f t="shared" si="4"/>
        <v>37334684.609999999</v>
      </c>
      <c r="CI5" s="42">
        <f t="shared" si="4"/>
        <v>37334684.609999999</v>
      </c>
      <c r="CJ5" s="42">
        <f t="shared" si="4"/>
        <v>37334684.609999999</v>
      </c>
      <c r="CK5" s="42">
        <f t="shared" si="4"/>
        <v>37334684.609999999</v>
      </c>
      <c r="CL5" s="42">
        <f t="shared" si="4"/>
        <v>37334684.609999999</v>
      </c>
      <c r="CM5" s="42">
        <f t="shared" si="4"/>
        <v>37334684.609999999</v>
      </c>
      <c r="CN5" s="42">
        <f t="shared" si="4"/>
        <v>37334684.609999999</v>
      </c>
      <c r="CO5" s="42">
        <f t="shared" si="4"/>
        <v>37334684.609999999</v>
      </c>
      <c r="CP5" s="42">
        <f t="shared" si="4"/>
        <v>37334684.609999999</v>
      </c>
      <c r="CQ5" s="42">
        <f t="shared" si="4"/>
        <v>37334684.609999999</v>
      </c>
      <c r="CR5" s="42">
        <f t="shared" si="4"/>
        <v>37334684.609999999</v>
      </c>
      <c r="CS5" s="42">
        <f t="shared" si="4"/>
        <v>37334684.609999999</v>
      </c>
      <c r="CT5" s="42">
        <f t="shared" si="4"/>
        <v>37334684.609999999</v>
      </c>
    </row>
    <row r="6" spans="1:98" x14ac:dyDescent="0.25">
      <c r="A6" t="s">
        <v>34</v>
      </c>
      <c r="B6" s="37"/>
      <c r="C6" s="37"/>
      <c r="D6" s="41">
        <v>0</v>
      </c>
      <c r="E6" s="41">
        <v>0</v>
      </c>
      <c r="F6" s="41">
        <v>0</v>
      </c>
      <c r="G6" s="41">
        <v>4167.9399999999996</v>
      </c>
      <c r="H6" s="41">
        <v>17525.88</v>
      </c>
      <c r="I6" s="41">
        <v>31980.06</v>
      </c>
      <c r="J6" s="41">
        <v>54300.31</v>
      </c>
      <c r="K6" s="41">
        <v>77885.14</v>
      </c>
      <c r="L6" s="41">
        <v>105438.65</v>
      </c>
      <c r="M6" s="41">
        <v>142311.95000000001</v>
      </c>
      <c r="N6" s="41">
        <v>189359.05000000002</v>
      </c>
      <c r="O6" s="41">
        <v>231701.2</v>
      </c>
      <c r="P6" s="41">
        <v>283963.62</v>
      </c>
      <c r="Q6" s="41">
        <v>308673.44</v>
      </c>
      <c r="R6" s="41">
        <v>357395.51</v>
      </c>
      <c r="S6" s="41">
        <v>446610.88</v>
      </c>
      <c r="T6" s="41">
        <v>585542.78</v>
      </c>
      <c r="U6" s="41">
        <v>716001.10999999987</v>
      </c>
      <c r="V6" s="41">
        <v>865623.52</v>
      </c>
      <c r="W6" s="42">
        <v>981465.67</v>
      </c>
      <c r="X6" s="42">
        <v>1068238.3799999999</v>
      </c>
      <c r="Y6" s="42">
        <v>1193729.2599999998</v>
      </c>
      <c r="Z6" s="42">
        <v>1341747.9499999997</v>
      </c>
      <c r="AA6" s="42">
        <v>1469438.1399999997</v>
      </c>
      <c r="AB6" s="42">
        <v>1628844.4099999997</v>
      </c>
      <c r="AC6" s="42">
        <v>1811879.49</v>
      </c>
      <c r="AD6" s="42">
        <v>2069719.65</v>
      </c>
      <c r="AE6" s="42">
        <v>2457404.2800000003</v>
      </c>
      <c r="AF6" s="42">
        <v>2966091.15</v>
      </c>
      <c r="AG6" s="42">
        <v>3413766.9499999997</v>
      </c>
      <c r="AH6" s="42">
        <v>3901789.65</v>
      </c>
      <c r="AI6" s="42">
        <v>4245964.8900000006</v>
      </c>
      <c r="AJ6" s="42">
        <v>4556973.95</v>
      </c>
      <c r="AK6" s="42">
        <v>4900967.08</v>
      </c>
      <c r="AL6" s="42">
        <v>5271737.41</v>
      </c>
      <c r="AM6" s="42">
        <v>5581907.2999999998</v>
      </c>
      <c r="AN6" s="42">
        <v>6001660.4600000009</v>
      </c>
      <c r="AO6" s="42">
        <v>6425471.5500000007</v>
      </c>
      <c r="AP6" s="42">
        <v>6844402.4900000002</v>
      </c>
      <c r="AQ6" s="42">
        <v>7540501.0500000007</v>
      </c>
      <c r="AR6" s="42">
        <v>8428918.1699999999</v>
      </c>
      <c r="AS6" s="42">
        <v>9148140.2100000009</v>
      </c>
      <c r="AT6" s="42">
        <v>9900811.9400000013</v>
      </c>
      <c r="AU6" s="42">
        <f>10403257.47+14619.86</f>
        <v>10417877.33</v>
      </c>
      <c r="AV6" s="42">
        <f>17933.11+10840302.54</f>
        <v>10858235.649999999</v>
      </c>
      <c r="AW6" s="42">
        <f>11209069.54+21421.12</f>
        <v>11230490.659999998</v>
      </c>
      <c r="AX6" s="42">
        <f>11649860.33+25097.33</f>
        <v>11674957.66</v>
      </c>
      <c r="AY6" s="42">
        <f>27924.85+11990356.64</f>
        <v>12018281.49</v>
      </c>
      <c r="AZ6" s="42">
        <f>31132.53+12369648.49</f>
        <v>12400781.02</v>
      </c>
      <c r="BA6" s="42">
        <f t="shared" ref="BA6:BF6" si="5">12369648.49+31132.53</f>
        <v>12400781.02</v>
      </c>
      <c r="BB6" s="42">
        <f t="shared" si="5"/>
        <v>12400781.02</v>
      </c>
      <c r="BC6" s="42">
        <f t="shared" si="5"/>
        <v>12400781.02</v>
      </c>
      <c r="BD6" s="42">
        <f t="shared" si="5"/>
        <v>12400781.02</v>
      </c>
      <c r="BE6" s="42">
        <f t="shared" si="5"/>
        <v>12400781.02</v>
      </c>
      <c r="BF6" s="42">
        <f t="shared" si="5"/>
        <v>12400781.02</v>
      </c>
      <c r="BG6" s="42">
        <f>12369648.49+31132.53</f>
        <v>12400781.02</v>
      </c>
      <c r="BH6" s="42">
        <f>12369648.49+31132.53</f>
        <v>12400781.02</v>
      </c>
      <c r="BI6" s="42">
        <f>12369648.49+31132.53</f>
        <v>12400781.02</v>
      </c>
      <c r="BJ6" s="42">
        <f>12369648.49+31132.53</f>
        <v>12400781.02</v>
      </c>
      <c r="BK6" s="42">
        <f>12369648.49+31388.17</f>
        <v>12401036.66</v>
      </c>
      <c r="BL6" s="42">
        <f>12369648.49+31980.51</f>
        <v>12401629</v>
      </c>
      <c r="BM6" s="42">
        <f>12369648.49+32612.92</f>
        <v>12402261.41</v>
      </c>
      <c r="BN6" s="42">
        <f>12369648.49+33505.45</f>
        <v>12403153.939999999</v>
      </c>
      <c r="BO6" s="42">
        <f>12369648.49+35463.84</f>
        <v>12405112.33</v>
      </c>
      <c r="BP6" s="42">
        <f>12369648.49+38039.83</f>
        <v>12407688.32</v>
      </c>
      <c r="BQ6" s="42">
        <f>12369648.49+40941.42</f>
        <v>12410589.91</v>
      </c>
      <c r="BR6" s="42">
        <f>12369648.49+43196.63</f>
        <v>12412845.120000001</v>
      </c>
      <c r="BS6" s="42">
        <f>12369648.49+44397.68</f>
        <v>12414046.17</v>
      </c>
      <c r="BT6" s="42">
        <f>12369648.49+45390.72</f>
        <v>12415039.210000001</v>
      </c>
      <c r="BU6" s="42">
        <f>12369648.49+46413.43</f>
        <v>12416061.92</v>
      </c>
      <c r="BV6" s="42">
        <f>12369648.49+47474.53</f>
        <v>12417123.02</v>
      </c>
      <c r="BW6" s="42">
        <f t="shared" ref="BW6:CT6" si="6">12369648.49+48293.18</f>
        <v>12417941.67</v>
      </c>
      <c r="BX6" s="42">
        <f t="shared" si="6"/>
        <v>12417941.67</v>
      </c>
      <c r="BY6" s="42">
        <f t="shared" si="6"/>
        <v>12417941.67</v>
      </c>
      <c r="BZ6" s="42">
        <f t="shared" si="6"/>
        <v>12417941.67</v>
      </c>
      <c r="CA6" s="42">
        <f t="shared" si="6"/>
        <v>12417941.67</v>
      </c>
      <c r="CB6" s="42">
        <f t="shared" si="6"/>
        <v>12417941.67</v>
      </c>
      <c r="CC6" s="42">
        <f t="shared" si="6"/>
        <v>12417941.67</v>
      </c>
      <c r="CD6" s="42">
        <f t="shared" si="6"/>
        <v>12417941.67</v>
      </c>
      <c r="CE6" s="42">
        <f t="shared" si="6"/>
        <v>12417941.67</v>
      </c>
      <c r="CF6" s="42">
        <f t="shared" si="6"/>
        <v>12417941.67</v>
      </c>
      <c r="CG6" s="42">
        <f t="shared" si="6"/>
        <v>12417941.67</v>
      </c>
      <c r="CH6" s="42">
        <f t="shared" si="6"/>
        <v>12417941.67</v>
      </c>
      <c r="CI6" s="42">
        <f t="shared" si="6"/>
        <v>12417941.67</v>
      </c>
      <c r="CJ6" s="42">
        <f t="shared" si="6"/>
        <v>12417941.67</v>
      </c>
      <c r="CK6" s="42">
        <f t="shared" si="6"/>
        <v>12417941.67</v>
      </c>
      <c r="CL6" s="42">
        <f t="shared" si="6"/>
        <v>12417941.67</v>
      </c>
      <c r="CM6" s="42">
        <f t="shared" si="6"/>
        <v>12417941.67</v>
      </c>
      <c r="CN6" s="42">
        <f t="shared" si="6"/>
        <v>12417941.67</v>
      </c>
      <c r="CO6" s="42">
        <f t="shared" si="6"/>
        <v>12417941.67</v>
      </c>
      <c r="CP6" s="42">
        <f t="shared" si="6"/>
        <v>12417941.67</v>
      </c>
      <c r="CQ6" s="42">
        <f t="shared" si="6"/>
        <v>12417941.67</v>
      </c>
      <c r="CR6" s="42">
        <f t="shared" si="6"/>
        <v>12417941.67</v>
      </c>
      <c r="CS6" s="42">
        <f t="shared" si="6"/>
        <v>12417941.67</v>
      </c>
      <c r="CT6" s="42">
        <f t="shared" si="6"/>
        <v>12417941.67</v>
      </c>
    </row>
    <row r="7" spans="1:98" x14ac:dyDescent="0.25">
      <c r="A7" t="s">
        <v>35</v>
      </c>
      <c r="B7" s="37"/>
      <c r="C7" s="37"/>
      <c r="D7" s="41">
        <v>0</v>
      </c>
      <c r="E7" s="41">
        <v>0</v>
      </c>
      <c r="F7" s="41">
        <v>0</v>
      </c>
      <c r="G7" s="41">
        <v>6853.38</v>
      </c>
      <c r="H7" s="41">
        <v>31346.880000000001</v>
      </c>
      <c r="I7" s="41">
        <v>64756.57</v>
      </c>
      <c r="J7" s="41">
        <v>121217.18</v>
      </c>
      <c r="K7" s="41">
        <v>169574.21</v>
      </c>
      <c r="L7" s="41">
        <v>225474</v>
      </c>
      <c r="M7" s="41">
        <v>301020.03000000003</v>
      </c>
      <c r="N7" s="41">
        <v>398372.26</v>
      </c>
      <c r="O7" s="41">
        <v>489934.36</v>
      </c>
      <c r="P7" s="41">
        <v>604498.14</v>
      </c>
      <c r="Q7" s="41">
        <v>665653.74</v>
      </c>
      <c r="R7" s="41">
        <v>767859.38</v>
      </c>
      <c r="S7" s="41">
        <v>989490.46</v>
      </c>
      <c r="T7" s="41">
        <v>1321696.51</v>
      </c>
      <c r="U7" s="41">
        <v>1640841.6600000001</v>
      </c>
      <c r="V7" s="41">
        <v>1992842.86</v>
      </c>
      <c r="W7" s="42">
        <v>2223572.41</v>
      </c>
      <c r="X7" s="42">
        <v>2462963.7799999998</v>
      </c>
      <c r="Y7" s="42">
        <v>2729745.36</v>
      </c>
      <c r="Z7" s="42">
        <v>3041850.56</v>
      </c>
      <c r="AA7" s="42">
        <v>3313329.05</v>
      </c>
      <c r="AB7" s="42">
        <v>3632789.6599999997</v>
      </c>
      <c r="AC7" s="42">
        <v>3967218.2799999993</v>
      </c>
      <c r="AD7" s="42">
        <v>4417212.879999999</v>
      </c>
      <c r="AE7" s="42">
        <v>5288524.1399999987</v>
      </c>
      <c r="AF7" s="42">
        <v>6465914.9300000006</v>
      </c>
      <c r="AG7" s="42">
        <v>7475631.5000000009</v>
      </c>
      <c r="AH7" s="42">
        <v>8491958.2899999991</v>
      </c>
      <c r="AI7" s="42">
        <v>9047137.040000001</v>
      </c>
      <c r="AJ7" s="42">
        <v>9551899.1300000008</v>
      </c>
      <c r="AK7" s="42">
        <v>10140818.360000001</v>
      </c>
      <c r="AL7" s="42">
        <v>10806286.970000001</v>
      </c>
      <c r="AM7" s="42">
        <v>11385718.91</v>
      </c>
      <c r="AN7" s="42">
        <v>12157855.650000002</v>
      </c>
      <c r="AO7" s="42">
        <v>12903645.290000003</v>
      </c>
      <c r="AP7" s="42">
        <v>13617957.34</v>
      </c>
      <c r="AQ7" s="42">
        <v>15284047.689999999</v>
      </c>
      <c r="AR7" s="42">
        <v>17381958.23</v>
      </c>
      <c r="AS7" s="42">
        <v>19154184.34</v>
      </c>
      <c r="AT7" s="42">
        <v>20774799.379999999</v>
      </c>
      <c r="AU7" s="42">
        <f>21466264.93+141399.01</f>
        <v>21607663.940000001</v>
      </c>
      <c r="AV7" s="42">
        <f>154940.01+22162809.44</f>
        <v>22317749.450000003</v>
      </c>
      <c r="AW7" s="42">
        <f>22915276.66+171269.94</f>
        <v>23086546.600000001</v>
      </c>
      <c r="AX7" s="42">
        <f>23704212.35+189482.57</f>
        <v>23893694.920000002</v>
      </c>
      <c r="AY7" s="42">
        <f>205033.54+24339777.35</f>
        <v>24544810.890000001</v>
      </c>
      <c r="AZ7" s="42">
        <f>221566.4+25027821.97</f>
        <v>25249388.369999997</v>
      </c>
      <c r="BA7" s="42">
        <f>25027821.97+223852.71</f>
        <v>25251674.68</v>
      </c>
      <c r="BB7" s="42">
        <f>25027821.97+226513.58</f>
        <v>25254335.549999997</v>
      </c>
      <c r="BC7" s="42">
        <f>25027821.97+238736.89</f>
        <v>25266558.859999999</v>
      </c>
      <c r="BD7" s="42">
        <f>25027821.97+261590.07</f>
        <v>25289412.039999999</v>
      </c>
      <c r="BE7" s="42">
        <f>25027821.97+282130.34</f>
        <v>25309952.309999999</v>
      </c>
      <c r="BF7" s="42">
        <f>25027821.97+297152.55</f>
        <v>25324974.52</v>
      </c>
      <c r="BG7" s="42">
        <f>25027821.97+303863.64</f>
        <v>25331685.609999999</v>
      </c>
      <c r="BH7" s="42">
        <f>25027821.97+310566.48</f>
        <v>25338388.449999999</v>
      </c>
      <c r="BI7" s="42">
        <f>25027821.97+318693.52</f>
        <v>25346515.489999998</v>
      </c>
      <c r="BJ7" s="42">
        <f>25027821.97+327022.82</f>
        <v>25354844.789999999</v>
      </c>
      <c r="BK7" s="42">
        <f>25027821.97+335823.09</f>
        <v>25363645.059999999</v>
      </c>
      <c r="BL7" s="42">
        <f>25027821.97+346156.16</f>
        <v>25373978.129999999</v>
      </c>
      <c r="BM7" s="42">
        <f>25027821.97+354916.17</f>
        <v>25382738.140000001</v>
      </c>
      <c r="BN7" s="42">
        <f>25027821.97+365961.08</f>
        <v>25393783.049999997</v>
      </c>
      <c r="BO7" s="42">
        <f>25027821.97+397868.39</f>
        <v>25425690.359999999</v>
      </c>
      <c r="BP7" s="42">
        <f>25027821.97+438814.57</f>
        <v>25466636.539999999</v>
      </c>
      <c r="BQ7" s="42">
        <f>25027821.97+475224.93</f>
        <v>25503046.899999999</v>
      </c>
      <c r="BR7" s="42">
        <f>25027821.97+497543.33</f>
        <v>25525365.299999997</v>
      </c>
      <c r="BS7" s="42">
        <f>25027821.97+506487.62</f>
        <v>25534309.59</v>
      </c>
      <c r="BT7" s="42">
        <f>25027821.97+515800.27</f>
        <v>25543622.239999998</v>
      </c>
      <c r="BU7" s="42">
        <f>25027821.97+527551.99</f>
        <v>25555373.959999997</v>
      </c>
      <c r="BV7" s="42">
        <f>25027821.97+539557.3</f>
        <v>25567379.27</v>
      </c>
      <c r="BW7" s="42">
        <f t="shared" ref="BW7:CT7" si="7">25027821.97+549683.83</f>
        <v>25577505.799999997</v>
      </c>
      <c r="BX7" s="42">
        <f t="shared" si="7"/>
        <v>25577505.799999997</v>
      </c>
      <c r="BY7" s="42">
        <f t="shared" si="7"/>
        <v>25577505.799999997</v>
      </c>
      <c r="BZ7" s="42">
        <f t="shared" si="7"/>
        <v>25577505.799999997</v>
      </c>
      <c r="CA7" s="42">
        <f t="shared" si="7"/>
        <v>25577505.799999997</v>
      </c>
      <c r="CB7" s="42">
        <f t="shared" si="7"/>
        <v>25577505.799999997</v>
      </c>
      <c r="CC7" s="42">
        <f t="shared" si="7"/>
        <v>25577505.799999997</v>
      </c>
      <c r="CD7" s="42">
        <f t="shared" si="7"/>
        <v>25577505.799999997</v>
      </c>
      <c r="CE7" s="42">
        <f t="shared" si="7"/>
        <v>25577505.799999997</v>
      </c>
      <c r="CF7" s="42">
        <f t="shared" si="7"/>
        <v>25577505.799999997</v>
      </c>
      <c r="CG7" s="42">
        <f t="shared" si="7"/>
        <v>25577505.799999997</v>
      </c>
      <c r="CH7" s="42">
        <f t="shared" si="7"/>
        <v>25577505.799999997</v>
      </c>
      <c r="CI7" s="42">
        <f t="shared" si="7"/>
        <v>25577505.799999997</v>
      </c>
      <c r="CJ7" s="42">
        <f t="shared" si="7"/>
        <v>25577505.799999997</v>
      </c>
      <c r="CK7" s="42">
        <f t="shared" si="7"/>
        <v>25577505.799999997</v>
      </c>
      <c r="CL7" s="42">
        <f t="shared" si="7"/>
        <v>25577505.799999997</v>
      </c>
      <c r="CM7" s="42">
        <f t="shared" si="7"/>
        <v>25577505.799999997</v>
      </c>
      <c r="CN7" s="42">
        <f t="shared" si="7"/>
        <v>25577505.799999997</v>
      </c>
      <c r="CO7" s="42">
        <f t="shared" si="7"/>
        <v>25577505.799999997</v>
      </c>
      <c r="CP7" s="42">
        <f t="shared" si="7"/>
        <v>25577505.799999997</v>
      </c>
      <c r="CQ7" s="42">
        <f t="shared" si="7"/>
        <v>25577505.799999997</v>
      </c>
      <c r="CR7" s="42">
        <f t="shared" si="7"/>
        <v>25577505.799999997</v>
      </c>
      <c r="CS7" s="42">
        <f t="shared" si="7"/>
        <v>25577505.799999997</v>
      </c>
      <c r="CT7" s="42">
        <f t="shared" si="7"/>
        <v>25577505.799999997</v>
      </c>
    </row>
    <row r="8" spans="1:98" x14ac:dyDescent="0.25">
      <c r="A8" t="s">
        <v>36</v>
      </c>
      <c r="B8" s="37"/>
      <c r="C8" s="37"/>
      <c r="D8" s="41">
        <v>0</v>
      </c>
      <c r="E8" s="41">
        <v>0</v>
      </c>
      <c r="F8" s="41">
        <v>0</v>
      </c>
      <c r="G8" s="41">
        <v>526.23</v>
      </c>
      <c r="H8" s="41">
        <v>2233.4699999999998</v>
      </c>
      <c r="I8" s="41">
        <v>4262.4399999999996</v>
      </c>
      <c r="J8" s="41">
        <v>8761.7000000000007</v>
      </c>
      <c r="K8" s="41">
        <v>13045.74</v>
      </c>
      <c r="L8" s="41">
        <v>20273.66</v>
      </c>
      <c r="M8" s="41">
        <v>37982.83</v>
      </c>
      <c r="N8" s="41">
        <v>65485.26</v>
      </c>
      <c r="O8" s="41">
        <v>89352.91</v>
      </c>
      <c r="P8" s="41">
        <v>118408.26</v>
      </c>
      <c r="Q8" s="41">
        <v>129165.95000000001</v>
      </c>
      <c r="R8" s="41">
        <v>156969.91999999998</v>
      </c>
      <c r="S8" s="41">
        <v>283536.74</v>
      </c>
      <c r="T8" s="41">
        <v>459226.48</v>
      </c>
      <c r="U8" s="41">
        <v>674409.64</v>
      </c>
      <c r="V8" s="41">
        <v>877196.58000000007</v>
      </c>
      <c r="W8" s="42">
        <v>977284.15000000014</v>
      </c>
      <c r="X8" s="42">
        <v>1073543.23</v>
      </c>
      <c r="Y8" s="42">
        <v>1185708.23</v>
      </c>
      <c r="Z8" s="42">
        <v>1314546.6499999999</v>
      </c>
      <c r="AA8" s="42">
        <v>1427651.01</v>
      </c>
      <c r="AB8" s="42">
        <v>1557090.47</v>
      </c>
      <c r="AC8" s="42">
        <v>1686737.0899999999</v>
      </c>
      <c r="AD8" s="42">
        <v>1863356.25</v>
      </c>
      <c r="AE8" s="42">
        <v>2279448.1</v>
      </c>
      <c r="AF8" s="42">
        <v>2814330.83</v>
      </c>
      <c r="AG8" s="42">
        <v>3291326.8600000003</v>
      </c>
      <c r="AH8" s="42">
        <v>3697906.36</v>
      </c>
      <c r="AI8" s="42">
        <v>3900717.4</v>
      </c>
      <c r="AJ8" s="42">
        <v>4087079.7399999998</v>
      </c>
      <c r="AK8" s="42">
        <v>4305525.0999999996</v>
      </c>
      <c r="AL8" s="42">
        <v>4552393.01</v>
      </c>
      <c r="AM8" s="42">
        <v>4768797.74</v>
      </c>
      <c r="AN8" s="42">
        <v>5069031.21</v>
      </c>
      <c r="AO8" s="42">
        <v>5347376.22</v>
      </c>
      <c r="AP8" s="42">
        <v>5635365.4399999995</v>
      </c>
      <c r="AQ8" s="42">
        <v>6411912.9499999993</v>
      </c>
      <c r="AR8" s="42">
        <v>7373784.9299999997</v>
      </c>
      <c r="AS8" s="42">
        <v>8233706.0199999996</v>
      </c>
      <c r="AT8" s="42">
        <v>8908132.5299999993</v>
      </c>
      <c r="AU8" s="42">
        <f>9176465.3+47940.65</f>
        <v>9224405.9500000011</v>
      </c>
      <c r="AV8" s="42">
        <f>52071.47+9446777.6</f>
        <v>9498849.0700000003</v>
      </c>
      <c r="AW8" s="42">
        <f>9709021.01+56434.82</f>
        <v>9765455.8300000001</v>
      </c>
      <c r="AX8" s="42">
        <f>10002128.12+61120.41</f>
        <v>10063248.529999999</v>
      </c>
      <c r="AY8" s="42">
        <f>64854.68+10245268.37</f>
        <v>10310123.049999999</v>
      </c>
      <c r="AZ8" s="42">
        <f>69029.51+10511883.99</f>
        <v>10580913.5</v>
      </c>
      <c r="BA8" s="42">
        <f>10511883.99+69029.51</f>
        <v>10580913.5</v>
      </c>
      <c r="BB8" s="42">
        <f>10511883.99+69029.51</f>
        <v>10580913.5</v>
      </c>
      <c r="BC8" s="42">
        <f>10511883.99+69029.51</f>
        <v>10580913.5</v>
      </c>
      <c r="BD8" s="42">
        <f>10511883.99+69029.51</f>
        <v>10580913.5</v>
      </c>
      <c r="BE8" s="42">
        <f>10511883.99+85843.09</f>
        <v>10597727.08</v>
      </c>
      <c r="BF8" s="42">
        <f>10511883.99+105230.49</f>
        <v>10617114.48</v>
      </c>
      <c r="BG8" s="42">
        <f>10511883.99+112015.56</f>
        <v>10623899.550000001</v>
      </c>
      <c r="BH8" s="42">
        <f>10511883.99+118182.79</f>
        <v>10630066.779999999</v>
      </c>
      <c r="BI8" s="42">
        <f>10511883.99+127769.78</f>
        <v>10639653.77</v>
      </c>
      <c r="BJ8" s="42">
        <f>10511883.99+140267.36</f>
        <v>10652151.35</v>
      </c>
      <c r="BK8" s="42">
        <f>10511883.99+150310.67</f>
        <v>10662194.66</v>
      </c>
      <c r="BL8" s="42">
        <f>10511883.99+160806.72</f>
        <v>10672690.710000001</v>
      </c>
      <c r="BM8" s="42">
        <f>10511883.99+170582.68</f>
        <v>10682466.67</v>
      </c>
      <c r="BN8" s="42">
        <f>10511883.99+184110.33</f>
        <v>10695994.32</v>
      </c>
      <c r="BO8" s="42">
        <f>10511883.99+220605.18</f>
        <v>10732489.17</v>
      </c>
      <c r="BP8" s="42">
        <f>10511883.99+268285.15</f>
        <v>10780169.140000001</v>
      </c>
      <c r="BQ8" s="42">
        <f>10511883.99+313573.59</f>
        <v>10825457.58</v>
      </c>
      <c r="BR8" s="42">
        <f>10511883.99+343059.99</f>
        <v>10854943.98</v>
      </c>
      <c r="BS8" s="42">
        <f>10511883.99+354893.28</f>
        <v>10866777.27</v>
      </c>
      <c r="BT8" s="42">
        <f>10511883.99+365267.86</f>
        <v>10877151.85</v>
      </c>
      <c r="BU8" s="42">
        <f>10511883.99+377325.31</f>
        <v>10889209.300000001</v>
      </c>
      <c r="BV8" s="42">
        <f>10511883.99+390150.1</f>
        <v>10902034.09</v>
      </c>
      <c r="BW8" s="42">
        <f t="shared" ref="BW8:CT8" si="8">10511883.99+400480.28</f>
        <v>10912364.27</v>
      </c>
      <c r="BX8" s="42">
        <f t="shared" si="8"/>
        <v>10912364.27</v>
      </c>
      <c r="BY8" s="42">
        <f t="shared" si="8"/>
        <v>10912364.27</v>
      </c>
      <c r="BZ8" s="42">
        <f t="shared" si="8"/>
        <v>10912364.27</v>
      </c>
      <c r="CA8" s="42">
        <f t="shared" si="8"/>
        <v>10912364.27</v>
      </c>
      <c r="CB8" s="42">
        <f t="shared" si="8"/>
        <v>10912364.27</v>
      </c>
      <c r="CC8" s="42">
        <f t="shared" si="8"/>
        <v>10912364.27</v>
      </c>
      <c r="CD8" s="42">
        <f t="shared" si="8"/>
        <v>10912364.27</v>
      </c>
      <c r="CE8" s="42">
        <f t="shared" si="8"/>
        <v>10912364.27</v>
      </c>
      <c r="CF8" s="42">
        <f t="shared" si="8"/>
        <v>10912364.27</v>
      </c>
      <c r="CG8" s="42">
        <f t="shared" si="8"/>
        <v>10912364.27</v>
      </c>
      <c r="CH8" s="42">
        <f t="shared" si="8"/>
        <v>10912364.27</v>
      </c>
      <c r="CI8" s="42">
        <f t="shared" si="8"/>
        <v>10912364.27</v>
      </c>
      <c r="CJ8" s="42">
        <f t="shared" si="8"/>
        <v>10912364.27</v>
      </c>
      <c r="CK8" s="42">
        <f t="shared" si="8"/>
        <v>10912364.27</v>
      </c>
      <c r="CL8" s="42">
        <f t="shared" si="8"/>
        <v>10912364.27</v>
      </c>
      <c r="CM8" s="42">
        <f t="shared" si="8"/>
        <v>10912364.27</v>
      </c>
      <c r="CN8" s="42">
        <f t="shared" si="8"/>
        <v>10912364.27</v>
      </c>
      <c r="CO8" s="42">
        <f t="shared" si="8"/>
        <v>10912364.27</v>
      </c>
      <c r="CP8" s="42">
        <f t="shared" si="8"/>
        <v>10912364.27</v>
      </c>
      <c r="CQ8" s="42">
        <f t="shared" si="8"/>
        <v>10912364.27</v>
      </c>
      <c r="CR8" s="42">
        <f t="shared" si="8"/>
        <v>10912364.27</v>
      </c>
      <c r="CS8" s="42">
        <f t="shared" si="8"/>
        <v>10912364.27</v>
      </c>
      <c r="CT8" s="42">
        <f t="shared" si="8"/>
        <v>10912364.27</v>
      </c>
    </row>
    <row r="9" spans="1:98" x14ac:dyDescent="0.25">
      <c r="A9" t="s">
        <v>37</v>
      </c>
      <c r="B9" s="37"/>
      <c r="C9" s="37"/>
      <c r="D9" s="41">
        <v>0</v>
      </c>
      <c r="E9" s="41">
        <v>0</v>
      </c>
      <c r="F9" s="41">
        <v>0</v>
      </c>
      <c r="G9" s="41">
        <v>0</v>
      </c>
      <c r="H9" s="41">
        <v>360.22</v>
      </c>
      <c r="I9" s="41">
        <v>1610.72</v>
      </c>
      <c r="J9" s="41">
        <v>3708.44</v>
      </c>
      <c r="K9" s="41">
        <v>5556.58</v>
      </c>
      <c r="L9" s="41">
        <v>7842.59</v>
      </c>
      <c r="M9" s="41">
        <v>10918.86</v>
      </c>
      <c r="N9" s="41">
        <v>16615.46</v>
      </c>
      <c r="O9" s="41">
        <v>22758.07</v>
      </c>
      <c r="P9" s="41">
        <v>31593.03</v>
      </c>
      <c r="Q9" s="41">
        <v>39281.5</v>
      </c>
      <c r="R9" s="41">
        <v>50126.66</v>
      </c>
      <c r="S9" s="41">
        <v>70160.39</v>
      </c>
      <c r="T9" s="41">
        <v>99498.43</v>
      </c>
      <c r="U9" s="41">
        <v>125723.48999999999</v>
      </c>
      <c r="V9" s="41">
        <v>151515.57</v>
      </c>
      <c r="W9" s="42">
        <v>170427.22</v>
      </c>
      <c r="X9" s="42">
        <v>188562.65</v>
      </c>
      <c r="Y9" s="42">
        <v>208655.59</v>
      </c>
      <c r="Z9" s="42">
        <v>231472.88999999998</v>
      </c>
      <c r="AA9" s="42">
        <v>251997.65999999997</v>
      </c>
      <c r="AB9" s="42">
        <v>274863.21999999997</v>
      </c>
      <c r="AC9" s="42">
        <v>298818.81999999995</v>
      </c>
      <c r="AD9" s="42">
        <v>331875.56999999995</v>
      </c>
      <c r="AE9" s="42">
        <v>404071.67999999993</v>
      </c>
      <c r="AF9" s="42">
        <v>500160.08999999997</v>
      </c>
      <c r="AG9" s="42">
        <v>581014.66999999993</v>
      </c>
      <c r="AH9" s="42">
        <v>646771.12999999989</v>
      </c>
      <c r="AI9" s="42">
        <v>682335.71999999986</v>
      </c>
      <c r="AJ9" s="42">
        <v>715657.68999999983</v>
      </c>
      <c r="AK9" s="42">
        <v>756057.14999999979</v>
      </c>
      <c r="AL9" s="42">
        <v>803044.9099999998</v>
      </c>
      <c r="AM9" s="42">
        <v>847067.0299999998</v>
      </c>
      <c r="AN9" s="42">
        <v>906643.35999999987</v>
      </c>
      <c r="AO9" s="42">
        <v>960281.54999999981</v>
      </c>
      <c r="AP9" s="42">
        <v>1023538.6499999997</v>
      </c>
      <c r="AQ9" s="42">
        <v>1212863.4699999997</v>
      </c>
      <c r="AR9" s="42">
        <v>1467669.6399999997</v>
      </c>
      <c r="AS9" s="42">
        <v>1693254.0199999996</v>
      </c>
      <c r="AT9" s="42">
        <v>1837329.1699999995</v>
      </c>
      <c r="AU9" s="42">
        <f>1898561.58+190.94</f>
        <v>1898752.52</v>
      </c>
      <c r="AV9" s="42">
        <f>495.42+1951906.31</f>
        <v>1952401.73</v>
      </c>
      <c r="AW9" s="42">
        <f>2005628.02+817.44</f>
        <v>2006445.46</v>
      </c>
      <c r="AX9" s="42">
        <f>2064005.66+1163.45</f>
        <v>2065169.1099999999</v>
      </c>
      <c r="AY9" s="42">
        <f>1454.53+2116249.21</f>
        <v>2117703.7399999998</v>
      </c>
      <c r="AZ9" s="42">
        <f>1758.71+2169137.42</f>
        <v>2170896.13</v>
      </c>
      <c r="BA9" s="42">
        <f t="shared" ref="BA9:BF9" si="9">2169137.42+1758.71</f>
        <v>2170896.13</v>
      </c>
      <c r="BB9" s="42">
        <f t="shared" si="9"/>
        <v>2170896.13</v>
      </c>
      <c r="BC9" s="42">
        <f t="shared" si="9"/>
        <v>2170896.13</v>
      </c>
      <c r="BD9" s="42">
        <f t="shared" si="9"/>
        <v>2170896.13</v>
      </c>
      <c r="BE9" s="42">
        <f t="shared" si="9"/>
        <v>2170896.13</v>
      </c>
      <c r="BF9" s="42">
        <f t="shared" si="9"/>
        <v>2170896.13</v>
      </c>
      <c r="BG9" s="42">
        <f t="shared" ref="BG9:BL9" si="10">2169137.42+1758.71</f>
        <v>2170896.13</v>
      </c>
      <c r="BH9" s="42">
        <f t="shared" si="10"/>
        <v>2170896.13</v>
      </c>
      <c r="BI9" s="42">
        <f t="shared" si="10"/>
        <v>2170896.13</v>
      </c>
      <c r="BJ9" s="42">
        <f t="shared" si="10"/>
        <v>2170896.13</v>
      </c>
      <c r="BK9" s="42">
        <f t="shared" si="10"/>
        <v>2170896.13</v>
      </c>
      <c r="BL9" s="42">
        <f t="shared" si="10"/>
        <v>2170896.13</v>
      </c>
      <c r="BM9" s="42">
        <f>2169137.42+1758.71</f>
        <v>2170896.13</v>
      </c>
      <c r="BN9" s="42">
        <f>2169137.42+1758.71</f>
        <v>2170896.13</v>
      </c>
      <c r="BO9" s="42">
        <f>2169137.42+1758.71</f>
        <v>2170896.13</v>
      </c>
      <c r="BP9" s="42">
        <f>2169137.42+1758.71</f>
        <v>2170896.13</v>
      </c>
      <c r="BQ9" s="42">
        <f>2169137.42+1657.56</f>
        <v>2170794.98</v>
      </c>
      <c r="BR9" s="42">
        <f>2169137.42+1549.4</f>
        <v>2170686.8199999998</v>
      </c>
      <c r="BS9" s="42">
        <f>2169137.42+1481.88</f>
        <v>2170619.2999999998</v>
      </c>
      <c r="BT9" s="42">
        <f>2169137.42+1427.69</f>
        <v>2170565.11</v>
      </c>
      <c r="BU9" s="42">
        <f>2169137.42+1371.11</f>
        <v>2170508.5299999998</v>
      </c>
      <c r="BV9" s="42">
        <f>2169137.42+1309.93</f>
        <v>2170447.35</v>
      </c>
      <c r="BW9" s="42">
        <f t="shared" ref="BW9:CT9" si="11">2169137.42+1258.46</f>
        <v>2170395.88</v>
      </c>
      <c r="BX9" s="42">
        <f t="shared" si="11"/>
        <v>2170395.88</v>
      </c>
      <c r="BY9" s="42">
        <f t="shared" si="11"/>
        <v>2170395.88</v>
      </c>
      <c r="BZ9" s="42">
        <f t="shared" si="11"/>
        <v>2170395.88</v>
      </c>
      <c r="CA9" s="42">
        <f t="shared" si="11"/>
        <v>2170395.88</v>
      </c>
      <c r="CB9" s="42">
        <f t="shared" si="11"/>
        <v>2170395.88</v>
      </c>
      <c r="CC9" s="42">
        <f t="shared" si="11"/>
        <v>2170395.88</v>
      </c>
      <c r="CD9" s="42">
        <f t="shared" si="11"/>
        <v>2170395.88</v>
      </c>
      <c r="CE9" s="42">
        <f t="shared" si="11"/>
        <v>2170395.88</v>
      </c>
      <c r="CF9" s="42">
        <f t="shared" si="11"/>
        <v>2170395.88</v>
      </c>
      <c r="CG9" s="42">
        <f t="shared" si="11"/>
        <v>2170395.88</v>
      </c>
      <c r="CH9" s="42">
        <f t="shared" si="11"/>
        <v>2170395.88</v>
      </c>
      <c r="CI9" s="42">
        <f t="shared" si="11"/>
        <v>2170395.88</v>
      </c>
      <c r="CJ9" s="42">
        <f t="shared" si="11"/>
        <v>2170395.88</v>
      </c>
      <c r="CK9" s="42">
        <f t="shared" si="11"/>
        <v>2170395.88</v>
      </c>
      <c r="CL9" s="42">
        <f t="shared" si="11"/>
        <v>2170395.88</v>
      </c>
      <c r="CM9" s="42">
        <f t="shared" si="11"/>
        <v>2170395.88</v>
      </c>
      <c r="CN9" s="42">
        <f t="shared" si="11"/>
        <v>2170395.88</v>
      </c>
      <c r="CO9" s="42">
        <f t="shared" si="11"/>
        <v>2170395.88</v>
      </c>
      <c r="CP9" s="42">
        <f t="shared" si="11"/>
        <v>2170395.88</v>
      </c>
      <c r="CQ9" s="42">
        <f t="shared" si="11"/>
        <v>2170395.88</v>
      </c>
      <c r="CR9" s="42">
        <f t="shared" si="11"/>
        <v>2170395.88</v>
      </c>
      <c r="CS9" s="42">
        <f t="shared" si="11"/>
        <v>2170395.88</v>
      </c>
      <c r="CT9" s="42">
        <f t="shared" si="11"/>
        <v>2170395.88</v>
      </c>
    </row>
    <row r="10" spans="1:98" x14ac:dyDescent="0.25">
      <c r="A10" t="s">
        <v>29</v>
      </c>
      <c r="B10" s="37"/>
      <c r="C10" s="37"/>
      <c r="D10" s="41">
        <v>0</v>
      </c>
      <c r="E10" s="41">
        <v>0</v>
      </c>
      <c r="F10" s="41">
        <v>0</v>
      </c>
      <c r="G10" s="41">
        <v>0</v>
      </c>
      <c r="H10" s="41">
        <v>0</v>
      </c>
      <c r="I10" s="41">
        <v>1938.36</v>
      </c>
      <c r="J10" s="41">
        <v>4471.67</v>
      </c>
      <c r="K10" s="41">
        <v>5196.7299999999996</v>
      </c>
      <c r="L10" s="41">
        <v>6862.23</v>
      </c>
      <c r="M10" s="41">
        <v>10267.16</v>
      </c>
      <c r="N10" s="41">
        <v>14971.71</v>
      </c>
      <c r="O10" s="41">
        <v>19986.64</v>
      </c>
      <c r="P10" s="41">
        <v>24761.3</v>
      </c>
      <c r="Q10" s="41">
        <v>35353.409999999996</v>
      </c>
      <c r="R10" s="41">
        <v>37586.060000000005</v>
      </c>
      <c r="S10" s="41">
        <v>49965.19000000001</v>
      </c>
      <c r="T10" s="41">
        <f>S10</f>
        <v>49965.19000000001</v>
      </c>
      <c r="U10" s="41">
        <v>79271.760000000009</v>
      </c>
      <c r="V10" s="41">
        <v>98032.219999999987</v>
      </c>
      <c r="W10" s="42">
        <v>106584.77999999998</v>
      </c>
      <c r="X10" s="42">
        <v>118285.69999999998</v>
      </c>
      <c r="Y10" s="42">
        <v>131572.22999999998</v>
      </c>
      <c r="Z10" s="42">
        <v>161846.31999999998</v>
      </c>
      <c r="AA10" s="42">
        <v>190951.01</v>
      </c>
      <c r="AB10" s="42">
        <v>213429.63</v>
      </c>
      <c r="AC10" s="42">
        <v>246557.09999999998</v>
      </c>
      <c r="AD10" s="42">
        <v>271769.84999999998</v>
      </c>
      <c r="AE10" s="42">
        <v>331308.89999999997</v>
      </c>
      <c r="AF10" s="42">
        <v>412191.51</v>
      </c>
      <c r="AG10" s="42">
        <v>493335.19</v>
      </c>
      <c r="AH10" s="42">
        <v>559581.99</v>
      </c>
      <c r="AI10" s="42">
        <v>595007.44000000006</v>
      </c>
      <c r="AJ10" s="42">
        <v>634031.60000000009</v>
      </c>
      <c r="AK10" s="42">
        <v>682284.17</v>
      </c>
      <c r="AL10" s="42">
        <v>734097.55</v>
      </c>
      <c r="AM10" s="42">
        <v>781994.41999999993</v>
      </c>
      <c r="AN10" s="42">
        <v>837841.06999999983</v>
      </c>
      <c r="AO10" s="42">
        <v>888476.94</v>
      </c>
      <c r="AP10" s="42">
        <v>942837.01</v>
      </c>
      <c r="AQ10" s="42">
        <v>1071794.97</v>
      </c>
      <c r="AR10" s="42">
        <v>1230408.1299999999</v>
      </c>
      <c r="AS10" s="42">
        <v>1372751.47</v>
      </c>
      <c r="AT10" s="42">
        <v>1487367.92</v>
      </c>
      <c r="AU10" s="111">
        <f>1535636.39+0</f>
        <v>1535636.39</v>
      </c>
      <c r="AV10" s="42">
        <f>0+1583004.44</f>
        <v>1583004.44</v>
      </c>
      <c r="AW10" s="42">
        <f>1658816.51+0</f>
        <v>1658816.51</v>
      </c>
      <c r="AX10" s="42">
        <f>1720936.64+0</f>
        <v>1720936.64</v>
      </c>
      <c r="AY10" s="42">
        <f>0+1772288.01</f>
        <v>1772288.01</v>
      </c>
      <c r="AZ10" s="42">
        <f>0+1825448.58</f>
        <v>1825448.58</v>
      </c>
      <c r="BA10" s="42">
        <f>1825448.58+0</f>
        <v>1825448.58</v>
      </c>
      <c r="BB10" s="42">
        <f t="shared" ref="BB10:BG10" si="12">1822821.1+0</f>
        <v>1822821.1</v>
      </c>
      <c r="BC10" s="42">
        <f t="shared" si="12"/>
        <v>1822821.1</v>
      </c>
      <c r="BD10" s="42">
        <f t="shared" si="12"/>
        <v>1822821.1</v>
      </c>
      <c r="BE10" s="42">
        <f t="shared" si="12"/>
        <v>1822821.1</v>
      </c>
      <c r="BF10" s="42">
        <f t="shared" si="12"/>
        <v>1822821.1</v>
      </c>
      <c r="BG10" s="42">
        <f t="shared" si="12"/>
        <v>1822821.1</v>
      </c>
      <c r="BH10" s="42">
        <f t="shared" ref="BH10:BM10" si="13">1822821.1+0</f>
        <v>1822821.1</v>
      </c>
      <c r="BI10" s="42">
        <f t="shared" si="13"/>
        <v>1822821.1</v>
      </c>
      <c r="BJ10" s="42">
        <f t="shared" si="13"/>
        <v>1822821.1</v>
      </c>
      <c r="BK10" s="42">
        <f t="shared" si="13"/>
        <v>1822821.1</v>
      </c>
      <c r="BL10" s="42">
        <f t="shared" si="13"/>
        <v>1822821.1</v>
      </c>
      <c r="BM10" s="42">
        <f t="shared" si="13"/>
        <v>1822821.1</v>
      </c>
      <c r="BN10" s="42">
        <f t="shared" ref="BN10:BR10" si="14">1822821.1+0</f>
        <v>1822821.1</v>
      </c>
      <c r="BO10" s="42">
        <f t="shared" si="14"/>
        <v>1822821.1</v>
      </c>
      <c r="BP10" s="42">
        <f t="shared" si="14"/>
        <v>1822821.1</v>
      </c>
      <c r="BQ10" s="42">
        <f t="shared" si="14"/>
        <v>1822821.1</v>
      </c>
      <c r="BR10" s="42">
        <f t="shared" si="14"/>
        <v>1822821.1</v>
      </c>
      <c r="BS10" s="42">
        <f t="shared" ref="BS10:BW10" si="15">1822821.1+0</f>
        <v>1822821.1</v>
      </c>
      <c r="BT10" s="42">
        <f t="shared" si="15"/>
        <v>1822821.1</v>
      </c>
      <c r="BU10" s="42">
        <f t="shared" si="15"/>
        <v>1822821.1</v>
      </c>
      <c r="BV10" s="42">
        <f t="shared" si="15"/>
        <v>1822821.1</v>
      </c>
      <c r="BW10" s="42">
        <f t="shared" si="15"/>
        <v>1822821.1</v>
      </c>
      <c r="BX10" s="42">
        <f t="shared" ref="BX10:CT10" si="16">1822821.1+0</f>
        <v>1822821.1</v>
      </c>
      <c r="BY10" s="42">
        <f t="shared" si="16"/>
        <v>1822821.1</v>
      </c>
      <c r="BZ10" s="42">
        <f t="shared" si="16"/>
        <v>1822821.1</v>
      </c>
      <c r="CA10" s="42">
        <f t="shared" si="16"/>
        <v>1822821.1</v>
      </c>
      <c r="CB10" s="42">
        <f t="shared" si="16"/>
        <v>1822821.1</v>
      </c>
      <c r="CC10" s="42">
        <f t="shared" si="16"/>
        <v>1822821.1</v>
      </c>
      <c r="CD10" s="42">
        <f t="shared" si="16"/>
        <v>1822821.1</v>
      </c>
      <c r="CE10" s="42">
        <f t="shared" si="16"/>
        <v>1822821.1</v>
      </c>
      <c r="CF10" s="42">
        <f t="shared" si="16"/>
        <v>1822821.1</v>
      </c>
      <c r="CG10" s="42">
        <f t="shared" si="16"/>
        <v>1822821.1</v>
      </c>
      <c r="CH10" s="42">
        <f t="shared" si="16"/>
        <v>1822821.1</v>
      </c>
      <c r="CI10" s="42">
        <f t="shared" si="16"/>
        <v>1822821.1</v>
      </c>
      <c r="CJ10" s="42">
        <f t="shared" si="16"/>
        <v>1822821.1</v>
      </c>
      <c r="CK10" s="42">
        <f t="shared" si="16"/>
        <v>1822821.1</v>
      </c>
      <c r="CL10" s="42">
        <f t="shared" si="16"/>
        <v>1822821.1</v>
      </c>
      <c r="CM10" s="42">
        <f t="shared" si="16"/>
        <v>1822821.1</v>
      </c>
      <c r="CN10" s="42">
        <f t="shared" si="16"/>
        <v>1822821.1</v>
      </c>
      <c r="CO10" s="42">
        <f t="shared" si="16"/>
        <v>1822821.1</v>
      </c>
      <c r="CP10" s="42">
        <f t="shared" si="16"/>
        <v>1822821.1</v>
      </c>
      <c r="CQ10" s="42">
        <f t="shared" si="16"/>
        <v>1822821.1</v>
      </c>
      <c r="CR10" s="42">
        <f t="shared" si="16"/>
        <v>1822821.1</v>
      </c>
      <c r="CS10" s="42">
        <f t="shared" si="16"/>
        <v>1822821.1</v>
      </c>
      <c r="CT10" s="42">
        <f t="shared" si="16"/>
        <v>1822821.1</v>
      </c>
    </row>
    <row r="11" spans="1:98" x14ac:dyDescent="0.25">
      <c r="A11" s="33" t="s">
        <v>31</v>
      </c>
      <c r="B11" s="31"/>
      <c r="C11" s="31"/>
      <c r="D11" s="44">
        <f>SUM(D5:D10)</f>
        <v>0</v>
      </c>
      <c r="E11" s="44">
        <f t="shared" ref="E11:AW11" si="17">SUM(E5:E10)</f>
        <v>1328.78</v>
      </c>
      <c r="F11" s="44">
        <f t="shared" si="17"/>
        <v>10855.31</v>
      </c>
      <c r="G11" s="44">
        <f t="shared" si="17"/>
        <v>142755.74000000002</v>
      </c>
      <c r="H11" s="44">
        <f t="shared" si="17"/>
        <v>438755.29</v>
      </c>
      <c r="I11" s="44">
        <f t="shared" si="17"/>
        <v>864309.08999999985</v>
      </c>
      <c r="J11" s="44">
        <f t="shared" si="17"/>
        <v>1622828.7399999998</v>
      </c>
      <c r="K11" s="44">
        <f t="shared" si="17"/>
        <v>1822179.47</v>
      </c>
      <c r="L11" s="44">
        <f t="shared" si="17"/>
        <v>2101287.8199999998</v>
      </c>
      <c r="M11" s="44">
        <f t="shared" si="17"/>
        <v>2539595.4700000002</v>
      </c>
      <c r="N11" s="44">
        <f t="shared" si="17"/>
        <v>3049256.3499999996</v>
      </c>
      <c r="O11" s="44">
        <f t="shared" si="17"/>
        <v>3535457.8400000003</v>
      </c>
      <c r="P11" s="44">
        <f t="shared" si="17"/>
        <v>4050297.1999999997</v>
      </c>
      <c r="Q11" s="44">
        <f t="shared" si="17"/>
        <v>4362993.05</v>
      </c>
      <c r="R11" s="44">
        <f t="shared" si="17"/>
        <v>4755467.2999999989</v>
      </c>
      <c r="S11" s="44">
        <f t="shared" si="17"/>
        <v>6104315.6600000001</v>
      </c>
      <c r="T11" s="44">
        <f t="shared" si="17"/>
        <v>8063085.7299999995</v>
      </c>
      <c r="U11" s="44">
        <f t="shared" si="17"/>
        <v>10182437.92</v>
      </c>
      <c r="V11" s="44">
        <f t="shared" si="17"/>
        <v>11835443.359999999</v>
      </c>
      <c r="W11" s="44">
        <f t="shared" si="17"/>
        <v>12586081.24</v>
      </c>
      <c r="X11" s="44">
        <f t="shared" si="17"/>
        <v>13411133.349999998</v>
      </c>
      <c r="Y11" s="44">
        <f t="shared" si="17"/>
        <v>14508235.33</v>
      </c>
      <c r="Z11" s="44">
        <f t="shared" si="17"/>
        <v>15741662.74</v>
      </c>
      <c r="AA11" s="44">
        <f t="shared" si="17"/>
        <v>16804401.32</v>
      </c>
      <c r="AB11" s="44">
        <f t="shared" si="17"/>
        <v>17920859.009999998</v>
      </c>
      <c r="AC11" s="44">
        <f t="shared" si="17"/>
        <v>18880652.490000002</v>
      </c>
      <c r="AD11" s="44">
        <f t="shared" si="17"/>
        <v>20304883.590000004</v>
      </c>
      <c r="AE11" s="44">
        <f t="shared" si="17"/>
        <v>24109452.829999998</v>
      </c>
      <c r="AF11" s="44">
        <f t="shared" si="17"/>
        <v>29222202.420000002</v>
      </c>
      <c r="AG11" s="44">
        <f t="shared" si="17"/>
        <v>33936069.969999999</v>
      </c>
      <c r="AH11" s="44">
        <f t="shared" si="17"/>
        <v>37534409.930000007</v>
      </c>
      <c r="AI11" s="44">
        <f t="shared" si="17"/>
        <v>39248935.469999999</v>
      </c>
      <c r="AJ11" s="44">
        <f t="shared" si="17"/>
        <v>40820356.719999999</v>
      </c>
      <c r="AK11" s="44">
        <f t="shared" si="17"/>
        <v>42739876.649999999</v>
      </c>
      <c r="AL11" s="44">
        <f t="shared" si="17"/>
        <v>44800311.419999987</v>
      </c>
      <c r="AM11" s="44">
        <f t="shared" si="17"/>
        <v>46599938.740000002</v>
      </c>
      <c r="AN11" s="44">
        <f t="shared" si="17"/>
        <v>48912530.510000005</v>
      </c>
      <c r="AO11" s="44">
        <f t="shared" si="17"/>
        <v>51022444.509999998</v>
      </c>
      <c r="AP11" s="44">
        <f t="shared" si="17"/>
        <v>52910430.469999999</v>
      </c>
      <c r="AQ11" s="44">
        <f t="shared" si="17"/>
        <v>59034225.109999999</v>
      </c>
      <c r="AR11" s="44">
        <f t="shared" si="17"/>
        <v>66409536.900000006</v>
      </c>
      <c r="AS11" s="44">
        <f t="shared" si="17"/>
        <v>73378809.11999999</v>
      </c>
      <c r="AT11" s="44">
        <f t="shared" si="17"/>
        <v>78504096.609999999</v>
      </c>
      <c r="AU11" s="44">
        <f t="shared" si="17"/>
        <v>80727405.609999999</v>
      </c>
      <c r="AV11" s="44">
        <f t="shared" si="17"/>
        <v>82805801.339999989</v>
      </c>
      <c r="AW11" s="44">
        <f t="shared" si="17"/>
        <v>85034536.019999996</v>
      </c>
      <c r="AX11" s="44">
        <f t="shared" ref="AX11:AY11" si="18">SUM(AX5:AX10)</f>
        <v>87404383.969999999</v>
      </c>
      <c r="AY11" s="44">
        <f t="shared" si="18"/>
        <v>87621939.359999999</v>
      </c>
      <c r="AZ11" s="44">
        <f t="shared" ref="AZ11:BA11" si="19">SUM(AZ5:AZ10)</f>
        <v>89562112.209999993</v>
      </c>
      <c r="BA11" s="44">
        <f t="shared" si="19"/>
        <v>89564398.519999996</v>
      </c>
      <c r="BB11" s="44">
        <f t="shared" ref="BB11:BC11" si="20">SUM(BB5:BB10)</f>
        <v>89564431.909999982</v>
      </c>
      <c r="BC11" s="44">
        <f t="shared" si="20"/>
        <v>89576655.219999984</v>
      </c>
      <c r="BD11" s="44">
        <f t="shared" ref="BD11:BE11" si="21">SUM(BD5:BD10)</f>
        <v>89599508.399999976</v>
      </c>
      <c r="BE11" s="44">
        <f t="shared" si="21"/>
        <v>89636862.249999985</v>
      </c>
      <c r="BF11" s="44">
        <f t="shared" ref="BF11:BG11" si="22">SUM(BF5:BF10)</f>
        <v>89671271.859999985</v>
      </c>
      <c r="BG11" s="44">
        <f t="shared" si="22"/>
        <v>89684768.019999981</v>
      </c>
      <c r="BH11" s="44">
        <f t="shared" ref="BH11:BI11" si="23">SUM(BH5:BH10)</f>
        <v>89697638.089999989</v>
      </c>
      <c r="BI11" s="44">
        <f t="shared" si="23"/>
        <v>89715352.119999975</v>
      </c>
      <c r="BJ11" s="44">
        <f t="shared" ref="BJ11:BK11" si="24">SUM(BJ5:BJ10)</f>
        <v>89736178.99999997</v>
      </c>
      <c r="BK11" s="44">
        <f t="shared" si="24"/>
        <v>89755278.219999984</v>
      </c>
      <c r="BL11" s="44">
        <f t="shared" ref="BL11:BM11" si="25">SUM(BL5:BL10)</f>
        <v>89776699.679999977</v>
      </c>
      <c r="BM11" s="44">
        <f t="shared" si="25"/>
        <v>89795868.059999987</v>
      </c>
      <c r="BN11" s="44">
        <f t="shared" ref="BN11:BO11" si="26">SUM(BN5:BN10)</f>
        <v>89821333.149999976</v>
      </c>
      <c r="BO11" s="44">
        <f t="shared" si="26"/>
        <v>89891693.699999988</v>
      </c>
      <c r="BP11" s="44">
        <f t="shared" ref="BP11:BQ11" si="27">SUM(BP5:BP10)</f>
        <v>89982895.839999989</v>
      </c>
      <c r="BQ11" s="44">
        <f t="shared" si="27"/>
        <v>90067395.079999983</v>
      </c>
      <c r="BR11" s="44">
        <f t="shared" ref="BR11:BS11" si="28">SUM(BR5:BR10)</f>
        <v>90121346.929999992</v>
      </c>
      <c r="BS11" s="44">
        <f t="shared" si="28"/>
        <v>90143258.039999992</v>
      </c>
      <c r="BT11" s="44">
        <f t="shared" ref="BT11:BU11" si="29">SUM(BT5:BT10)</f>
        <v>90163884.11999999</v>
      </c>
      <c r="BU11" s="44">
        <f t="shared" si="29"/>
        <v>90188659.419999987</v>
      </c>
      <c r="BV11" s="44">
        <f t="shared" ref="BV11:BW11" si="30">SUM(BV5:BV10)</f>
        <v>90214489.439999983</v>
      </c>
      <c r="BW11" s="44">
        <f t="shared" si="30"/>
        <v>90235713.329999983</v>
      </c>
      <c r="BX11" s="44">
        <f t="shared" ref="BX11:BY11" si="31">SUM(BX5:BX10)</f>
        <v>90235713.329999983</v>
      </c>
      <c r="BY11" s="44">
        <f t="shared" si="31"/>
        <v>90235713.329999983</v>
      </c>
      <c r="BZ11" s="44">
        <f t="shared" ref="BZ11:CA11" si="32">SUM(BZ5:BZ10)</f>
        <v>90235713.329999983</v>
      </c>
      <c r="CA11" s="44">
        <f t="shared" si="32"/>
        <v>90235713.329999983</v>
      </c>
      <c r="CB11" s="44">
        <f t="shared" ref="CB11:CC11" si="33">SUM(CB5:CB10)</f>
        <v>90235713.329999983</v>
      </c>
      <c r="CC11" s="44">
        <f t="shared" si="33"/>
        <v>90235713.329999983</v>
      </c>
      <c r="CD11" s="44">
        <f t="shared" ref="CD11:CE11" si="34">SUM(CD5:CD10)</f>
        <v>90235713.329999983</v>
      </c>
      <c r="CE11" s="44">
        <f t="shared" si="34"/>
        <v>90235713.329999983</v>
      </c>
      <c r="CF11" s="44">
        <f t="shared" ref="CF11:CG11" si="35">SUM(CF5:CF10)</f>
        <v>90235713.329999983</v>
      </c>
      <c r="CG11" s="44">
        <f t="shared" si="35"/>
        <v>90235713.329999983</v>
      </c>
      <c r="CH11" s="44">
        <f t="shared" ref="CH11:CI11" si="36">SUM(CH5:CH10)</f>
        <v>90235713.329999983</v>
      </c>
      <c r="CI11" s="44">
        <f t="shared" si="36"/>
        <v>90235713.329999983</v>
      </c>
      <c r="CJ11" s="44">
        <f t="shared" ref="CJ11:CK11" si="37">SUM(CJ5:CJ10)</f>
        <v>90235713.329999983</v>
      </c>
      <c r="CK11" s="44">
        <f t="shared" si="37"/>
        <v>90235713.329999983</v>
      </c>
      <c r="CL11" s="44">
        <f t="shared" ref="CL11:CM11" si="38">SUM(CL5:CL10)</f>
        <v>90235713.329999983</v>
      </c>
      <c r="CM11" s="44">
        <f t="shared" si="38"/>
        <v>90235713.329999983</v>
      </c>
      <c r="CN11" s="44">
        <f t="shared" ref="CN11:CO11" si="39">SUM(CN5:CN10)</f>
        <v>90235713.329999983</v>
      </c>
      <c r="CO11" s="44">
        <f t="shared" si="39"/>
        <v>90235713.329999983</v>
      </c>
      <c r="CP11" s="44">
        <f t="shared" ref="CP11:CQ11" si="40">SUM(CP5:CP10)</f>
        <v>90235713.329999983</v>
      </c>
      <c r="CQ11" s="44">
        <f t="shared" si="40"/>
        <v>90235713.329999983</v>
      </c>
      <c r="CR11" s="44">
        <f t="shared" ref="CR11:CS11" si="41">SUM(CR5:CR10)</f>
        <v>90235713.329999983</v>
      </c>
      <c r="CS11" s="44">
        <f t="shared" si="41"/>
        <v>90235713.329999983</v>
      </c>
      <c r="CT11" s="44">
        <f t="shared" ref="CT11" si="42">SUM(CT5:CT10)</f>
        <v>90235713.329999983</v>
      </c>
    </row>
    <row r="12" spans="1:98" x14ac:dyDescent="0.25">
      <c r="B12" s="37"/>
      <c r="C12" s="37"/>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row>
    <row r="13" spans="1:98" x14ac:dyDescent="0.25">
      <c r="A13" s="36" t="s">
        <v>39</v>
      </c>
      <c r="B13" s="37"/>
      <c r="C13" s="37"/>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row>
    <row r="14" spans="1:98" x14ac:dyDescent="0.25">
      <c r="A14" s="38" t="s">
        <v>33</v>
      </c>
      <c r="B14" s="37"/>
      <c r="C14" s="37"/>
      <c r="D14" s="45">
        <f>D5-C5</f>
        <v>0</v>
      </c>
      <c r="E14" s="45">
        <f>IF(E5="","",E5-D5)</f>
        <v>1328.78</v>
      </c>
      <c r="F14" s="45">
        <f>IF(F5="","",F5-E5)</f>
        <v>9526.5299999999988</v>
      </c>
      <c r="G14" s="45">
        <f t="shared" ref="F14:AY19" si="43">IF(G5="","",G5-F5)</f>
        <v>120352.88</v>
      </c>
      <c r="H14" s="45">
        <f t="shared" si="43"/>
        <v>256080.65000000002</v>
      </c>
      <c r="I14" s="45">
        <f t="shared" si="43"/>
        <v>372472.09999999992</v>
      </c>
      <c r="J14" s="45">
        <f t="shared" si="43"/>
        <v>670608.5</v>
      </c>
      <c r="K14" s="45">
        <f t="shared" si="43"/>
        <v>120551.63000000012</v>
      </c>
      <c r="L14" s="45">
        <f t="shared" si="43"/>
        <v>184475.61999999988</v>
      </c>
      <c r="M14" s="45">
        <f t="shared" si="43"/>
        <v>301697.94999999995</v>
      </c>
      <c r="N14" s="45">
        <f t="shared" si="43"/>
        <v>327357.96999999997</v>
      </c>
      <c r="O14" s="45">
        <f t="shared" si="43"/>
        <v>317272.05000000028</v>
      </c>
      <c r="P14" s="45">
        <f t="shared" si="43"/>
        <v>305348.18999999994</v>
      </c>
      <c r="Q14" s="45">
        <f t="shared" si="43"/>
        <v>197792.15999999968</v>
      </c>
      <c r="R14" s="45">
        <f t="shared" si="43"/>
        <v>200664.75999999978</v>
      </c>
      <c r="S14" s="45">
        <f t="shared" si="43"/>
        <v>879022.23000000045</v>
      </c>
      <c r="T14" s="45">
        <f t="shared" si="43"/>
        <v>1282604.3399999999</v>
      </c>
      <c r="U14" s="45">
        <f t="shared" si="43"/>
        <v>1399033.92</v>
      </c>
      <c r="V14" s="45">
        <f t="shared" si="43"/>
        <v>904042.34999999963</v>
      </c>
      <c r="W14" s="45">
        <f t="shared" si="43"/>
        <v>276514.40000000037</v>
      </c>
      <c r="X14" s="45">
        <f>IF(X5="","",X5-W5)</f>
        <v>372792.59999999963</v>
      </c>
      <c r="Y14" s="45">
        <f t="shared" si="43"/>
        <v>559285.05000000075</v>
      </c>
      <c r="Z14" s="45">
        <f t="shared" si="43"/>
        <v>591373.70999999903</v>
      </c>
      <c r="AA14" s="45">
        <f t="shared" si="43"/>
        <v>500836.08000000007</v>
      </c>
      <c r="AB14" s="45">
        <f t="shared" si="43"/>
        <v>462807.17000000179</v>
      </c>
      <c r="AC14" s="45">
        <f t="shared" si="43"/>
        <v>255600.08999999985</v>
      </c>
      <c r="AD14" s="45">
        <f t="shared" si="43"/>
        <v>481507.6799999997</v>
      </c>
      <c r="AE14" s="45">
        <f t="shared" si="43"/>
        <v>1997746.3400000017</v>
      </c>
      <c r="AF14" s="45">
        <f t="shared" si="43"/>
        <v>2714818.1799999997</v>
      </c>
      <c r="AG14" s="45">
        <f t="shared" si="43"/>
        <v>2617480.8900000025</v>
      </c>
      <c r="AH14" s="45">
        <f t="shared" si="43"/>
        <v>1555407.7100000009</v>
      </c>
      <c r="AI14" s="45">
        <f t="shared" si="43"/>
        <v>541370.46999999508</v>
      </c>
      <c r="AJ14" s="45">
        <f t="shared" si="43"/>
        <v>496941.62999999896</v>
      </c>
      <c r="AK14" s="45">
        <f t="shared" si="43"/>
        <v>679510.1799999997</v>
      </c>
      <c r="AL14" s="45">
        <f t="shared" si="43"/>
        <v>678526.77999999747</v>
      </c>
      <c r="AM14" s="45">
        <f t="shared" si="43"/>
        <v>601701.77000000328</v>
      </c>
      <c r="AN14" s="45">
        <f t="shared" si="43"/>
        <v>705045.42000000179</v>
      </c>
      <c r="AO14" s="45">
        <f t="shared" si="43"/>
        <v>557694.19999999925</v>
      </c>
      <c r="AP14" s="45">
        <f t="shared" si="43"/>
        <v>349136.58000000194</v>
      </c>
      <c r="AQ14" s="45">
        <f t="shared" si="43"/>
        <v>2666775.4400000013</v>
      </c>
      <c r="AR14" s="45">
        <f t="shared" si="43"/>
        <v>3013692.8199999966</v>
      </c>
      <c r="AS14" s="45">
        <f t="shared" si="43"/>
        <v>3249975.2600000016</v>
      </c>
      <c r="AT14" s="45">
        <f t="shared" si="43"/>
        <v>1818882.6099999994</v>
      </c>
      <c r="AU14" s="45">
        <f t="shared" si="43"/>
        <v>447413.80999999493</v>
      </c>
      <c r="AV14" s="45">
        <f>IF(AV5="","",AV5-AU5)</f>
        <v>552491.52000000328</v>
      </c>
      <c r="AW14" s="45">
        <f t="shared" si="43"/>
        <v>691219.96000000089</v>
      </c>
      <c r="AX14" s="45">
        <f t="shared" si="43"/>
        <v>699596.14999999851</v>
      </c>
      <c r="AY14" s="45">
        <f t="shared" si="43"/>
        <v>-1127644.9299999997</v>
      </c>
      <c r="AZ14" s="45">
        <f t="shared" ref="AZ14:CT17" si="44">IF(AZ5="","",AZ5-AY5)</f>
        <v>475952.4299999997</v>
      </c>
      <c r="BA14" s="45">
        <f t="shared" ref="BA14:CT14" si="45">IF(BA5="","",BA5-AZ5)</f>
        <v>0</v>
      </c>
      <c r="BB14" s="45">
        <f t="shared" si="45"/>
        <v>0</v>
      </c>
      <c r="BC14" s="45">
        <f t="shared" si="45"/>
        <v>0</v>
      </c>
      <c r="BD14" s="45">
        <f t="shared" si="45"/>
        <v>0</v>
      </c>
      <c r="BE14" s="45">
        <f t="shared" si="45"/>
        <v>0</v>
      </c>
      <c r="BF14" s="45">
        <f t="shared" si="45"/>
        <v>0</v>
      </c>
      <c r="BG14" s="45">
        <f t="shared" si="45"/>
        <v>0</v>
      </c>
      <c r="BH14" s="45">
        <f t="shared" si="45"/>
        <v>0</v>
      </c>
      <c r="BI14" s="45">
        <f t="shared" si="45"/>
        <v>0</v>
      </c>
      <c r="BJ14" s="45">
        <f t="shared" si="45"/>
        <v>0</v>
      </c>
      <c r="BK14" s="45">
        <f t="shared" si="45"/>
        <v>0</v>
      </c>
      <c r="BL14" s="45">
        <f t="shared" si="45"/>
        <v>0</v>
      </c>
      <c r="BM14" s="45">
        <f t="shared" si="45"/>
        <v>0</v>
      </c>
      <c r="BN14" s="45">
        <f t="shared" si="45"/>
        <v>0</v>
      </c>
      <c r="BO14" s="45">
        <f t="shared" si="45"/>
        <v>0</v>
      </c>
      <c r="BP14" s="45">
        <f t="shared" si="45"/>
        <v>0</v>
      </c>
      <c r="BQ14" s="45">
        <f t="shared" si="45"/>
        <v>0</v>
      </c>
      <c r="BR14" s="45">
        <f t="shared" si="45"/>
        <v>0</v>
      </c>
      <c r="BS14" s="45">
        <f t="shared" si="45"/>
        <v>0</v>
      </c>
      <c r="BT14" s="45">
        <f t="shared" si="45"/>
        <v>0</v>
      </c>
      <c r="BU14" s="45">
        <f t="shared" si="45"/>
        <v>0</v>
      </c>
      <c r="BV14" s="45">
        <f t="shared" si="45"/>
        <v>0</v>
      </c>
      <c r="BW14" s="45">
        <f t="shared" si="45"/>
        <v>0</v>
      </c>
      <c r="BX14" s="45">
        <f t="shared" si="45"/>
        <v>0</v>
      </c>
      <c r="BY14" s="45">
        <f t="shared" si="45"/>
        <v>0</v>
      </c>
      <c r="BZ14" s="45">
        <f t="shared" si="45"/>
        <v>0</v>
      </c>
      <c r="CA14" s="45">
        <f t="shared" si="45"/>
        <v>0</v>
      </c>
      <c r="CB14" s="45">
        <f t="shared" si="45"/>
        <v>0</v>
      </c>
      <c r="CC14" s="45">
        <f t="shared" si="45"/>
        <v>0</v>
      </c>
      <c r="CD14" s="45">
        <f t="shared" si="45"/>
        <v>0</v>
      </c>
      <c r="CE14" s="45">
        <f t="shared" si="45"/>
        <v>0</v>
      </c>
      <c r="CF14" s="45">
        <f t="shared" si="45"/>
        <v>0</v>
      </c>
      <c r="CG14" s="45">
        <f t="shared" si="45"/>
        <v>0</v>
      </c>
      <c r="CH14" s="45">
        <f t="shared" si="45"/>
        <v>0</v>
      </c>
      <c r="CI14" s="45">
        <f t="shared" si="45"/>
        <v>0</v>
      </c>
      <c r="CJ14" s="45">
        <f t="shared" si="45"/>
        <v>0</v>
      </c>
      <c r="CK14" s="45">
        <f t="shared" si="45"/>
        <v>0</v>
      </c>
      <c r="CL14" s="45">
        <f t="shared" si="45"/>
        <v>0</v>
      </c>
      <c r="CM14" s="45">
        <f t="shared" si="45"/>
        <v>0</v>
      </c>
      <c r="CN14" s="45">
        <f t="shared" si="45"/>
        <v>0</v>
      </c>
      <c r="CO14" s="45">
        <f t="shared" si="45"/>
        <v>0</v>
      </c>
      <c r="CP14" s="45">
        <f t="shared" si="45"/>
        <v>0</v>
      </c>
      <c r="CQ14" s="45">
        <f t="shared" si="45"/>
        <v>0</v>
      </c>
      <c r="CR14" s="45">
        <f t="shared" si="45"/>
        <v>0</v>
      </c>
      <c r="CS14" s="45">
        <f t="shared" si="45"/>
        <v>0</v>
      </c>
      <c r="CT14" s="45">
        <f t="shared" si="45"/>
        <v>0</v>
      </c>
    </row>
    <row r="15" spans="1:98" x14ac:dyDescent="0.25">
      <c r="A15" s="38" t="s">
        <v>34</v>
      </c>
      <c r="B15" s="37"/>
      <c r="C15" s="37"/>
      <c r="D15" s="45">
        <f t="shared" ref="D15:D19" si="46">D6-C6</f>
        <v>0</v>
      </c>
      <c r="E15" s="45">
        <f t="shared" ref="E15:T19" si="47">IF(E6="","",E6-D6)</f>
        <v>0</v>
      </c>
      <c r="F15" s="45">
        <f t="shared" si="47"/>
        <v>0</v>
      </c>
      <c r="G15" s="45">
        <f t="shared" si="47"/>
        <v>4167.9399999999996</v>
      </c>
      <c r="H15" s="45">
        <f t="shared" si="47"/>
        <v>13357.940000000002</v>
      </c>
      <c r="I15" s="45">
        <f t="shared" si="47"/>
        <v>14454.18</v>
      </c>
      <c r="J15" s="45">
        <f t="shared" si="47"/>
        <v>22320.249999999996</v>
      </c>
      <c r="K15" s="45">
        <f t="shared" si="47"/>
        <v>23584.83</v>
      </c>
      <c r="L15" s="45">
        <f t="shared" si="47"/>
        <v>27553.509999999995</v>
      </c>
      <c r="M15" s="45">
        <f t="shared" si="47"/>
        <v>36873.300000000017</v>
      </c>
      <c r="N15" s="45">
        <f t="shared" si="47"/>
        <v>47047.100000000006</v>
      </c>
      <c r="O15" s="45">
        <f t="shared" si="47"/>
        <v>42342.149999999994</v>
      </c>
      <c r="P15" s="45">
        <f t="shared" si="47"/>
        <v>52262.419999999984</v>
      </c>
      <c r="Q15" s="45">
        <f t="shared" si="47"/>
        <v>24709.820000000007</v>
      </c>
      <c r="R15" s="45">
        <f t="shared" si="47"/>
        <v>48722.070000000007</v>
      </c>
      <c r="S15" s="45">
        <f t="shared" si="47"/>
        <v>89215.37</v>
      </c>
      <c r="T15" s="45">
        <f t="shared" si="47"/>
        <v>138931.90000000002</v>
      </c>
      <c r="U15" s="45">
        <f t="shared" si="43"/>
        <v>130458.32999999984</v>
      </c>
      <c r="V15" s="45">
        <f t="shared" si="43"/>
        <v>149622.41000000015</v>
      </c>
      <c r="W15" s="45">
        <f t="shared" si="43"/>
        <v>115842.15000000002</v>
      </c>
      <c r="X15" s="45">
        <f t="shared" si="43"/>
        <v>86772.709999999846</v>
      </c>
      <c r="Y15" s="45">
        <f t="shared" si="43"/>
        <v>125490.87999999989</v>
      </c>
      <c r="Z15" s="45">
        <f t="shared" si="43"/>
        <v>148018.68999999994</v>
      </c>
      <c r="AA15" s="45">
        <f t="shared" si="43"/>
        <v>127690.18999999994</v>
      </c>
      <c r="AB15" s="45">
        <f t="shared" si="43"/>
        <v>159406.27000000002</v>
      </c>
      <c r="AC15" s="45">
        <f t="shared" si="43"/>
        <v>183035.08000000031</v>
      </c>
      <c r="AD15" s="45">
        <f t="shared" si="43"/>
        <v>257840.15999999992</v>
      </c>
      <c r="AE15" s="45">
        <f t="shared" si="43"/>
        <v>387684.63000000035</v>
      </c>
      <c r="AF15" s="45">
        <f t="shared" si="43"/>
        <v>508686.86999999965</v>
      </c>
      <c r="AG15" s="45">
        <f t="shared" si="43"/>
        <v>447675.79999999981</v>
      </c>
      <c r="AH15" s="45">
        <f t="shared" si="43"/>
        <v>488022.70000000019</v>
      </c>
      <c r="AI15" s="45">
        <f t="shared" si="43"/>
        <v>344175.24000000069</v>
      </c>
      <c r="AJ15" s="45">
        <f t="shared" si="43"/>
        <v>311009.05999999959</v>
      </c>
      <c r="AK15" s="45">
        <f t="shared" si="43"/>
        <v>343993.12999999989</v>
      </c>
      <c r="AL15" s="45">
        <f t="shared" si="43"/>
        <v>370770.33000000007</v>
      </c>
      <c r="AM15" s="45">
        <f t="shared" si="43"/>
        <v>310169.88999999966</v>
      </c>
      <c r="AN15" s="45">
        <f t="shared" si="43"/>
        <v>419753.16000000108</v>
      </c>
      <c r="AO15" s="45">
        <f t="shared" si="43"/>
        <v>423811.08999999985</v>
      </c>
      <c r="AP15" s="45">
        <f t="shared" si="43"/>
        <v>418930.93999999948</v>
      </c>
      <c r="AQ15" s="45">
        <f t="shared" si="43"/>
        <v>696098.56000000052</v>
      </c>
      <c r="AR15" s="45">
        <f t="shared" si="43"/>
        <v>888417.11999999918</v>
      </c>
      <c r="AS15" s="45">
        <f t="shared" si="43"/>
        <v>719222.04000000097</v>
      </c>
      <c r="AT15" s="45">
        <f t="shared" si="43"/>
        <v>752671.73000000045</v>
      </c>
      <c r="AU15" s="45">
        <f t="shared" si="43"/>
        <v>517065.38999999873</v>
      </c>
      <c r="AV15" s="45">
        <f t="shared" si="43"/>
        <v>440358.31999999844</v>
      </c>
      <c r="AW15" s="45">
        <f t="shared" si="43"/>
        <v>372255.00999999978</v>
      </c>
      <c r="AX15" s="45">
        <f t="shared" si="43"/>
        <v>444467.00000000186</v>
      </c>
      <c r="AY15" s="45">
        <f t="shared" si="43"/>
        <v>343323.83000000007</v>
      </c>
      <c r="AZ15" s="45">
        <f t="shared" si="44"/>
        <v>382499.52999999933</v>
      </c>
      <c r="BA15" s="45">
        <f t="shared" si="44"/>
        <v>0</v>
      </c>
      <c r="BB15" s="45">
        <f t="shared" si="44"/>
        <v>0</v>
      </c>
      <c r="BC15" s="45">
        <f t="shared" si="44"/>
        <v>0</v>
      </c>
      <c r="BD15" s="45">
        <f t="shared" si="44"/>
        <v>0</v>
      </c>
      <c r="BE15" s="45">
        <f t="shared" si="44"/>
        <v>0</v>
      </c>
      <c r="BF15" s="45">
        <f t="shared" si="44"/>
        <v>0</v>
      </c>
      <c r="BG15" s="45">
        <f t="shared" si="44"/>
        <v>0</v>
      </c>
      <c r="BH15" s="45">
        <f t="shared" si="44"/>
        <v>0</v>
      </c>
      <c r="BI15" s="45">
        <f t="shared" si="44"/>
        <v>0</v>
      </c>
      <c r="BJ15" s="45">
        <f t="shared" si="44"/>
        <v>0</v>
      </c>
      <c r="BK15" s="45">
        <f t="shared" si="44"/>
        <v>255.64000000059605</v>
      </c>
      <c r="BL15" s="45">
        <f t="shared" si="44"/>
        <v>592.33999999985099</v>
      </c>
      <c r="BM15" s="45">
        <f t="shared" si="44"/>
        <v>632.41000000014901</v>
      </c>
      <c r="BN15" s="45">
        <f t="shared" si="44"/>
        <v>892.52999999932945</v>
      </c>
      <c r="BO15" s="45">
        <f t="shared" si="44"/>
        <v>1958.390000000596</v>
      </c>
      <c r="BP15" s="45">
        <f t="shared" si="44"/>
        <v>2575.9900000002235</v>
      </c>
      <c r="BQ15" s="45">
        <f t="shared" si="44"/>
        <v>2901.589999999851</v>
      </c>
      <c r="BR15" s="45">
        <f t="shared" si="44"/>
        <v>2255.2100000008941</v>
      </c>
      <c r="BS15" s="45">
        <f t="shared" si="44"/>
        <v>1201.0499999988824</v>
      </c>
      <c r="BT15" s="45">
        <f t="shared" si="44"/>
        <v>993.04000000096858</v>
      </c>
      <c r="BU15" s="45">
        <f t="shared" si="44"/>
        <v>1022.7099999990314</v>
      </c>
      <c r="BV15" s="45">
        <f t="shared" si="44"/>
        <v>1061.0999999996275</v>
      </c>
      <c r="BW15" s="45">
        <f t="shared" si="44"/>
        <v>818.65000000037253</v>
      </c>
      <c r="BX15" s="45">
        <f t="shared" si="44"/>
        <v>0</v>
      </c>
      <c r="BY15" s="45">
        <f t="shared" si="44"/>
        <v>0</v>
      </c>
      <c r="BZ15" s="45">
        <f t="shared" si="44"/>
        <v>0</v>
      </c>
      <c r="CA15" s="45">
        <f t="shared" si="44"/>
        <v>0</v>
      </c>
      <c r="CB15" s="45">
        <f t="shared" si="44"/>
        <v>0</v>
      </c>
      <c r="CC15" s="45">
        <f t="shared" si="44"/>
        <v>0</v>
      </c>
      <c r="CD15" s="45">
        <f t="shared" si="44"/>
        <v>0</v>
      </c>
      <c r="CE15" s="45">
        <f t="shared" si="44"/>
        <v>0</v>
      </c>
      <c r="CF15" s="45">
        <f t="shared" si="44"/>
        <v>0</v>
      </c>
      <c r="CG15" s="45">
        <f t="shared" si="44"/>
        <v>0</v>
      </c>
      <c r="CH15" s="45">
        <f t="shared" si="44"/>
        <v>0</v>
      </c>
      <c r="CI15" s="45">
        <f t="shared" si="44"/>
        <v>0</v>
      </c>
      <c r="CJ15" s="45">
        <f t="shared" si="44"/>
        <v>0</v>
      </c>
      <c r="CK15" s="45">
        <f t="shared" si="44"/>
        <v>0</v>
      </c>
      <c r="CL15" s="45">
        <f t="shared" si="44"/>
        <v>0</v>
      </c>
      <c r="CM15" s="45">
        <f t="shared" si="44"/>
        <v>0</v>
      </c>
      <c r="CN15" s="45">
        <f t="shared" si="44"/>
        <v>0</v>
      </c>
      <c r="CO15" s="45">
        <f t="shared" si="44"/>
        <v>0</v>
      </c>
      <c r="CP15" s="45">
        <f t="shared" si="44"/>
        <v>0</v>
      </c>
      <c r="CQ15" s="45">
        <f t="shared" si="44"/>
        <v>0</v>
      </c>
      <c r="CR15" s="45">
        <f t="shared" si="44"/>
        <v>0</v>
      </c>
      <c r="CS15" s="45">
        <f t="shared" si="44"/>
        <v>0</v>
      </c>
      <c r="CT15" s="45">
        <f t="shared" si="44"/>
        <v>0</v>
      </c>
    </row>
    <row r="16" spans="1:98" x14ac:dyDescent="0.25">
      <c r="A16" s="38" t="s">
        <v>35</v>
      </c>
      <c r="B16" s="37"/>
      <c r="C16" s="37"/>
      <c r="D16" s="45">
        <f t="shared" si="46"/>
        <v>0</v>
      </c>
      <c r="E16" s="45">
        <f t="shared" si="47"/>
        <v>0</v>
      </c>
      <c r="F16" s="45">
        <f t="shared" si="43"/>
        <v>0</v>
      </c>
      <c r="G16" s="45">
        <f t="shared" si="43"/>
        <v>6853.38</v>
      </c>
      <c r="H16" s="45">
        <f t="shared" si="43"/>
        <v>24493.5</v>
      </c>
      <c r="I16" s="45">
        <f t="shared" si="43"/>
        <v>33409.69</v>
      </c>
      <c r="J16" s="45">
        <f t="shared" si="43"/>
        <v>56460.609999999993</v>
      </c>
      <c r="K16" s="45">
        <f t="shared" si="43"/>
        <v>48357.03</v>
      </c>
      <c r="L16" s="45">
        <f t="shared" si="43"/>
        <v>55899.790000000008</v>
      </c>
      <c r="M16" s="45">
        <f t="shared" si="43"/>
        <v>75546.030000000028</v>
      </c>
      <c r="N16" s="45">
        <f t="shared" si="43"/>
        <v>97352.229999999981</v>
      </c>
      <c r="O16" s="45">
        <f t="shared" si="43"/>
        <v>91562.099999999977</v>
      </c>
      <c r="P16" s="45">
        <f t="shared" si="43"/>
        <v>114563.78000000003</v>
      </c>
      <c r="Q16" s="45">
        <f t="shared" si="43"/>
        <v>61155.599999999977</v>
      </c>
      <c r="R16" s="45">
        <f t="shared" si="43"/>
        <v>102205.64000000001</v>
      </c>
      <c r="S16" s="45">
        <f t="shared" si="43"/>
        <v>221631.07999999996</v>
      </c>
      <c r="T16" s="45">
        <f t="shared" si="43"/>
        <v>332206.05000000005</v>
      </c>
      <c r="U16" s="45">
        <f t="shared" si="43"/>
        <v>319145.15000000014</v>
      </c>
      <c r="V16" s="45">
        <f t="shared" si="43"/>
        <v>352001.19999999995</v>
      </c>
      <c r="W16" s="45">
        <f t="shared" si="43"/>
        <v>230729.55000000005</v>
      </c>
      <c r="X16" s="45">
        <f t="shared" si="43"/>
        <v>239391.36999999965</v>
      </c>
      <c r="Y16" s="45">
        <f t="shared" si="43"/>
        <v>266781.58000000007</v>
      </c>
      <c r="Z16" s="45">
        <f t="shared" si="43"/>
        <v>312105.20000000019</v>
      </c>
      <c r="AA16" s="45">
        <f t="shared" si="43"/>
        <v>271478.48999999976</v>
      </c>
      <c r="AB16" s="45">
        <f t="shared" si="43"/>
        <v>319460.60999999987</v>
      </c>
      <c r="AC16" s="45">
        <f t="shared" si="43"/>
        <v>334428.61999999965</v>
      </c>
      <c r="AD16" s="45">
        <f t="shared" si="43"/>
        <v>449994.59999999963</v>
      </c>
      <c r="AE16" s="45">
        <f t="shared" si="43"/>
        <v>871311.25999999978</v>
      </c>
      <c r="AF16" s="45">
        <f t="shared" si="43"/>
        <v>1177390.7900000019</v>
      </c>
      <c r="AG16" s="45">
        <f t="shared" si="43"/>
        <v>1009716.5700000003</v>
      </c>
      <c r="AH16" s="45">
        <f t="shared" si="43"/>
        <v>1016326.7899999982</v>
      </c>
      <c r="AI16" s="45">
        <f t="shared" si="43"/>
        <v>555178.75000000186</v>
      </c>
      <c r="AJ16" s="45">
        <f t="shared" si="43"/>
        <v>504762.08999999985</v>
      </c>
      <c r="AK16" s="45">
        <f t="shared" si="43"/>
        <v>588919.23000000045</v>
      </c>
      <c r="AL16" s="45">
        <f t="shared" si="43"/>
        <v>665468.6099999994</v>
      </c>
      <c r="AM16" s="45">
        <f t="shared" si="43"/>
        <v>579431.93999999948</v>
      </c>
      <c r="AN16" s="45">
        <f t="shared" si="43"/>
        <v>772136.74000000209</v>
      </c>
      <c r="AO16" s="45">
        <f t="shared" si="43"/>
        <v>745789.6400000006</v>
      </c>
      <c r="AP16" s="45">
        <f t="shared" si="43"/>
        <v>714312.04999999702</v>
      </c>
      <c r="AQ16" s="45">
        <f t="shared" si="43"/>
        <v>1666090.3499999996</v>
      </c>
      <c r="AR16" s="45">
        <f t="shared" si="43"/>
        <v>2097910.540000001</v>
      </c>
      <c r="AS16" s="45">
        <f t="shared" si="43"/>
        <v>1772226.1099999994</v>
      </c>
      <c r="AT16" s="45">
        <f t="shared" si="43"/>
        <v>1620615.0399999991</v>
      </c>
      <c r="AU16" s="45">
        <f t="shared" si="43"/>
        <v>832864.56000000238</v>
      </c>
      <c r="AV16" s="45">
        <f t="shared" si="43"/>
        <v>710085.51000000164</v>
      </c>
      <c r="AW16" s="45">
        <f t="shared" si="43"/>
        <v>768797.14999999851</v>
      </c>
      <c r="AX16" s="45">
        <f t="shared" si="43"/>
        <v>807148.3200000003</v>
      </c>
      <c r="AY16" s="45">
        <f t="shared" si="43"/>
        <v>651115.96999999881</v>
      </c>
      <c r="AZ16" s="45">
        <f t="shared" si="44"/>
        <v>704577.47999999672</v>
      </c>
      <c r="BA16" s="45">
        <f t="shared" ref="BA16:CT16" si="48">IF(BA7="","",BA7-AZ7)</f>
        <v>2286.3100000023842</v>
      </c>
      <c r="BB16" s="45">
        <f t="shared" si="48"/>
        <v>2660.8699999973178</v>
      </c>
      <c r="BC16" s="45">
        <f t="shared" si="48"/>
        <v>12223.310000002384</v>
      </c>
      <c r="BD16" s="45">
        <f t="shared" si="48"/>
        <v>22853.179999999702</v>
      </c>
      <c r="BE16" s="45">
        <f t="shared" si="48"/>
        <v>20540.269999999553</v>
      </c>
      <c r="BF16" s="45">
        <f t="shared" si="48"/>
        <v>15022.210000000894</v>
      </c>
      <c r="BG16" s="45">
        <f t="shared" si="48"/>
        <v>6711.089999999851</v>
      </c>
      <c r="BH16" s="45">
        <f t="shared" si="48"/>
        <v>6702.839999999851</v>
      </c>
      <c r="BI16" s="45">
        <f t="shared" si="48"/>
        <v>8127.0399999991059</v>
      </c>
      <c r="BJ16" s="45">
        <f t="shared" si="48"/>
        <v>8329.3000000007451</v>
      </c>
      <c r="BK16" s="45">
        <f t="shared" si="48"/>
        <v>8800.269999999553</v>
      </c>
      <c r="BL16" s="45">
        <f t="shared" si="48"/>
        <v>10333.070000000298</v>
      </c>
      <c r="BM16" s="45">
        <f t="shared" si="48"/>
        <v>8760.0100000016391</v>
      </c>
      <c r="BN16" s="45">
        <f t="shared" si="48"/>
        <v>11044.909999996424</v>
      </c>
      <c r="BO16" s="45">
        <f t="shared" si="48"/>
        <v>31907.310000002384</v>
      </c>
      <c r="BP16" s="45">
        <f t="shared" si="48"/>
        <v>40946.179999999702</v>
      </c>
      <c r="BQ16" s="45">
        <f t="shared" si="48"/>
        <v>36410.359999999404</v>
      </c>
      <c r="BR16" s="45">
        <f t="shared" si="48"/>
        <v>22318.39999999851</v>
      </c>
      <c r="BS16" s="45">
        <f t="shared" si="48"/>
        <v>8944.2900000028312</v>
      </c>
      <c r="BT16" s="45">
        <f t="shared" si="48"/>
        <v>9312.6499999985099</v>
      </c>
      <c r="BU16" s="45">
        <f t="shared" si="48"/>
        <v>11751.719999998808</v>
      </c>
      <c r="BV16" s="45">
        <f t="shared" si="48"/>
        <v>12005.310000002384</v>
      </c>
      <c r="BW16" s="45">
        <f t="shared" si="48"/>
        <v>10126.529999997467</v>
      </c>
      <c r="BX16" s="45">
        <f t="shared" si="48"/>
        <v>0</v>
      </c>
      <c r="BY16" s="45">
        <f t="shared" si="48"/>
        <v>0</v>
      </c>
      <c r="BZ16" s="45">
        <f t="shared" si="48"/>
        <v>0</v>
      </c>
      <c r="CA16" s="45">
        <f t="shared" si="48"/>
        <v>0</v>
      </c>
      <c r="CB16" s="45">
        <f t="shared" si="48"/>
        <v>0</v>
      </c>
      <c r="CC16" s="45">
        <f t="shared" si="48"/>
        <v>0</v>
      </c>
      <c r="CD16" s="45">
        <f t="shared" si="48"/>
        <v>0</v>
      </c>
      <c r="CE16" s="45">
        <f t="shared" si="48"/>
        <v>0</v>
      </c>
      <c r="CF16" s="45">
        <f t="shared" si="48"/>
        <v>0</v>
      </c>
      <c r="CG16" s="45">
        <f t="shared" si="48"/>
        <v>0</v>
      </c>
      <c r="CH16" s="45">
        <f t="shared" si="48"/>
        <v>0</v>
      </c>
      <c r="CI16" s="45">
        <f t="shared" si="48"/>
        <v>0</v>
      </c>
      <c r="CJ16" s="45">
        <f t="shared" si="48"/>
        <v>0</v>
      </c>
      <c r="CK16" s="45">
        <f t="shared" si="48"/>
        <v>0</v>
      </c>
      <c r="CL16" s="45">
        <f t="shared" si="48"/>
        <v>0</v>
      </c>
      <c r="CM16" s="45">
        <f t="shared" si="48"/>
        <v>0</v>
      </c>
      <c r="CN16" s="45">
        <f t="shared" si="48"/>
        <v>0</v>
      </c>
      <c r="CO16" s="45">
        <f t="shared" si="48"/>
        <v>0</v>
      </c>
      <c r="CP16" s="45">
        <f t="shared" si="48"/>
        <v>0</v>
      </c>
      <c r="CQ16" s="45">
        <f t="shared" si="48"/>
        <v>0</v>
      </c>
      <c r="CR16" s="45">
        <f t="shared" si="48"/>
        <v>0</v>
      </c>
      <c r="CS16" s="45">
        <f t="shared" si="48"/>
        <v>0</v>
      </c>
      <c r="CT16" s="45">
        <f t="shared" si="48"/>
        <v>0</v>
      </c>
    </row>
    <row r="17" spans="1:98" x14ac:dyDescent="0.25">
      <c r="A17" s="38" t="s">
        <v>36</v>
      </c>
      <c r="B17" s="37"/>
      <c r="C17" s="37"/>
      <c r="D17" s="45">
        <f t="shared" si="46"/>
        <v>0</v>
      </c>
      <c r="E17" s="45">
        <f t="shared" si="47"/>
        <v>0</v>
      </c>
      <c r="F17" s="45">
        <f t="shared" si="43"/>
        <v>0</v>
      </c>
      <c r="G17" s="45">
        <f t="shared" si="43"/>
        <v>526.23</v>
      </c>
      <c r="H17" s="45">
        <f t="shared" si="43"/>
        <v>1707.2399999999998</v>
      </c>
      <c r="I17" s="45">
        <f t="shared" si="43"/>
        <v>2028.9699999999998</v>
      </c>
      <c r="J17" s="45">
        <f t="shared" si="43"/>
        <v>4499.2600000000011</v>
      </c>
      <c r="K17" s="45">
        <f t="shared" si="43"/>
        <v>4284.0399999999991</v>
      </c>
      <c r="L17" s="45">
        <f t="shared" si="43"/>
        <v>7227.92</v>
      </c>
      <c r="M17" s="45">
        <f t="shared" si="43"/>
        <v>17709.170000000002</v>
      </c>
      <c r="N17" s="45">
        <f t="shared" si="43"/>
        <v>27502.43</v>
      </c>
      <c r="O17" s="45">
        <f t="shared" si="43"/>
        <v>23867.65</v>
      </c>
      <c r="P17" s="45">
        <f t="shared" si="43"/>
        <v>29055.349999999991</v>
      </c>
      <c r="Q17" s="45">
        <f t="shared" si="43"/>
        <v>10757.690000000017</v>
      </c>
      <c r="R17" s="45">
        <f t="shared" si="43"/>
        <v>27803.969999999972</v>
      </c>
      <c r="S17" s="45">
        <f t="shared" si="43"/>
        <v>126566.82</v>
      </c>
      <c r="T17" s="45">
        <f t="shared" si="43"/>
        <v>175689.74</v>
      </c>
      <c r="U17" s="45">
        <f t="shared" si="43"/>
        <v>215183.16000000003</v>
      </c>
      <c r="V17" s="45">
        <f t="shared" si="43"/>
        <v>202786.94000000006</v>
      </c>
      <c r="W17" s="45">
        <f t="shared" si="43"/>
        <v>100087.57000000007</v>
      </c>
      <c r="X17" s="45">
        <f t="shared" si="43"/>
        <v>96259.079999999842</v>
      </c>
      <c r="Y17" s="45">
        <f t="shared" si="43"/>
        <v>112165</v>
      </c>
      <c r="Z17" s="45">
        <f t="shared" si="43"/>
        <v>128838.41999999993</v>
      </c>
      <c r="AA17" s="45">
        <f t="shared" si="43"/>
        <v>113104.3600000001</v>
      </c>
      <c r="AB17" s="45">
        <f t="shared" si="43"/>
        <v>129439.45999999996</v>
      </c>
      <c r="AC17" s="45">
        <f t="shared" si="43"/>
        <v>129646.61999999988</v>
      </c>
      <c r="AD17" s="45">
        <f t="shared" si="43"/>
        <v>176619.16000000015</v>
      </c>
      <c r="AE17" s="45">
        <f t="shared" si="43"/>
        <v>416091.85000000009</v>
      </c>
      <c r="AF17" s="45">
        <f t="shared" si="43"/>
        <v>534882.73</v>
      </c>
      <c r="AG17" s="45">
        <f t="shared" si="43"/>
        <v>476996.03000000026</v>
      </c>
      <c r="AH17" s="45">
        <f t="shared" si="43"/>
        <v>406579.49999999953</v>
      </c>
      <c r="AI17" s="45">
        <f t="shared" si="43"/>
        <v>202811.04000000004</v>
      </c>
      <c r="AJ17" s="45">
        <f t="shared" si="43"/>
        <v>186362.33999999985</v>
      </c>
      <c r="AK17" s="45">
        <f t="shared" si="43"/>
        <v>218445.35999999987</v>
      </c>
      <c r="AL17" s="45">
        <f t="shared" si="43"/>
        <v>246867.91000000015</v>
      </c>
      <c r="AM17" s="45">
        <f t="shared" si="43"/>
        <v>216404.73000000045</v>
      </c>
      <c r="AN17" s="45">
        <f t="shared" si="43"/>
        <v>300233.46999999974</v>
      </c>
      <c r="AO17" s="45">
        <f t="shared" si="43"/>
        <v>278345.00999999978</v>
      </c>
      <c r="AP17" s="45">
        <f t="shared" si="43"/>
        <v>287989.21999999974</v>
      </c>
      <c r="AQ17" s="45">
        <f t="shared" si="43"/>
        <v>776547.50999999978</v>
      </c>
      <c r="AR17" s="45">
        <f t="shared" si="43"/>
        <v>961871.98000000045</v>
      </c>
      <c r="AS17" s="45">
        <f t="shared" si="43"/>
        <v>859921.08999999985</v>
      </c>
      <c r="AT17" s="45">
        <f t="shared" si="43"/>
        <v>674426.50999999978</v>
      </c>
      <c r="AU17" s="45">
        <f t="shared" si="43"/>
        <v>316273.42000000179</v>
      </c>
      <c r="AV17" s="45">
        <f t="shared" si="43"/>
        <v>274443.11999999918</v>
      </c>
      <c r="AW17" s="45">
        <f t="shared" si="43"/>
        <v>266606.75999999978</v>
      </c>
      <c r="AX17" s="45">
        <f t="shared" si="43"/>
        <v>297792.69999999925</v>
      </c>
      <c r="AY17" s="45">
        <f t="shared" si="43"/>
        <v>246874.51999999955</v>
      </c>
      <c r="AZ17" s="45">
        <f t="shared" si="44"/>
        <v>270790.45000000112</v>
      </c>
      <c r="BA17" s="45">
        <f t="shared" si="44"/>
        <v>0</v>
      </c>
      <c r="BB17" s="45">
        <f t="shared" si="44"/>
        <v>0</v>
      </c>
      <c r="BC17" s="45">
        <f t="shared" si="44"/>
        <v>0</v>
      </c>
      <c r="BD17" s="45">
        <f t="shared" si="44"/>
        <v>0</v>
      </c>
      <c r="BE17" s="45">
        <f t="shared" si="44"/>
        <v>16813.580000000075</v>
      </c>
      <c r="BF17" s="45">
        <f t="shared" si="44"/>
        <v>19387.400000000373</v>
      </c>
      <c r="BG17" s="45">
        <f t="shared" si="44"/>
        <v>6785.070000000298</v>
      </c>
      <c r="BH17" s="45">
        <f t="shared" si="44"/>
        <v>6167.2299999985844</v>
      </c>
      <c r="BI17" s="45">
        <f t="shared" si="44"/>
        <v>9586.9900000002235</v>
      </c>
      <c r="BJ17" s="45">
        <f t="shared" si="44"/>
        <v>12497.580000000075</v>
      </c>
      <c r="BK17" s="45">
        <f t="shared" si="44"/>
        <v>10043.310000000522</v>
      </c>
      <c r="BL17" s="45">
        <f t="shared" si="44"/>
        <v>10496.050000000745</v>
      </c>
      <c r="BM17" s="45">
        <f t="shared" si="44"/>
        <v>9775.9599999990314</v>
      </c>
      <c r="BN17" s="45">
        <f t="shared" si="44"/>
        <v>13527.650000000373</v>
      </c>
      <c r="BO17" s="45">
        <f t="shared" si="44"/>
        <v>36494.849999999627</v>
      </c>
      <c r="BP17" s="45">
        <f t="shared" si="44"/>
        <v>47679.970000000671</v>
      </c>
      <c r="BQ17" s="45">
        <f t="shared" si="44"/>
        <v>45288.439999999478</v>
      </c>
      <c r="BR17" s="45">
        <f t="shared" si="44"/>
        <v>29486.400000000373</v>
      </c>
      <c r="BS17" s="45">
        <f t="shared" si="44"/>
        <v>11833.289999999106</v>
      </c>
      <c r="BT17" s="45">
        <f t="shared" si="44"/>
        <v>10374.580000000075</v>
      </c>
      <c r="BU17" s="45">
        <f t="shared" si="44"/>
        <v>12057.450000001118</v>
      </c>
      <c r="BV17" s="45">
        <f t="shared" si="44"/>
        <v>12824.789999999106</v>
      </c>
      <c r="BW17" s="45">
        <f t="shared" si="44"/>
        <v>10330.179999999702</v>
      </c>
      <c r="BX17" s="45">
        <f t="shared" si="44"/>
        <v>0</v>
      </c>
      <c r="BY17" s="45">
        <f t="shared" si="44"/>
        <v>0</v>
      </c>
      <c r="BZ17" s="45">
        <f t="shared" si="44"/>
        <v>0</v>
      </c>
      <c r="CA17" s="45">
        <f t="shared" si="44"/>
        <v>0</v>
      </c>
      <c r="CB17" s="45">
        <f t="shared" si="44"/>
        <v>0</v>
      </c>
      <c r="CC17" s="45">
        <f t="shared" si="44"/>
        <v>0</v>
      </c>
      <c r="CD17" s="45">
        <f t="shared" si="44"/>
        <v>0</v>
      </c>
      <c r="CE17" s="45">
        <f t="shared" si="44"/>
        <v>0</v>
      </c>
      <c r="CF17" s="45">
        <f t="shared" si="44"/>
        <v>0</v>
      </c>
      <c r="CG17" s="45">
        <f t="shared" si="44"/>
        <v>0</v>
      </c>
      <c r="CH17" s="45">
        <f t="shared" si="44"/>
        <v>0</v>
      </c>
      <c r="CI17" s="45">
        <f t="shared" si="44"/>
        <v>0</v>
      </c>
      <c r="CJ17" s="45">
        <f t="shared" si="44"/>
        <v>0</v>
      </c>
      <c r="CK17" s="45">
        <f t="shared" si="44"/>
        <v>0</v>
      </c>
      <c r="CL17" s="45">
        <f t="shared" si="44"/>
        <v>0</v>
      </c>
      <c r="CM17" s="45">
        <f t="shared" si="44"/>
        <v>0</v>
      </c>
      <c r="CN17" s="45">
        <f t="shared" si="44"/>
        <v>0</v>
      </c>
      <c r="CO17" s="45">
        <f t="shared" si="44"/>
        <v>0</v>
      </c>
      <c r="CP17" s="45">
        <f t="shared" si="44"/>
        <v>0</v>
      </c>
      <c r="CQ17" s="45">
        <f t="shared" si="44"/>
        <v>0</v>
      </c>
      <c r="CR17" s="45">
        <f t="shared" si="44"/>
        <v>0</v>
      </c>
      <c r="CS17" s="45">
        <f t="shared" si="44"/>
        <v>0</v>
      </c>
      <c r="CT17" s="45">
        <f t="shared" si="44"/>
        <v>0</v>
      </c>
    </row>
    <row r="18" spans="1:98" x14ac:dyDescent="0.25">
      <c r="A18" s="38" t="s">
        <v>37</v>
      </c>
      <c r="B18" s="37"/>
      <c r="C18" s="37"/>
      <c r="D18" s="45">
        <f t="shared" si="46"/>
        <v>0</v>
      </c>
      <c r="E18" s="45">
        <f t="shared" si="47"/>
        <v>0</v>
      </c>
      <c r="F18" s="45">
        <f t="shared" si="43"/>
        <v>0</v>
      </c>
      <c r="G18" s="45">
        <f t="shared" si="43"/>
        <v>0</v>
      </c>
      <c r="H18" s="45">
        <f t="shared" si="43"/>
        <v>360.22</v>
      </c>
      <c r="I18" s="45">
        <f t="shared" si="43"/>
        <v>1250.5</v>
      </c>
      <c r="J18" s="45">
        <f t="shared" si="43"/>
        <v>2097.7200000000003</v>
      </c>
      <c r="K18" s="45">
        <f t="shared" si="43"/>
        <v>1848.1399999999999</v>
      </c>
      <c r="L18" s="45">
        <f t="shared" si="43"/>
        <v>2286.0100000000002</v>
      </c>
      <c r="M18" s="45">
        <f t="shared" si="43"/>
        <v>3076.2700000000004</v>
      </c>
      <c r="N18" s="45">
        <f t="shared" si="43"/>
        <v>5696.5999999999985</v>
      </c>
      <c r="O18" s="45">
        <f t="shared" si="43"/>
        <v>6142.6100000000006</v>
      </c>
      <c r="P18" s="45">
        <f t="shared" si="43"/>
        <v>8834.9599999999991</v>
      </c>
      <c r="Q18" s="45">
        <f t="shared" si="43"/>
        <v>7688.4700000000012</v>
      </c>
      <c r="R18" s="45">
        <f t="shared" si="43"/>
        <v>10845.160000000003</v>
      </c>
      <c r="S18" s="45">
        <f t="shared" si="43"/>
        <v>20033.729999999996</v>
      </c>
      <c r="T18" s="45">
        <f t="shared" si="43"/>
        <v>29338.039999999994</v>
      </c>
      <c r="U18" s="45">
        <f t="shared" si="43"/>
        <v>26225.059999999998</v>
      </c>
      <c r="V18" s="45">
        <f t="shared" si="43"/>
        <v>25792.080000000016</v>
      </c>
      <c r="W18" s="45">
        <f t="shared" si="43"/>
        <v>18911.649999999994</v>
      </c>
      <c r="X18" s="45">
        <f t="shared" si="43"/>
        <v>18135.429999999993</v>
      </c>
      <c r="Y18" s="45">
        <f t="shared" si="43"/>
        <v>20092.940000000002</v>
      </c>
      <c r="Z18" s="45">
        <f t="shared" si="43"/>
        <v>22817.299999999988</v>
      </c>
      <c r="AA18" s="45">
        <f t="shared" si="43"/>
        <v>20524.76999999999</v>
      </c>
      <c r="AB18" s="45">
        <f t="shared" si="43"/>
        <v>22865.559999999998</v>
      </c>
      <c r="AC18" s="45">
        <f t="shared" si="43"/>
        <v>23955.599999999977</v>
      </c>
      <c r="AD18" s="45">
        <f t="shared" si="43"/>
        <v>33056.75</v>
      </c>
      <c r="AE18" s="45">
        <f t="shared" si="43"/>
        <v>72196.109999999986</v>
      </c>
      <c r="AF18" s="45">
        <f t="shared" si="43"/>
        <v>96088.410000000033</v>
      </c>
      <c r="AG18" s="45">
        <f t="shared" si="43"/>
        <v>80854.579999999958</v>
      </c>
      <c r="AH18" s="45">
        <f t="shared" si="43"/>
        <v>65756.459999999963</v>
      </c>
      <c r="AI18" s="45">
        <f t="shared" si="43"/>
        <v>35564.589999999967</v>
      </c>
      <c r="AJ18" s="45">
        <f t="shared" si="43"/>
        <v>33321.969999999972</v>
      </c>
      <c r="AK18" s="45">
        <f t="shared" si="43"/>
        <v>40399.459999999963</v>
      </c>
      <c r="AL18" s="45">
        <f t="shared" si="43"/>
        <v>46987.760000000009</v>
      </c>
      <c r="AM18" s="45">
        <f t="shared" si="43"/>
        <v>44022.119999999995</v>
      </c>
      <c r="AN18" s="45">
        <f t="shared" si="43"/>
        <v>59576.330000000075</v>
      </c>
      <c r="AO18" s="45">
        <f t="shared" si="43"/>
        <v>53638.189999999944</v>
      </c>
      <c r="AP18" s="45">
        <f t="shared" si="43"/>
        <v>63257.09999999986</v>
      </c>
      <c r="AQ18" s="45">
        <f t="shared" si="43"/>
        <v>189324.82000000007</v>
      </c>
      <c r="AR18" s="45">
        <f t="shared" si="43"/>
        <v>254806.16999999993</v>
      </c>
      <c r="AS18" s="45">
        <f t="shared" si="43"/>
        <v>225584.37999999989</v>
      </c>
      <c r="AT18" s="45">
        <f t="shared" si="43"/>
        <v>144075.14999999991</v>
      </c>
      <c r="AU18" s="45">
        <f t="shared" si="43"/>
        <v>61423.350000000559</v>
      </c>
      <c r="AV18" s="45">
        <f t="shared" si="43"/>
        <v>53649.209999999963</v>
      </c>
      <c r="AW18" s="45">
        <f t="shared" si="43"/>
        <v>54043.729999999981</v>
      </c>
      <c r="AX18" s="45">
        <f t="shared" si="43"/>
        <v>58723.649999999907</v>
      </c>
      <c r="AY18" s="45">
        <f t="shared" ref="AY18:CT19" si="49">IF(AY9="","",AY9-AX9)</f>
        <v>52534.629999999888</v>
      </c>
      <c r="AZ18" s="45">
        <f t="shared" si="49"/>
        <v>53192.39000000013</v>
      </c>
      <c r="BA18" s="45">
        <f t="shared" si="49"/>
        <v>0</v>
      </c>
      <c r="BB18" s="45">
        <f t="shared" si="49"/>
        <v>0</v>
      </c>
      <c r="BC18" s="45">
        <f t="shared" si="49"/>
        <v>0</v>
      </c>
      <c r="BD18" s="45">
        <f t="shared" si="49"/>
        <v>0</v>
      </c>
      <c r="BE18" s="45">
        <f t="shared" si="49"/>
        <v>0</v>
      </c>
      <c r="BF18" s="45">
        <f t="shared" si="49"/>
        <v>0</v>
      </c>
      <c r="BG18" s="45">
        <f t="shared" si="49"/>
        <v>0</v>
      </c>
      <c r="BH18" s="45">
        <f t="shared" si="49"/>
        <v>0</v>
      </c>
      <c r="BI18" s="45">
        <f t="shared" si="49"/>
        <v>0</v>
      </c>
      <c r="BJ18" s="45">
        <f t="shared" si="49"/>
        <v>0</v>
      </c>
      <c r="BK18" s="45">
        <f t="shared" si="49"/>
        <v>0</v>
      </c>
      <c r="BL18" s="45">
        <f t="shared" si="49"/>
        <v>0</v>
      </c>
      <c r="BM18" s="45">
        <f t="shared" si="49"/>
        <v>0</v>
      </c>
      <c r="BN18" s="45">
        <f t="shared" si="49"/>
        <v>0</v>
      </c>
      <c r="BO18" s="45">
        <f t="shared" si="49"/>
        <v>0</v>
      </c>
      <c r="BP18" s="45">
        <f t="shared" si="49"/>
        <v>0</v>
      </c>
      <c r="BQ18" s="45">
        <f t="shared" si="49"/>
        <v>-101.14999999990687</v>
      </c>
      <c r="BR18" s="45">
        <f t="shared" si="49"/>
        <v>-108.16000000014901</v>
      </c>
      <c r="BS18" s="45">
        <f t="shared" si="49"/>
        <v>-67.520000000018626</v>
      </c>
      <c r="BT18" s="45">
        <f t="shared" si="49"/>
        <v>-54.189999999944121</v>
      </c>
      <c r="BU18" s="45">
        <f t="shared" si="49"/>
        <v>-56.580000000074506</v>
      </c>
      <c r="BV18" s="45">
        <f t="shared" si="49"/>
        <v>-61.179999999701977</v>
      </c>
      <c r="BW18" s="45">
        <f t="shared" si="49"/>
        <v>-51.470000000204891</v>
      </c>
      <c r="BX18" s="45">
        <f t="shared" si="49"/>
        <v>0</v>
      </c>
      <c r="BY18" s="45">
        <f t="shared" si="49"/>
        <v>0</v>
      </c>
      <c r="BZ18" s="45">
        <f t="shared" si="49"/>
        <v>0</v>
      </c>
      <c r="CA18" s="45">
        <f t="shared" si="49"/>
        <v>0</v>
      </c>
      <c r="CB18" s="45">
        <f t="shared" si="49"/>
        <v>0</v>
      </c>
      <c r="CC18" s="45">
        <f t="shared" si="49"/>
        <v>0</v>
      </c>
      <c r="CD18" s="45">
        <f t="shared" si="49"/>
        <v>0</v>
      </c>
      <c r="CE18" s="45">
        <f t="shared" si="49"/>
        <v>0</v>
      </c>
      <c r="CF18" s="45">
        <f t="shared" si="49"/>
        <v>0</v>
      </c>
      <c r="CG18" s="45">
        <f t="shared" si="49"/>
        <v>0</v>
      </c>
      <c r="CH18" s="45">
        <f t="shared" si="49"/>
        <v>0</v>
      </c>
      <c r="CI18" s="45">
        <f t="shared" si="49"/>
        <v>0</v>
      </c>
      <c r="CJ18" s="45">
        <f t="shared" si="49"/>
        <v>0</v>
      </c>
      <c r="CK18" s="45">
        <f t="shared" si="49"/>
        <v>0</v>
      </c>
      <c r="CL18" s="45">
        <f t="shared" si="49"/>
        <v>0</v>
      </c>
      <c r="CM18" s="45">
        <f t="shared" si="49"/>
        <v>0</v>
      </c>
      <c r="CN18" s="45">
        <f t="shared" si="49"/>
        <v>0</v>
      </c>
      <c r="CO18" s="45">
        <f t="shared" si="49"/>
        <v>0</v>
      </c>
      <c r="CP18" s="45">
        <f t="shared" si="49"/>
        <v>0</v>
      </c>
      <c r="CQ18" s="45">
        <f t="shared" si="49"/>
        <v>0</v>
      </c>
      <c r="CR18" s="45">
        <f t="shared" si="49"/>
        <v>0</v>
      </c>
      <c r="CS18" s="45">
        <f t="shared" si="49"/>
        <v>0</v>
      </c>
      <c r="CT18" s="45">
        <f t="shared" si="49"/>
        <v>0</v>
      </c>
    </row>
    <row r="19" spans="1:98" x14ac:dyDescent="0.25">
      <c r="A19" s="38" t="s">
        <v>29</v>
      </c>
      <c r="B19" s="37"/>
      <c r="C19" s="37"/>
      <c r="D19" s="45">
        <f t="shared" si="46"/>
        <v>0</v>
      </c>
      <c r="E19" s="45">
        <f t="shared" si="47"/>
        <v>0</v>
      </c>
      <c r="F19" s="45">
        <f t="shared" si="43"/>
        <v>0</v>
      </c>
      <c r="G19" s="45">
        <f t="shared" si="43"/>
        <v>0</v>
      </c>
      <c r="H19" s="45">
        <f t="shared" si="43"/>
        <v>0</v>
      </c>
      <c r="I19" s="45">
        <f t="shared" si="43"/>
        <v>1938.36</v>
      </c>
      <c r="J19" s="45">
        <f t="shared" si="43"/>
        <v>2533.3100000000004</v>
      </c>
      <c r="K19" s="45">
        <f t="shared" si="43"/>
        <v>725.05999999999949</v>
      </c>
      <c r="L19" s="45">
        <f t="shared" si="43"/>
        <v>1665.5</v>
      </c>
      <c r="M19" s="45">
        <f t="shared" si="43"/>
        <v>3404.9300000000003</v>
      </c>
      <c r="N19" s="45">
        <f t="shared" si="43"/>
        <v>4704.5499999999993</v>
      </c>
      <c r="O19" s="45">
        <f t="shared" si="43"/>
        <v>5014.93</v>
      </c>
      <c r="P19" s="45">
        <f t="shared" si="43"/>
        <v>4774.66</v>
      </c>
      <c r="Q19" s="45">
        <f t="shared" si="43"/>
        <v>10592.109999999997</v>
      </c>
      <c r="R19" s="45">
        <f t="shared" si="43"/>
        <v>2232.6500000000087</v>
      </c>
      <c r="S19" s="45">
        <f t="shared" si="43"/>
        <v>12379.130000000005</v>
      </c>
      <c r="T19" s="45">
        <f t="shared" si="43"/>
        <v>0</v>
      </c>
      <c r="U19" s="45">
        <f t="shared" si="43"/>
        <v>29306.57</v>
      </c>
      <c r="V19" s="45">
        <f t="shared" si="43"/>
        <v>18760.459999999977</v>
      </c>
      <c r="W19" s="45">
        <f t="shared" si="43"/>
        <v>8552.5599999999977</v>
      </c>
      <c r="X19" s="45">
        <f t="shared" si="43"/>
        <v>11700.919999999998</v>
      </c>
      <c r="Y19" s="45">
        <f t="shared" si="43"/>
        <v>13286.529999999999</v>
      </c>
      <c r="Z19" s="45">
        <f t="shared" si="43"/>
        <v>30274.089999999997</v>
      </c>
      <c r="AA19" s="45">
        <f t="shared" si="43"/>
        <v>29104.690000000031</v>
      </c>
      <c r="AB19" s="45">
        <f t="shared" si="43"/>
        <v>22478.619999999995</v>
      </c>
      <c r="AC19" s="45">
        <f t="shared" si="43"/>
        <v>33127.469999999972</v>
      </c>
      <c r="AD19" s="45">
        <f t="shared" si="43"/>
        <v>25212.75</v>
      </c>
      <c r="AE19" s="45">
        <f t="shared" si="43"/>
        <v>59539.049999999988</v>
      </c>
      <c r="AF19" s="45">
        <f t="shared" si="43"/>
        <v>80882.610000000044</v>
      </c>
      <c r="AG19" s="45">
        <f t="shared" si="43"/>
        <v>81143.679999999993</v>
      </c>
      <c r="AH19" s="45">
        <f t="shared" si="43"/>
        <v>66246.799999999988</v>
      </c>
      <c r="AI19" s="45">
        <f t="shared" si="43"/>
        <v>35425.45000000007</v>
      </c>
      <c r="AJ19" s="45">
        <f t="shared" si="43"/>
        <v>39024.160000000033</v>
      </c>
      <c r="AK19" s="45">
        <f t="shared" si="43"/>
        <v>48252.569999999949</v>
      </c>
      <c r="AL19" s="45">
        <f t="shared" si="43"/>
        <v>51813.380000000005</v>
      </c>
      <c r="AM19" s="45">
        <f t="shared" si="43"/>
        <v>47896.869999999879</v>
      </c>
      <c r="AN19" s="45">
        <f t="shared" si="43"/>
        <v>55846.649999999907</v>
      </c>
      <c r="AO19" s="45">
        <f t="shared" si="43"/>
        <v>50635.870000000112</v>
      </c>
      <c r="AP19" s="45">
        <f t="shared" si="43"/>
        <v>54360.070000000065</v>
      </c>
      <c r="AQ19" s="45">
        <f t="shared" si="43"/>
        <v>128957.95999999996</v>
      </c>
      <c r="AR19" s="45">
        <f t="shared" si="43"/>
        <v>158613.15999999992</v>
      </c>
      <c r="AS19" s="45">
        <f t="shared" si="43"/>
        <v>142343.34000000008</v>
      </c>
      <c r="AT19" s="45">
        <f t="shared" si="43"/>
        <v>114616.44999999995</v>
      </c>
      <c r="AU19" s="45">
        <f t="shared" si="43"/>
        <v>48268.469999999972</v>
      </c>
      <c r="AV19" s="45">
        <f>IF(AV10="","",AV10-AU10)</f>
        <v>47368.050000000047</v>
      </c>
      <c r="AW19" s="45">
        <f t="shared" si="43"/>
        <v>75812.070000000065</v>
      </c>
      <c r="AX19" s="45">
        <f t="shared" si="43"/>
        <v>62120.129999999888</v>
      </c>
      <c r="AY19" s="45">
        <f t="shared" si="49"/>
        <v>51351.370000000112</v>
      </c>
      <c r="AZ19" s="45">
        <f t="shared" si="49"/>
        <v>53160.570000000065</v>
      </c>
      <c r="BA19" s="45">
        <f t="shared" si="49"/>
        <v>0</v>
      </c>
      <c r="BB19" s="45">
        <f t="shared" si="49"/>
        <v>-2627.4799999999814</v>
      </c>
      <c r="BC19" s="45">
        <f t="shared" si="49"/>
        <v>0</v>
      </c>
      <c r="BD19" s="45">
        <f t="shared" si="49"/>
        <v>0</v>
      </c>
      <c r="BE19" s="45">
        <f t="shared" si="49"/>
        <v>0</v>
      </c>
      <c r="BF19" s="45">
        <f t="shared" si="49"/>
        <v>0</v>
      </c>
      <c r="BG19" s="45">
        <f t="shared" si="49"/>
        <v>0</v>
      </c>
      <c r="BH19" s="45">
        <f t="shared" si="49"/>
        <v>0</v>
      </c>
      <c r="BI19" s="45">
        <f t="shared" si="49"/>
        <v>0</v>
      </c>
      <c r="BJ19" s="45">
        <f t="shared" si="49"/>
        <v>0</v>
      </c>
      <c r="BK19" s="45">
        <f t="shared" si="49"/>
        <v>0</v>
      </c>
      <c r="BL19" s="45">
        <f t="shared" si="49"/>
        <v>0</v>
      </c>
      <c r="BM19" s="45">
        <f t="shared" si="49"/>
        <v>0</v>
      </c>
      <c r="BN19" s="45">
        <f t="shared" si="49"/>
        <v>0</v>
      </c>
      <c r="BO19" s="45">
        <f t="shared" si="49"/>
        <v>0</v>
      </c>
      <c r="BP19" s="45">
        <f t="shared" si="49"/>
        <v>0</v>
      </c>
      <c r="BQ19" s="45">
        <f t="shared" si="49"/>
        <v>0</v>
      </c>
      <c r="BR19" s="45">
        <f t="shared" si="49"/>
        <v>0</v>
      </c>
      <c r="BS19" s="45">
        <f t="shared" si="49"/>
        <v>0</v>
      </c>
      <c r="BT19" s="45">
        <f t="shared" si="49"/>
        <v>0</v>
      </c>
      <c r="BU19" s="45">
        <f t="shared" si="49"/>
        <v>0</v>
      </c>
      <c r="BV19" s="45">
        <f t="shared" si="49"/>
        <v>0</v>
      </c>
      <c r="BW19" s="45">
        <f t="shared" si="49"/>
        <v>0</v>
      </c>
      <c r="BX19" s="45">
        <f t="shared" si="49"/>
        <v>0</v>
      </c>
      <c r="BY19" s="45">
        <f t="shared" si="49"/>
        <v>0</v>
      </c>
      <c r="BZ19" s="45">
        <f t="shared" si="49"/>
        <v>0</v>
      </c>
      <c r="CA19" s="45">
        <f t="shared" si="49"/>
        <v>0</v>
      </c>
      <c r="CB19" s="45">
        <f t="shared" si="49"/>
        <v>0</v>
      </c>
      <c r="CC19" s="45">
        <f t="shared" si="49"/>
        <v>0</v>
      </c>
      <c r="CD19" s="45">
        <f t="shared" si="49"/>
        <v>0</v>
      </c>
      <c r="CE19" s="45">
        <f t="shared" si="49"/>
        <v>0</v>
      </c>
      <c r="CF19" s="45">
        <f t="shared" si="49"/>
        <v>0</v>
      </c>
      <c r="CG19" s="45">
        <f t="shared" si="49"/>
        <v>0</v>
      </c>
      <c r="CH19" s="45">
        <f t="shared" si="49"/>
        <v>0</v>
      </c>
      <c r="CI19" s="45">
        <f t="shared" si="49"/>
        <v>0</v>
      </c>
      <c r="CJ19" s="45">
        <f t="shared" si="49"/>
        <v>0</v>
      </c>
      <c r="CK19" s="45">
        <f t="shared" si="49"/>
        <v>0</v>
      </c>
      <c r="CL19" s="45">
        <f t="shared" si="49"/>
        <v>0</v>
      </c>
      <c r="CM19" s="45">
        <f t="shared" si="49"/>
        <v>0</v>
      </c>
      <c r="CN19" s="45">
        <f t="shared" si="49"/>
        <v>0</v>
      </c>
      <c r="CO19" s="45">
        <f t="shared" si="49"/>
        <v>0</v>
      </c>
      <c r="CP19" s="45">
        <f t="shared" si="49"/>
        <v>0</v>
      </c>
      <c r="CQ19" s="45">
        <f t="shared" si="49"/>
        <v>0</v>
      </c>
      <c r="CR19" s="45">
        <f t="shared" si="49"/>
        <v>0</v>
      </c>
      <c r="CS19" s="45">
        <f t="shared" si="49"/>
        <v>0</v>
      </c>
      <c r="CT19" s="45">
        <f t="shared" si="49"/>
        <v>0</v>
      </c>
    </row>
    <row r="20" spans="1:98" x14ac:dyDescent="0.25">
      <c r="A20" s="35" t="s">
        <v>31</v>
      </c>
      <c r="B20" s="37"/>
      <c r="C20" s="37"/>
      <c r="D20" s="44">
        <f>SUM(D14:D19)</f>
        <v>0</v>
      </c>
      <c r="E20" s="44">
        <f t="shared" ref="E20:AW20" si="50">SUM(E14:E19)</f>
        <v>1328.78</v>
      </c>
      <c r="F20" s="44">
        <f t="shared" si="50"/>
        <v>9526.5299999999988</v>
      </c>
      <c r="G20" s="44">
        <f t="shared" si="50"/>
        <v>131900.43000000002</v>
      </c>
      <c r="H20" s="44">
        <f t="shared" si="50"/>
        <v>295999.55</v>
      </c>
      <c r="I20" s="44">
        <f t="shared" si="50"/>
        <v>425553.79999999987</v>
      </c>
      <c r="J20" s="44">
        <f t="shared" si="50"/>
        <v>758519.65</v>
      </c>
      <c r="K20" s="44">
        <f t="shared" si="50"/>
        <v>199350.73000000016</v>
      </c>
      <c r="L20" s="44">
        <f t="shared" si="50"/>
        <v>279108.34999999992</v>
      </c>
      <c r="M20" s="44">
        <f t="shared" si="50"/>
        <v>438307.65</v>
      </c>
      <c r="N20" s="44">
        <f t="shared" si="50"/>
        <v>509660.87999999989</v>
      </c>
      <c r="O20" s="44">
        <f t="shared" si="50"/>
        <v>486201.49000000028</v>
      </c>
      <c r="P20" s="44">
        <f t="shared" si="50"/>
        <v>514839.35999999993</v>
      </c>
      <c r="Q20" s="44">
        <f t="shared" si="50"/>
        <v>312695.84999999963</v>
      </c>
      <c r="R20" s="44">
        <f t="shared" si="50"/>
        <v>392474.24999999977</v>
      </c>
      <c r="S20" s="44">
        <f t="shared" si="50"/>
        <v>1348848.3600000003</v>
      </c>
      <c r="T20" s="44">
        <f t="shared" si="50"/>
        <v>1958770.0699999998</v>
      </c>
      <c r="U20" s="44">
        <f t="shared" si="50"/>
        <v>2119352.19</v>
      </c>
      <c r="V20" s="44">
        <f t="shared" si="50"/>
        <v>1653005.44</v>
      </c>
      <c r="W20" s="44">
        <f t="shared" si="50"/>
        <v>750637.88000000059</v>
      </c>
      <c r="X20" s="44">
        <f t="shared" si="50"/>
        <v>825052.10999999905</v>
      </c>
      <c r="Y20" s="44">
        <f t="shared" si="50"/>
        <v>1097101.9800000007</v>
      </c>
      <c r="Z20" s="44">
        <f t="shared" si="50"/>
        <v>1233427.4099999992</v>
      </c>
      <c r="AA20" s="44">
        <f t="shared" si="50"/>
        <v>1062738.5799999998</v>
      </c>
      <c r="AB20" s="44">
        <f t="shared" si="50"/>
        <v>1116457.6900000018</v>
      </c>
      <c r="AC20" s="44">
        <f t="shared" si="50"/>
        <v>959793.47999999963</v>
      </c>
      <c r="AD20" s="44">
        <f t="shared" si="50"/>
        <v>1424231.0999999994</v>
      </c>
      <c r="AE20" s="44">
        <f t="shared" si="50"/>
        <v>3804569.2400000016</v>
      </c>
      <c r="AF20" s="44">
        <f t="shared" si="50"/>
        <v>5112749.5900000026</v>
      </c>
      <c r="AG20" s="44">
        <f t="shared" si="50"/>
        <v>4713867.5500000026</v>
      </c>
      <c r="AH20" s="44">
        <f t="shared" si="50"/>
        <v>3598339.9599999986</v>
      </c>
      <c r="AI20" s="44">
        <f t="shared" si="50"/>
        <v>1714525.5399999977</v>
      </c>
      <c r="AJ20" s="44">
        <f t="shared" si="50"/>
        <v>1571421.2499999981</v>
      </c>
      <c r="AK20" s="44">
        <f t="shared" si="50"/>
        <v>1919519.9299999997</v>
      </c>
      <c r="AL20" s="44">
        <f t="shared" si="50"/>
        <v>2060434.7699999972</v>
      </c>
      <c r="AM20" s="44">
        <f t="shared" si="50"/>
        <v>1799627.3200000029</v>
      </c>
      <c r="AN20" s="44">
        <f t="shared" si="50"/>
        <v>2312591.7700000047</v>
      </c>
      <c r="AO20" s="44">
        <f t="shared" si="50"/>
        <v>2109913.9999999995</v>
      </c>
      <c r="AP20" s="44">
        <f t="shared" si="50"/>
        <v>1887985.9599999981</v>
      </c>
      <c r="AQ20" s="44">
        <f t="shared" si="50"/>
        <v>6123794.6400000015</v>
      </c>
      <c r="AR20" s="44">
        <f t="shared" si="50"/>
        <v>7375311.7899999972</v>
      </c>
      <c r="AS20" s="44">
        <f t="shared" si="50"/>
        <v>6969272.2200000016</v>
      </c>
      <c r="AT20" s="44">
        <f t="shared" si="50"/>
        <v>5125287.4899999993</v>
      </c>
      <c r="AU20" s="44">
        <f t="shared" si="50"/>
        <v>2223308.9999999981</v>
      </c>
      <c r="AV20" s="44">
        <f t="shared" si="50"/>
        <v>2078395.7300000025</v>
      </c>
      <c r="AW20" s="44">
        <f t="shared" si="50"/>
        <v>2228734.6799999988</v>
      </c>
      <c r="AX20" s="44">
        <f t="shared" ref="AX20:AY20" si="51">SUM(AX14:AX19)</f>
        <v>2369847.9499999997</v>
      </c>
      <c r="AY20" s="44">
        <f t="shared" si="51"/>
        <v>217555.38999999873</v>
      </c>
      <c r="AZ20" s="44">
        <f t="shared" ref="AZ20:BA20" si="52">SUM(AZ14:AZ19)</f>
        <v>1940172.8499999971</v>
      </c>
      <c r="BA20" s="44">
        <f t="shared" si="52"/>
        <v>2286.3100000023842</v>
      </c>
      <c r="BB20" s="44">
        <f t="shared" ref="BB20:BC20" si="53">SUM(BB14:BB19)</f>
        <v>33.389999997336417</v>
      </c>
      <c r="BC20" s="44">
        <f t="shared" si="53"/>
        <v>12223.310000002384</v>
      </c>
      <c r="BD20" s="44">
        <f t="shared" ref="BD20:BE20" si="54">SUM(BD14:BD19)</f>
        <v>22853.179999999702</v>
      </c>
      <c r="BE20" s="44">
        <f t="shared" si="54"/>
        <v>37353.849999999627</v>
      </c>
      <c r="BF20" s="44">
        <f t="shared" ref="BF20:BG20" si="55">SUM(BF14:BF19)</f>
        <v>34409.610000001267</v>
      </c>
      <c r="BG20" s="44">
        <f t="shared" si="55"/>
        <v>13496.160000000149</v>
      </c>
      <c r="BH20" s="44">
        <f t="shared" ref="BH20:BI20" si="56">SUM(BH14:BH19)</f>
        <v>12870.069999998435</v>
      </c>
      <c r="BI20" s="44">
        <f t="shared" si="56"/>
        <v>17714.029999999329</v>
      </c>
      <c r="BJ20" s="44">
        <f t="shared" ref="BJ20:BK20" si="57">SUM(BJ14:BJ19)</f>
        <v>20826.88000000082</v>
      </c>
      <c r="BK20" s="44">
        <f t="shared" si="57"/>
        <v>19099.220000000671</v>
      </c>
      <c r="BL20" s="44">
        <f t="shared" ref="BL20:BM20" si="58">SUM(BL14:BL19)</f>
        <v>21421.460000000894</v>
      </c>
      <c r="BM20" s="44">
        <f t="shared" si="58"/>
        <v>19168.38000000082</v>
      </c>
      <c r="BN20" s="44">
        <f t="shared" ref="BN20:BO20" si="59">SUM(BN14:BN19)</f>
        <v>25465.089999996126</v>
      </c>
      <c r="BO20" s="44">
        <f t="shared" si="59"/>
        <v>70360.550000002608</v>
      </c>
      <c r="BP20" s="44">
        <f t="shared" ref="BP20:BQ20" si="60">SUM(BP14:BP19)</f>
        <v>91202.140000000596</v>
      </c>
      <c r="BQ20" s="44">
        <f t="shared" si="60"/>
        <v>84499.239999998827</v>
      </c>
      <c r="BR20" s="44">
        <f t="shared" ref="BR20:BS20" si="61">SUM(BR14:BR19)</f>
        <v>53951.849999999627</v>
      </c>
      <c r="BS20" s="44">
        <f t="shared" si="61"/>
        <v>21911.110000000801</v>
      </c>
      <c r="BT20" s="44">
        <f t="shared" ref="BT20:BU20" si="62">SUM(BT14:BT19)</f>
        <v>20626.079999999609</v>
      </c>
      <c r="BU20" s="44">
        <f t="shared" si="62"/>
        <v>24775.299999998882</v>
      </c>
      <c r="BV20" s="44">
        <f t="shared" ref="BV20:BW20" si="63">SUM(BV14:BV19)</f>
        <v>25830.020000001416</v>
      </c>
      <c r="BW20" s="44">
        <f t="shared" si="63"/>
        <v>21223.889999997336</v>
      </c>
      <c r="BX20" s="44">
        <f t="shared" ref="BX20:BY20" si="64">SUM(BX14:BX19)</f>
        <v>0</v>
      </c>
      <c r="BY20" s="44">
        <f t="shared" si="64"/>
        <v>0</v>
      </c>
      <c r="BZ20" s="44">
        <f t="shared" ref="BZ20:CA20" si="65">SUM(BZ14:BZ19)</f>
        <v>0</v>
      </c>
      <c r="CA20" s="44">
        <f t="shared" si="65"/>
        <v>0</v>
      </c>
      <c r="CB20" s="44">
        <f t="shared" ref="CB20:CC20" si="66">SUM(CB14:CB19)</f>
        <v>0</v>
      </c>
      <c r="CC20" s="44">
        <f t="shared" si="66"/>
        <v>0</v>
      </c>
      <c r="CD20" s="44">
        <f t="shared" ref="CD20:CE20" si="67">SUM(CD14:CD19)</f>
        <v>0</v>
      </c>
      <c r="CE20" s="44">
        <f t="shared" si="67"/>
        <v>0</v>
      </c>
      <c r="CF20" s="44">
        <f t="shared" ref="CF20:CG20" si="68">SUM(CF14:CF19)</f>
        <v>0</v>
      </c>
      <c r="CG20" s="44">
        <f t="shared" si="68"/>
        <v>0</v>
      </c>
      <c r="CH20" s="44">
        <f t="shared" ref="CH20:CI20" si="69">SUM(CH14:CH19)</f>
        <v>0</v>
      </c>
      <c r="CI20" s="44">
        <f t="shared" si="69"/>
        <v>0</v>
      </c>
      <c r="CJ20" s="44">
        <f t="shared" ref="CJ20:CK20" si="70">SUM(CJ14:CJ19)</f>
        <v>0</v>
      </c>
      <c r="CK20" s="44">
        <f t="shared" si="70"/>
        <v>0</v>
      </c>
      <c r="CL20" s="44">
        <f t="shared" ref="CL20:CM20" si="71">SUM(CL14:CL19)</f>
        <v>0</v>
      </c>
      <c r="CM20" s="44">
        <f t="shared" si="71"/>
        <v>0</v>
      </c>
      <c r="CN20" s="44">
        <f t="shared" ref="CN20:CO20" si="72">SUM(CN14:CN19)</f>
        <v>0</v>
      </c>
      <c r="CO20" s="44">
        <f t="shared" si="72"/>
        <v>0</v>
      </c>
      <c r="CP20" s="44">
        <f t="shared" ref="CP20:CQ20" si="73">SUM(CP14:CP19)</f>
        <v>0</v>
      </c>
      <c r="CQ20" s="44">
        <f t="shared" si="73"/>
        <v>0</v>
      </c>
      <c r="CR20" s="44">
        <f t="shared" ref="CR20:CS20" si="74">SUM(CR14:CR19)</f>
        <v>0</v>
      </c>
      <c r="CS20" s="44">
        <f t="shared" si="74"/>
        <v>0</v>
      </c>
      <c r="CT20" s="44">
        <f t="shared" ref="CT20" si="75">SUM(CT14:CT19)</f>
        <v>0</v>
      </c>
    </row>
    <row r="21" spans="1:98" x14ac:dyDescent="0.25">
      <c r="A21" s="35"/>
      <c r="B21" s="37"/>
      <c r="C21" s="37"/>
    </row>
    <row r="22" spans="1:98" x14ac:dyDescent="0.25">
      <c r="A22" s="27" t="s">
        <v>32</v>
      </c>
      <c r="B22" s="37"/>
      <c r="C22" s="37"/>
    </row>
    <row r="23" spans="1:98" x14ac:dyDescent="0.25">
      <c r="A23" t="s">
        <v>33</v>
      </c>
      <c r="B23" s="37"/>
      <c r="C23" s="37"/>
      <c r="D23" s="43">
        <v>993615280</v>
      </c>
      <c r="E23" s="43">
        <v>799965556</v>
      </c>
      <c r="F23" s="43">
        <v>694347365</v>
      </c>
      <c r="G23" s="43">
        <v>1033880199</v>
      </c>
      <c r="H23" s="43">
        <v>1389519683</v>
      </c>
      <c r="I23" s="43">
        <v>1393717014</v>
      </c>
      <c r="J23" s="43">
        <v>1260356462</v>
      </c>
      <c r="K23" s="43">
        <v>898752689</v>
      </c>
      <c r="L23" s="43">
        <v>737254549</v>
      </c>
      <c r="M23" s="43">
        <v>1139687162</v>
      </c>
      <c r="N23" s="43">
        <v>1486587515</v>
      </c>
      <c r="O23" s="43">
        <v>1118519560</v>
      </c>
      <c r="P23" s="43">
        <v>900425374</v>
      </c>
      <c r="Q23" s="43">
        <v>785388980</v>
      </c>
      <c r="R23" s="43">
        <v>745552820</v>
      </c>
      <c r="S23" s="43">
        <v>999249366</v>
      </c>
      <c r="T23" s="43">
        <v>1328710328</v>
      </c>
      <c r="U23" s="43">
        <v>1345571317</v>
      </c>
      <c r="V23" s="43">
        <v>1065182267</v>
      </c>
      <c r="W23" s="43">
        <v>935823271</v>
      </c>
      <c r="X23" s="43">
        <v>821487370</v>
      </c>
      <c r="Y23" s="43">
        <v>1061048123</v>
      </c>
      <c r="Z23" s="43">
        <v>1655009463</v>
      </c>
      <c r="AA23" s="43">
        <v>1329247401</v>
      </c>
      <c r="AB23" s="43">
        <v>1071720684</v>
      </c>
      <c r="AC23" s="43">
        <v>1035354332</v>
      </c>
      <c r="AD23" s="43">
        <v>838111932</v>
      </c>
      <c r="AE23" s="43">
        <v>1238437606</v>
      </c>
      <c r="AF23" s="43">
        <v>1451979984</v>
      </c>
      <c r="AG23" s="43">
        <v>1300666274</v>
      </c>
      <c r="AH23" s="43">
        <v>1250635703</v>
      </c>
      <c r="AI23" s="43">
        <v>971081766</v>
      </c>
      <c r="AJ23" s="43">
        <v>906818656</v>
      </c>
      <c r="AK23" s="43">
        <v>1263779046</v>
      </c>
      <c r="AL23" s="43">
        <v>1395672993</v>
      </c>
      <c r="AM23" s="43">
        <v>1407530571</v>
      </c>
      <c r="AN23" s="43">
        <v>1268128455</v>
      </c>
      <c r="AO23" s="43">
        <v>872933544</v>
      </c>
      <c r="AP23" s="43">
        <v>738196558</v>
      </c>
      <c r="AQ23" s="43">
        <v>978975302</v>
      </c>
      <c r="AR23" s="43">
        <v>1243909773</v>
      </c>
      <c r="AS23" s="43">
        <v>1310015315</v>
      </c>
      <c r="AT23" s="43">
        <v>1208033233</v>
      </c>
      <c r="AU23" s="109">
        <v>993546162</v>
      </c>
      <c r="AV23" s="43">
        <v>897156231</v>
      </c>
      <c r="AW23" s="43">
        <v>1208147189</v>
      </c>
      <c r="AX23" s="43">
        <v>1334184680</v>
      </c>
      <c r="AY23" s="43">
        <v>1302694951</v>
      </c>
      <c r="AZ23" s="43">
        <v>1123586700</v>
      </c>
      <c r="BA23" s="43">
        <v>886578697</v>
      </c>
      <c r="BB23" s="43">
        <v>790098101</v>
      </c>
      <c r="BC23" s="43">
        <v>1041013964</v>
      </c>
      <c r="BD23" s="43">
        <v>1397050553</v>
      </c>
      <c r="BE23" s="43">
        <v>1310723723</v>
      </c>
      <c r="BF23" s="43">
        <v>1275164339</v>
      </c>
      <c r="BG23" s="43">
        <v>800796996</v>
      </c>
      <c r="BH23" s="43">
        <v>856955103</v>
      </c>
      <c r="BI23" s="43">
        <v>1137867523</v>
      </c>
      <c r="BJ23" s="43">
        <v>1482496943</v>
      </c>
      <c r="BK23" s="43">
        <v>1507047480</v>
      </c>
      <c r="BL23" s="43">
        <v>1193201650</v>
      </c>
      <c r="BM23" s="43">
        <v>803567941</v>
      </c>
      <c r="BN23" s="43">
        <v>753161249</v>
      </c>
      <c r="BO23" s="43">
        <v>1061485022</v>
      </c>
      <c r="BP23" s="43">
        <v>1299384453</v>
      </c>
      <c r="BQ23" s="43">
        <v>1325635096</v>
      </c>
      <c r="BR23" s="43">
        <v>1302322503</v>
      </c>
      <c r="BS23" s="43">
        <v>902367562</v>
      </c>
      <c r="BT23" s="43">
        <v>849229853</v>
      </c>
      <c r="BU23" s="43">
        <v>1063566547</v>
      </c>
      <c r="BV23" s="43">
        <v>1372451320</v>
      </c>
      <c r="BW23" s="43">
        <v>1445914846</v>
      </c>
      <c r="BX23" s="43">
        <v>1156058653</v>
      </c>
      <c r="BY23" s="43">
        <v>900363528</v>
      </c>
      <c r="BZ23" s="43">
        <v>837159184</v>
      </c>
      <c r="CA23" s="43">
        <v>1060197293</v>
      </c>
      <c r="CB23" s="43">
        <v>1457350528</v>
      </c>
      <c r="CC23" s="43">
        <v>1390553772</v>
      </c>
      <c r="CD23" s="43">
        <v>1159635260</v>
      </c>
      <c r="CE23" s="43">
        <v>837049627</v>
      </c>
      <c r="CF23" s="43">
        <v>795371527</v>
      </c>
      <c r="CG23" s="43">
        <v>1056098740.4689</v>
      </c>
      <c r="CH23" s="43">
        <v>1465026007</v>
      </c>
      <c r="CI23" s="43">
        <v>1251994199</v>
      </c>
      <c r="CJ23" s="43">
        <v>1034539781</v>
      </c>
      <c r="CK23" s="43">
        <v>890081676</v>
      </c>
      <c r="CL23" s="43">
        <v>758154085</v>
      </c>
      <c r="CM23" s="43">
        <v>977251664</v>
      </c>
      <c r="CN23" s="43">
        <v>1278057997</v>
      </c>
      <c r="CO23" s="43">
        <v>1318572650</v>
      </c>
      <c r="CP23" s="43">
        <v>1220075915</v>
      </c>
      <c r="CQ23" s="43">
        <v>887307993</v>
      </c>
      <c r="CR23" s="43">
        <v>778350513.42400002</v>
      </c>
      <c r="CS23" s="43">
        <v>1086671129</v>
      </c>
      <c r="CT23" s="43">
        <v>1422169141</v>
      </c>
    </row>
    <row r="24" spans="1:98" x14ac:dyDescent="0.25">
      <c r="A24" t="s">
        <v>34</v>
      </c>
      <c r="B24" s="37"/>
      <c r="C24" s="37"/>
      <c r="D24" s="43">
        <v>260227273</v>
      </c>
      <c r="E24" s="43">
        <v>236480663</v>
      </c>
      <c r="F24" s="43">
        <v>226604577</v>
      </c>
      <c r="G24" s="43">
        <v>276800633</v>
      </c>
      <c r="H24" s="43">
        <v>328433342</v>
      </c>
      <c r="I24" s="43">
        <v>327996744</v>
      </c>
      <c r="J24" s="43">
        <v>315410170</v>
      </c>
      <c r="K24" s="43">
        <v>268275261</v>
      </c>
      <c r="L24" s="43">
        <v>238400191</v>
      </c>
      <c r="M24" s="43">
        <v>276639061</v>
      </c>
      <c r="N24" s="43">
        <v>331623730</v>
      </c>
      <c r="O24" s="43">
        <v>274620464</v>
      </c>
      <c r="P24" s="43">
        <v>244043467</v>
      </c>
      <c r="Q24" s="43">
        <v>230986921</v>
      </c>
      <c r="R24" s="43">
        <v>228484392</v>
      </c>
      <c r="S24" s="43">
        <v>271547337</v>
      </c>
      <c r="T24" s="43">
        <v>314773105</v>
      </c>
      <c r="U24" s="43">
        <v>317794583</v>
      </c>
      <c r="V24" s="43">
        <v>284270101</v>
      </c>
      <c r="W24" s="43">
        <v>269129889</v>
      </c>
      <c r="X24" s="43">
        <v>240618906</v>
      </c>
      <c r="Y24" s="43">
        <v>265688240</v>
      </c>
      <c r="Z24" s="43">
        <v>350848362</v>
      </c>
      <c r="AA24" s="43">
        <v>304988610</v>
      </c>
      <c r="AB24" s="43">
        <v>267166722</v>
      </c>
      <c r="AC24" s="43">
        <v>263421812</v>
      </c>
      <c r="AD24" s="43">
        <v>238338730</v>
      </c>
      <c r="AE24" s="43">
        <v>299991891</v>
      </c>
      <c r="AF24" s="43">
        <v>330814291</v>
      </c>
      <c r="AG24" s="43">
        <v>309298324</v>
      </c>
      <c r="AH24" s="43">
        <v>303923884</v>
      </c>
      <c r="AI24" s="43">
        <v>267631865</v>
      </c>
      <c r="AJ24" s="43">
        <v>241319654</v>
      </c>
      <c r="AK24" s="43">
        <v>291652347</v>
      </c>
      <c r="AL24" s="43">
        <v>307968093</v>
      </c>
      <c r="AM24" s="43">
        <v>308068267</v>
      </c>
      <c r="AN24" s="43">
        <v>290178959</v>
      </c>
      <c r="AO24" s="43">
        <v>235096003</v>
      </c>
      <c r="AP24" s="43">
        <v>221772499</v>
      </c>
      <c r="AQ24" s="43">
        <v>258735845</v>
      </c>
      <c r="AR24" s="43">
        <v>295975497</v>
      </c>
      <c r="AS24" s="43">
        <v>304175879</v>
      </c>
      <c r="AT24" s="43">
        <v>293549572</v>
      </c>
      <c r="AU24" s="109">
        <v>264736629</v>
      </c>
      <c r="AV24" s="43">
        <v>237145043</v>
      </c>
      <c r="AW24" s="43">
        <v>278572550</v>
      </c>
      <c r="AX24" s="43">
        <v>297050898</v>
      </c>
      <c r="AY24" s="43">
        <v>290934660</v>
      </c>
      <c r="AZ24" s="43">
        <v>265078600</v>
      </c>
      <c r="BA24" s="43">
        <v>203506574</v>
      </c>
      <c r="BB24" s="43">
        <v>184563246</v>
      </c>
      <c r="BC24" s="43">
        <v>231230759</v>
      </c>
      <c r="BD24" s="43">
        <v>288425422</v>
      </c>
      <c r="BE24" s="43">
        <v>281389691</v>
      </c>
      <c r="BF24" s="43">
        <v>269111017</v>
      </c>
      <c r="BG24" s="43">
        <v>218212399</v>
      </c>
      <c r="BH24" s="43">
        <v>218068919</v>
      </c>
      <c r="BI24" s="43">
        <v>251883126</v>
      </c>
      <c r="BJ24" s="43">
        <v>300425840</v>
      </c>
      <c r="BK24" s="43">
        <v>303577891</v>
      </c>
      <c r="BL24" s="43">
        <v>265359424</v>
      </c>
      <c r="BM24" s="43">
        <v>211100441</v>
      </c>
      <c r="BN24" s="43">
        <v>205986967</v>
      </c>
      <c r="BO24" s="43">
        <v>264522271</v>
      </c>
      <c r="BP24" s="43">
        <v>291815734</v>
      </c>
      <c r="BQ24" s="43">
        <v>291413887</v>
      </c>
      <c r="BR24" s="43">
        <v>294374400</v>
      </c>
      <c r="BS24" s="43">
        <v>245524134</v>
      </c>
      <c r="BT24" s="43">
        <v>219607166</v>
      </c>
      <c r="BU24" s="43">
        <v>250466096</v>
      </c>
      <c r="BV24" s="43">
        <v>295383726</v>
      </c>
      <c r="BW24" s="43">
        <v>301077290</v>
      </c>
      <c r="BX24" s="43">
        <v>261058604</v>
      </c>
      <c r="BY24" s="43">
        <v>230949228</v>
      </c>
      <c r="BZ24" s="43">
        <v>223998788</v>
      </c>
      <c r="CA24" s="43">
        <v>260692423</v>
      </c>
      <c r="CB24" s="43">
        <v>312328749</v>
      </c>
      <c r="CC24" s="43">
        <v>305346654</v>
      </c>
      <c r="CD24" s="43">
        <v>279929276</v>
      </c>
      <c r="CE24" s="43">
        <v>230143220</v>
      </c>
      <c r="CF24" s="43">
        <v>219390300</v>
      </c>
      <c r="CG24" s="43">
        <v>274277285</v>
      </c>
      <c r="CH24" s="43">
        <v>313843493</v>
      </c>
      <c r="CI24" s="43">
        <v>275065920</v>
      </c>
      <c r="CJ24" s="43">
        <v>246366200</v>
      </c>
      <c r="CK24" s="43">
        <v>226379912</v>
      </c>
      <c r="CL24" s="43">
        <v>209000108</v>
      </c>
      <c r="CM24" s="43">
        <v>251344146</v>
      </c>
      <c r="CN24" s="43">
        <v>291402974</v>
      </c>
      <c r="CO24" s="43">
        <v>297748759</v>
      </c>
      <c r="CP24" s="43">
        <v>290701055</v>
      </c>
      <c r="CQ24" s="43">
        <v>244186013</v>
      </c>
      <c r="CR24" s="43">
        <v>224485019</v>
      </c>
      <c r="CS24" s="43">
        <v>258087459</v>
      </c>
      <c r="CT24" s="43">
        <v>311334710</v>
      </c>
    </row>
    <row r="25" spans="1:98" x14ac:dyDescent="0.25">
      <c r="A25" t="s">
        <v>35</v>
      </c>
      <c r="B25" s="37"/>
      <c r="C25" s="37"/>
      <c r="D25" s="43">
        <v>596370095</v>
      </c>
      <c r="E25" s="43">
        <v>585567373</v>
      </c>
      <c r="F25" s="43">
        <v>584363020</v>
      </c>
      <c r="G25" s="43">
        <v>661650596</v>
      </c>
      <c r="H25" s="43">
        <v>744450846</v>
      </c>
      <c r="I25" s="43">
        <v>746230356</v>
      </c>
      <c r="J25" s="43">
        <v>749176357</v>
      </c>
      <c r="K25" s="43">
        <v>659221190</v>
      </c>
      <c r="L25" s="43">
        <v>600231827</v>
      </c>
      <c r="M25" s="43">
        <v>624953134</v>
      </c>
      <c r="N25" s="43">
        <v>693030252</v>
      </c>
      <c r="O25" s="43">
        <v>607344097</v>
      </c>
      <c r="P25" s="43">
        <v>572358448</v>
      </c>
      <c r="Q25" s="43">
        <v>562854773</v>
      </c>
      <c r="R25" s="43">
        <v>578075204</v>
      </c>
      <c r="S25" s="43">
        <v>655641906</v>
      </c>
      <c r="T25" s="43">
        <v>714056556</v>
      </c>
      <c r="U25" s="43">
        <v>727381902</v>
      </c>
      <c r="V25" s="43">
        <v>685704779</v>
      </c>
      <c r="W25" s="43">
        <v>658415575</v>
      </c>
      <c r="X25" s="43">
        <v>591258230</v>
      </c>
      <c r="Y25" s="43">
        <v>617045102</v>
      </c>
      <c r="Z25" s="43">
        <v>713223360</v>
      </c>
      <c r="AA25" s="43">
        <v>637748229</v>
      </c>
      <c r="AB25" s="43">
        <v>591995322</v>
      </c>
      <c r="AC25" s="43">
        <v>597309651</v>
      </c>
      <c r="AD25" s="43">
        <v>591787732</v>
      </c>
      <c r="AE25" s="43">
        <v>706111391</v>
      </c>
      <c r="AF25" s="43">
        <v>750019857</v>
      </c>
      <c r="AG25" s="43">
        <v>709167976</v>
      </c>
      <c r="AH25" s="43">
        <v>721543630</v>
      </c>
      <c r="AI25" s="43">
        <v>655717182</v>
      </c>
      <c r="AJ25" s="43">
        <v>583325592</v>
      </c>
      <c r="AK25" s="43">
        <v>635010680</v>
      </c>
      <c r="AL25" s="43">
        <v>645753087</v>
      </c>
      <c r="AM25" s="43">
        <v>624256369</v>
      </c>
      <c r="AN25" s="43">
        <v>599641261</v>
      </c>
      <c r="AO25" s="43">
        <v>546450417</v>
      </c>
      <c r="AP25" s="43">
        <v>548775486</v>
      </c>
      <c r="AQ25" s="43">
        <v>609609142</v>
      </c>
      <c r="AR25" s="43">
        <v>656813642</v>
      </c>
      <c r="AS25" s="43">
        <v>671886437</v>
      </c>
      <c r="AT25" s="43">
        <v>678219627</v>
      </c>
      <c r="AU25" s="109">
        <v>622550219</v>
      </c>
      <c r="AV25" s="43">
        <v>549600433</v>
      </c>
      <c r="AW25" s="43">
        <v>596432225</v>
      </c>
      <c r="AX25" s="43">
        <v>616923082</v>
      </c>
      <c r="AY25" s="43">
        <v>599527620</v>
      </c>
      <c r="AZ25" s="43">
        <v>566693954</v>
      </c>
      <c r="BA25" s="43">
        <v>483801855</v>
      </c>
      <c r="BB25" s="43">
        <v>451939609</v>
      </c>
      <c r="BC25" s="43">
        <v>534583835</v>
      </c>
      <c r="BD25" s="43">
        <v>624356693</v>
      </c>
      <c r="BE25" s="43">
        <v>621885740</v>
      </c>
      <c r="BF25" s="43">
        <v>619148163</v>
      </c>
      <c r="BG25" s="43">
        <v>528448107.69999999</v>
      </c>
      <c r="BH25" s="43">
        <v>514648084</v>
      </c>
      <c r="BI25" s="43">
        <v>553120787</v>
      </c>
      <c r="BJ25" s="43">
        <v>592823385</v>
      </c>
      <c r="BK25" s="43">
        <v>585712392</v>
      </c>
      <c r="BL25" s="43">
        <v>543642088</v>
      </c>
      <c r="BM25" s="43">
        <v>483262229</v>
      </c>
      <c r="BN25" s="43">
        <v>492375125.19999999</v>
      </c>
      <c r="BO25" s="43">
        <v>586671915</v>
      </c>
      <c r="BP25" s="43">
        <v>641235470</v>
      </c>
      <c r="BQ25" s="43">
        <v>634777638</v>
      </c>
      <c r="BR25" s="43">
        <v>647017474</v>
      </c>
      <c r="BS25" s="43">
        <v>568724491</v>
      </c>
      <c r="BT25" s="43">
        <v>505304455</v>
      </c>
      <c r="BU25" s="43">
        <v>555282313.60000002</v>
      </c>
      <c r="BV25" s="43">
        <v>590675076</v>
      </c>
      <c r="BW25" s="43">
        <v>582248455</v>
      </c>
      <c r="BX25" s="43">
        <v>534070902</v>
      </c>
      <c r="BY25" s="43">
        <v>506459043</v>
      </c>
      <c r="BZ25" s="43">
        <v>516003997</v>
      </c>
      <c r="CA25" s="43">
        <v>579943536</v>
      </c>
      <c r="CB25" s="43">
        <v>650768443</v>
      </c>
      <c r="CC25" s="43">
        <v>645110540</v>
      </c>
      <c r="CD25" s="43">
        <v>617464584</v>
      </c>
      <c r="CE25" s="43">
        <v>530232061</v>
      </c>
      <c r="CF25" s="43">
        <v>516180366</v>
      </c>
      <c r="CG25" s="43">
        <v>573339069</v>
      </c>
      <c r="CH25" s="43">
        <v>603008465</v>
      </c>
      <c r="CI25" s="43">
        <v>535848689</v>
      </c>
      <c r="CJ25" s="43">
        <v>513226736</v>
      </c>
      <c r="CK25" s="43">
        <v>490211820</v>
      </c>
      <c r="CL25" s="43">
        <v>487205076</v>
      </c>
      <c r="CM25" s="43">
        <v>550130655</v>
      </c>
      <c r="CN25" s="43">
        <v>592309179</v>
      </c>
      <c r="CO25" s="43">
        <v>613854730</v>
      </c>
      <c r="CP25" s="43">
        <v>614247424</v>
      </c>
      <c r="CQ25" s="43">
        <v>540155873</v>
      </c>
      <c r="CR25" s="43">
        <v>496155566</v>
      </c>
      <c r="CS25" s="43">
        <v>533840032</v>
      </c>
      <c r="CT25" s="43">
        <v>585074116</v>
      </c>
    </row>
    <row r="26" spans="1:98" x14ac:dyDescent="0.25">
      <c r="A26" t="s">
        <v>36</v>
      </c>
      <c r="B26" s="37"/>
      <c r="C26" s="37"/>
      <c r="D26" s="43">
        <v>247441789</v>
      </c>
      <c r="E26" s="43">
        <v>263524459</v>
      </c>
      <c r="F26" s="43">
        <v>273810149</v>
      </c>
      <c r="G26" s="43">
        <v>281099842</v>
      </c>
      <c r="H26" s="43">
        <v>312186695</v>
      </c>
      <c r="I26" s="43">
        <v>304162315</v>
      </c>
      <c r="J26" s="43">
        <v>330143172</v>
      </c>
      <c r="K26" s="43">
        <v>280092260</v>
      </c>
      <c r="L26" s="43">
        <v>268855946</v>
      </c>
      <c r="M26" s="43">
        <v>269553572</v>
      </c>
      <c r="N26" s="43">
        <v>287482958</v>
      </c>
      <c r="O26" s="43">
        <v>284042474</v>
      </c>
      <c r="P26" s="43">
        <v>243773343</v>
      </c>
      <c r="Q26" s="43">
        <v>262317859</v>
      </c>
      <c r="R26" s="43">
        <v>265729533</v>
      </c>
      <c r="S26" s="43">
        <v>305383990</v>
      </c>
      <c r="T26" s="43">
        <v>299141306</v>
      </c>
      <c r="U26" s="43">
        <v>315582091</v>
      </c>
      <c r="V26" s="43">
        <v>303646750</v>
      </c>
      <c r="W26" s="43">
        <v>297206861</v>
      </c>
      <c r="X26" s="43">
        <v>267769856</v>
      </c>
      <c r="Y26" s="43">
        <v>280403761</v>
      </c>
      <c r="Z26" s="43">
        <v>308993823</v>
      </c>
      <c r="AA26" s="43">
        <v>274104685</v>
      </c>
      <c r="AB26" s="43">
        <v>272372147</v>
      </c>
      <c r="AC26" s="43">
        <v>251417733</v>
      </c>
      <c r="AD26" s="43">
        <v>289575324</v>
      </c>
      <c r="AE26" s="43">
        <v>314032531</v>
      </c>
      <c r="AF26" s="43">
        <v>325203026</v>
      </c>
      <c r="AG26" s="43">
        <v>319660753</v>
      </c>
      <c r="AH26" s="43">
        <v>311095874</v>
      </c>
      <c r="AI26" s="43">
        <v>289535965</v>
      </c>
      <c r="AJ26" s="43">
        <v>271491896</v>
      </c>
      <c r="AK26" s="43">
        <v>291933586</v>
      </c>
      <c r="AL26" s="43">
        <v>252980562</v>
      </c>
      <c r="AM26" s="43">
        <v>248710812</v>
      </c>
      <c r="AN26" s="43">
        <v>242499726</v>
      </c>
      <c r="AO26" s="43">
        <v>232539680</v>
      </c>
      <c r="AP26" s="43">
        <v>229224298</v>
      </c>
      <c r="AQ26" s="43">
        <v>266349220</v>
      </c>
      <c r="AR26" s="43">
        <v>267674678</v>
      </c>
      <c r="AS26" s="43">
        <v>281003685</v>
      </c>
      <c r="AT26" s="43">
        <v>279302255</v>
      </c>
      <c r="AU26" s="109">
        <v>258807768</v>
      </c>
      <c r="AV26" s="43">
        <v>239334214</v>
      </c>
      <c r="AW26" s="43">
        <v>241025466</v>
      </c>
      <c r="AX26" s="43">
        <v>247898204</v>
      </c>
      <c r="AY26" s="43">
        <v>255420215</v>
      </c>
      <c r="AZ26" s="43">
        <v>225135566</v>
      </c>
      <c r="BA26" s="43">
        <v>219961316</v>
      </c>
      <c r="BB26" s="43">
        <v>207074154</v>
      </c>
      <c r="BC26" s="43">
        <v>241165089</v>
      </c>
      <c r="BD26" s="43">
        <v>253833450</v>
      </c>
      <c r="BE26" s="43">
        <v>266058831</v>
      </c>
      <c r="BF26" s="43">
        <v>266126792</v>
      </c>
      <c r="BG26" s="43">
        <v>236673642.40000001</v>
      </c>
      <c r="BH26" s="43">
        <v>234876378</v>
      </c>
      <c r="BI26" s="43">
        <v>245759481</v>
      </c>
      <c r="BJ26" s="43">
        <v>241302585</v>
      </c>
      <c r="BK26" s="43">
        <v>254211213</v>
      </c>
      <c r="BL26" s="43">
        <v>216207694</v>
      </c>
      <c r="BM26" s="43">
        <v>214809052</v>
      </c>
      <c r="BN26" s="43">
        <v>221576502.5</v>
      </c>
      <c r="BO26" s="43">
        <v>232417188</v>
      </c>
      <c r="BP26" s="43">
        <v>286577542</v>
      </c>
      <c r="BQ26" s="43">
        <v>263115351</v>
      </c>
      <c r="BR26" s="43">
        <v>266455046</v>
      </c>
      <c r="BS26" s="43">
        <v>230080105</v>
      </c>
      <c r="BT26" s="43">
        <v>200697530</v>
      </c>
      <c r="BU26" s="43">
        <v>269908616.5</v>
      </c>
      <c r="BV26" s="43">
        <v>254759231</v>
      </c>
      <c r="BW26" s="43">
        <v>236605471</v>
      </c>
      <c r="BX26" s="43">
        <v>220600472</v>
      </c>
      <c r="BY26" s="43">
        <v>227017145</v>
      </c>
      <c r="BZ26" s="43">
        <v>225997805</v>
      </c>
      <c r="CA26" s="43">
        <v>251076328</v>
      </c>
      <c r="CB26" s="43">
        <v>267504084</v>
      </c>
      <c r="CC26" s="43">
        <v>272015339</v>
      </c>
      <c r="CD26" s="43">
        <v>258297228</v>
      </c>
      <c r="CE26" s="43">
        <v>229178636</v>
      </c>
      <c r="CF26" s="43">
        <v>231438770</v>
      </c>
      <c r="CG26" s="43">
        <v>241377872</v>
      </c>
      <c r="CH26" s="43">
        <v>231408894</v>
      </c>
      <c r="CI26" s="43">
        <v>221649717</v>
      </c>
      <c r="CJ26" s="43">
        <v>205003755</v>
      </c>
      <c r="CK26" s="43">
        <v>219436038</v>
      </c>
      <c r="CL26" s="43">
        <v>219271209</v>
      </c>
      <c r="CM26" s="43">
        <v>232550715</v>
      </c>
      <c r="CN26" s="43">
        <v>235130742</v>
      </c>
      <c r="CO26" s="43">
        <v>262292552</v>
      </c>
      <c r="CP26" s="43">
        <v>254203699</v>
      </c>
      <c r="CQ26" s="43">
        <v>220702925</v>
      </c>
      <c r="CR26" s="43">
        <v>219441539</v>
      </c>
      <c r="CS26" s="43">
        <v>218534163</v>
      </c>
      <c r="CT26" s="43">
        <v>232541184</v>
      </c>
    </row>
    <row r="27" spans="1:98" x14ac:dyDescent="0.25">
      <c r="A27" t="s">
        <v>37</v>
      </c>
      <c r="B27" s="37"/>
      <c r="C27" s="37"/>
      <c r="D27" s="43">
        <v>127273740</v>
      </c>
      <c r="E27" s="43">
        <v>133415922</v>
      </c>
      <c r="F27" s="43">
        <v>133920097</v>
      </c>
      <c r="G27" s="43">
        <v>151320401</v>
      </c>
      <c r="H27" s="43">
        <v>158812387</v>
      </c>
      <c r="I27" s="43">
        <v>160367769</v>
      </c>
      <c r="J27" s="43">
        <v>176194341</v>
      </c>
      <c r="K27" s="43">
        <v>154604539</v>
      </c>
      <c r="L27" s="43">
        <v>142536252</v>
      </c>
      <c r="M27" s="43">
        <v>134004611</v>
      </c>
      <c r="N27" s="43">
        <v>132646039</v>
      </c>
      <c r="O27" s="43">
        <v>136324918</v>
      </c>
      <c r="P27" s="43">
        <v>118000396</v>
      </c>
      <c r="Q27" s="43">
        <v>130771713</v>
      </c>
      <c r="R27" s="43">
        <v>133006544</v>
      </c>
      <c r="S27" s="43">
        <v>158813593</v>
      </c>
      <c r="T27" s="43">
        <v>150211763</v>
      </c>
      <c r="U27" s="43">
        <v>166478792</v>
      </c>
      <c r="V27" s="43">
        <v>158634223</v>
      </c>
      <c r="W27" s="43">
        <v>151247524</v>
      </c>
      <c r="X27" s="43">
        <v>147830606</v>
      </c>
      <c r="Y27" s="43">
        <v>132139915</v>
      </c>
      <c r="Z27" s="43">
        <v>134787267</v>
      </c>
      <c r="AA27" s="43">
        <v>125603697</v>
      </c>
      <c r="AB27" s="43">
        <v>125857767</v>
      </c>
      <c r="AC27" s="43">
        <v>119174583</v>
      </c>
      <c r="AD27" s="43">
        <v>136766539</v>
      </c>
      <c r="AE27" s="43">
        <v>151258088</v>
      </c>
      <c r="AF27" s="43">
        <v>155948179</v>
      </c>
      <c r="AG27" s="43">
        <v>160224923</v>
      </c>
      <c r="AH27" s="43">
        <v>150480926</v>
      </c>
      <c r="AI27" s="43">
        <v>148580162</v>
      </c>
      <c r="AJ27" s="43">
        <v>139627995</v>
      </c>
      <c r="AK27" s="43">
        <v>135972391</v>
      </c>
      <c r="AL27" s="43">
        <v>101960146</v>
      </c>
      <c r="AM27" s="43">
        <v>96075286</v>
      </c>
      <c r="AN27" s="43">
        <v>99309923</v>
      </c>
      <c r="AO27" s="43">
        <v>98876748</v>
      </c>
      <c r="AP27" s="43">
        <v>96480454</v>
      </c>
      <c r="AQ27" s="43">
        <v>121526151</v>
      </c>
      <c r="AR27" s="43">
        <v>113123855</v>
      </c>
      <c r="AS27" s="43">
        <v>125262874</v>
      </c>
      <c r="AT27" s="43">
        <v>126945040</v>
      </c>
      <c r="AU27" s="109">
        <v>119752379</v>
      </c>
      <c r="AV27" s="43">
        <v>106348532</v>
      </c>
      <c r="AW27" s="43">
        <v>100067076</v>
      </c>
      <c r="AX27" s="43">
        <v>105899561</v>
      </c>
      <c r="AY27" s="43">
        <v>111203176</v>
      </c>
      <c r="AZ27" s="43">
        <v>86704807</v>
      </c>
      <c r="BA27" s="43">
        <v>92097434</v>
      </c>
      <c r="BB27" s="43">
        <v>93506334</v>
      </c>
      <c r="BC27" s="43">
        <v>92139707</v>
      </c>
      <c r="BD27" s="43">
        <v>105110654</v>
      </c>
      <c r="BE27" s="43">
        <v>108265948</v>
      </c>
      <c r="BF27" s="43">
        <v>109806573</v>
      </c>
      <c r="BG27" s="43">
        <v>96724322.099999994</v>
      </c>
      <c r="BH27" s="43">
        <v>94866307</v>
      </c>
      <c r="BI27" s="43">
        <v>96874394</v>
      </c>
      <c r="BJ27" s="43">
        <v>84244327</v>
      </c>
      <c r="BK27" s="43">
        <v>112346620</v>
      </c>
      <c r="BL27" s="43">
        <v>50801494</v>
      </c>
      <c r="BM27" s="43">
        <v>85186767</v>
      </c>
      <c r="BN27" s="43">
        <v>94290468.700000003</v>
      </c>
      <c r="BO27" s="43">
        <v>96665030</v>
      </c>
      <c r="BP27" s="43">
        <v>111403127</v>
      </c>
      <c r="BQ27" s="43">
        <v>106051211</v>
      </c>
      <c r="BR27" s="43">
        <v>114673513</v>
      </c>
      <c r="BS27" s="43">
        <v>105106440</v>
      </c>
      <c r="BT27" s="43">
        <v>69778498</v>
      </c>
      <c r="BU27" s="43">
        <v>120928612.40000001</v>
      </c>
      <c r="BV27" s="43">
        <v>91160220</v>
      </c>
      <c r="BW27" s="43">
        <v>84926008</v>
      </c>
      <c r="BX27" s="43">
        <v>81012090</v>
      </c>
      <c r="BY27" s="43">
        <v>85726323</v>
      </c>
      <c r="BZ27" s="43">
        <v>71350428</v>
      </c>
      <c r="CA27" s="43">
        <v>86976917</v>
      </c>
      <c r="CB27" s="43">
        <v>99783323</v>
      </c>
      <c r="CC27" s="43">
        <v>98663196</v>
      </c>
      <c r="CD27" s="43">
        <v>102858299</v>
      </c>
      <c r="CE27" s="43">
        <v>88364839</v>
      </c>
      <c r="CF27" s="43">
        <v>88263402</v>
      </c>
      <c r="CG27" s="43">
        <v>86648705</v>
      </c>
      <c r="CH27" s="43">
        <v>77135409</v>
      </c>
      <c r="CI27" s="43">
        <v>74737407</v>
      </c>
      <c r="CJ27" s="43">
        <v>64517924</v>
      </c>
      <c r="CK27" s="43">
        <v>64659611</v>
      </c>
      <c r="CL27" s="43">
        <v>67634326</v>
      </c>
      <c r="CM27" s="43">
        <v>81350810</v>
      </c>
      <c r="CN27" s="43">
        <v>76194105</v>
      </c>
      <c r="CO27" s="43">
        <v>87357832</v>
      </c>
      <c r="CP27" s="43">
        <v>95274398</v>
      </c>
      <c r="CQ27" s="43">
        <v>96078281</v>
      </c>
      <c r="CR27" s="43">
        <v>85657578</v>
      </c>
      <c r="CS27" s="43">
        <v>96441503</v>
      </c>
      <c r="CT27" s="43">
        <v>86731223</v>
      </c>
    </row>
    <row r="28" spans="1:98" x14ac:dyDescent="0.25">
      <c r="A28" s="33" t="s">
        <v>31</v>
      </c>
      <c r="B28" s="31"/>
      <c r="C28" s="31"/>
      <c r="D28" s="34">
        <f>SUM(D23:D27)</f>
        <v>2224928177</v>
      </c>
      <c r="E28" s="34">
        <f t="shared" ref="E28:AW28" si="76">SUM(E23:E27)</f>
        <v>2018953973</v>
      </c>
      <c r="F28" s="34">
        <f t="shared" si="76"/>
        <v>1913045208</v>
      </c>
      <c r="G28" s="34">
        <f t="shared" si="76"/>
        <v>2404751671</v>
      </c>
      <c r="H28" s="34">
        <f t="shared" si="76"/>
        <v>2933402953</v>
      </c>
      <c r="I28" s="34">
        <f t="shared" si="76"/>
        <v>2932474198</v>
      </c>
      <c r="J28" s="34">
        <f t="shared" si="76"/>
        <v>2831280502</v>
      </c>
      <c r="K28" s="34">
        <f t="shared" si="76"/>
        <v>2260945939</v>
      </c>
      <c r="L28" s="34">
        <f t="shared" si="76"/>
        <v>1987278765</v>
      </c>
      <c r="M28" s="34">
        <f t="shared" si="76"/>
        <v>2444837540</v>
      </c>
      <c r="N28" s="34">
        <f t="shared" si="76"/>
        <v>2931370494</v>
      </c>
      <c r="O28" s="34">
        <f t="shared" si="76"/>
        <v>2420851513</v>
      </c>
      <c r="P28" s="34">
        <f t="shared" si="76"/>
        <v>2078601028</v>
      </c>
      <c r="Q28" s="34">
        <f t="shared" si="76"/>
        <v>1972320246</v>
      </c>
      <c r="R28" s="34">
        <f t="shared" si="76"/>
        <v>1950848493</v>
      </c>
      <c r="S28" s="34">
        <f t="shared" si="76"/>
        <v>2390636192</v>
      </c>
      <c r="T28" s="34">
        <f t="shared" si="76"/>
        <v>2806893058</v>
      </c>
      <c r="U28" s="34">
        <f t="shared" si="76"/>
        <v>2872808685</v>
      </c>
      <c r="V28" s="34">
        <f t="shared" si="76"/>
        <v>2497438120</v>
      </c>
      <c r="W28" s="34">
        <f t="shared" si="76"/>
        <v>2311823120</v>
      </c>
      <c r="X28" s="34">
        <f t="shared" si="76"/>
        <v>2068964968</v>
      </c>
      <c r="Y28" s="34">
        <f t="shared" si="76"/>
        <v>2356325141</v>
      </c>
      <c r="Z28" s="34">
        <f t="shared" si="76"/>
        <v>3162862275</v>
      </c>
      <c r="AA28" s="34">
        <f t="shared" si="76"/>
        <v>2671692622</v>
      </c>
      <c r="AB28" s="34">
        <f t="shared" si="76"/>
        <v>2329112642</v>
      </c>
      <c r="AC28" s="34">
        <f t="shared" si="76"/>
        <v>2266678111</v>
      </c>
      <c r="AD28" s="34">
        <f t="shared" si="76"/>
        <v>2094580257</v>
      </c>
      <c r="AE28" s="34">
        <f t="shared" si="76"/>
        <v>2709831507</v>
      </c>
      <c r="AF28" s="34">
        <f t="shared" si="76"/>
        <v>3013965337</v>
      </c>
      <c r="AG28" s="34">
        <f t="shared" si="76"/>
        <v>2799018250</v>
      </c>
      <c r="AH28" s="34">
        <f t="shared" si="76"/>
        <v>2737680017</v>
      </c>
      <c r="AI28" s="34">
        <f t="shared" si="76"/>
        <v>2332546940</v>
      </c>
      <c r="AJ28" s="34">
        <f t="shared" si="76"/>
        <v>2142583793</v>
      </c>
      <c r="AK28" s="34">
        <f t="shared" si="76"/>
        <v>2618348050</v>
      </c>
      <c r="AL28" s="34">
        <f t="shared" si="76"/>
        <v>2704334881</v>
      </c>
      <c r="AM28" s="34">
        <f t="shared" si="76"/>
        <v>2684641305</v>
      </c>
      <c r="AN28" s="34">
        <f t="shared" si="76"/>
        <v>2499758324</v>
      </c>
      <c r="AO28" s="34">
        <f t="shared" si="76"/>
        <v>1985896392</v>
      </c>
      <c r="AP28" s="34">
        <f t="shared" si="76"/>
        <v>1834449295</v>
      </c>
      <c r="AQ28" s="34">
        <f t="shared" si="76"/>
        <v>2235195660</v>
      </c>
      <c r="AR28" s="34">
        <f t="shared" si="76"/>
        <v>2577497445</v>
      </c>
      <c r="AS28" s="34">
        <f t="shared" si="76"/>
        <v>2692344190</v>
      </c>
      <c r="AT28" s="34">
        <f t="shared" si="76"/>
        <v>2586049727</v>
      </c>
      <c r="AU28" s="34">
        <f t="shared" si="76"/>
        <v>2259393157</v>
      </c>
      <c r="AV28" s="34">
        <f t="shared" si="76"/>
        <v>2029584453</v>
      </c>
      <c r="AW28" s="34">
        <f t="shared" si="76"/>
        <v>2424244506</v>
      </c>
      <c r="AX28" s="34">
        <f t="shared" ref="AX28:AY28" si="77">SUM(AX23:AX27)</f>
        <v>2601956425</v>
      </c>
      <c r="AY28" s="34">
        <f t="shared" si="77"/>
        <v>2559780622</v>
      </c>
      <c r="AZ28" s="34">
        <f t="shared" ref="AZ28:BA28" si="78">SUM(AZ23:AZ27)</f>
        <v>2267199627</v>
      </c>
      <c r="BA28" s="34">
        <f t="shared" si="78"/>
        <v>1885945876</v>
      </c>
      <c r="BB28" s="34">
        <f t="shared" ref="BB28:BC28" si="79">SUM(BB23:BB27)</f>
        <v>1727181444</v>
      </c>
      <c r="BC28" s="34">
        <f t="shared" si="79"/>
        <v>2140133354</v>
      </c>
      <c r="BD28" s="34">
        <f t="shared" ref="BD28:BE28" si="80">SUM(BD23:BD27)</f>
        <v>2668776772</v>
      </c>
      <c r="BE28" s="34">
        <f t="shared" si="80"/>
        <v>2588323933</v>
      </c>
      <c r="BF28" s="34">
        <f t="shared" ref="BF28:BG28" si="81">SUM(BF23:BF27)</f>
        <v>2539356884</v>
      </c>
      <c r="BG28" s="34">
        <f t="shared" si="81"/>
        <v>1880855467.2</v>
      </c>
      <c r="BH28" s="34">
        <f t="shared" ref="BH28:BI28" si="82">SUM(BH23:BH27)</f>
        <v>1919414791</v>
      </c>
      <c r="BI28" s="34">
        <f t="shared" si="82"/>
        <v>2285505311</v>
      </c>
      <c r="BJ28" s="34">
        <f t="shared" ref="BJ28:BK28" si="83">SUM(BJ23:BJ27)</f>
        <v>2701293080</v>
      </c>
      <c r="BK28" s="34">
        <f t="shared" si="83"/>
        <v>2762895596</v>
      </c>
      <c r="BL28" s="34">
        <f t="shared" ref="BL28:BM28" si="84">SUM(BL23:BL27)</f>
        <v>2269212350</v>
      </c>
      <c r="BM28" s="34">
        <f t="shared" si="84"/>
        <v>1797926430</v>
      </c>
      <c r="BN28" s="34">
        <f t="shared" ref="BN28:BO28" si="85">SUM(BN23:BN27)</f>
        <v>1767390312.4000001</v>
      </c>
      <c r="BO28" s="34">
        <f t="shared" si="85"/>
        <v>2241761426</v>
      </c>
      <c r="BP28" s="34">
        <f t="shared" ref="BP28:BQ28" si="86">SUM(BP23:BP27)</f>
        <v>2630416326</v>
      </c>
      <c r="BQ28" s="34">
        <f t="shared" si="86"/>
        <v>2620993183</v>
      </c>
      <c r="BR28" s="34">
        <f t="shared" ref="BR28:BS28" si="87">SUM(BR23:BR27)</f>
        <v>2624842936</v>
      </c>
      <c r="BS28" s="34">
        <f t="shared" si="87"/>
        <v>2051802732</v>
      </c>
      <c r="BT28" s="34">
        <f t="shared" ref="BT28:BU28" si="88">SUM(BT23:BT27)</f>
        <v>1844617502</v>
      </c>
      <c r="BU28" s="34">
        <f t="shared" si="88"/>
        <v>2260152185.5</v>
      </c>
      <c r="BV28" s="34">
        <f t="shared" ref="BV28:BW28" si="89">SUM(BV23:BV27)</f>
        <v>2604429573</v>
      </c>
      <c r="BW28" s="34">
        <f t="shared" si="89"/>
        <v>2650772070</v>
      </c>
      <c r="BX28" s="34">
        <f t="shared" ref="BX28:BY28" si="90">SUM(BX23:BX27)</f>
        <v>2252800721</v>
      </c>
      <c r="BY28" s="34">
        <f t="shared" si="90"/>
        <v>1950515267</v>
      </c>
      <c r="BZ28" s="34">
        <f t="shared" ref="BZ28:CA28" si="91">SUM(BZ23:BZ27)</f>
        <v>1874510202</v>
      </c>
      <c r="CA28" s="34">
        <f t="shared" si="91"/>
        <v>2238886497</v>
      </c>
      <c r="CB28" s="34">
        <f t="shared" ref="CB28:CC28" si="92">SUM(CB23:CB27)</f>
        <v>2787735127</v>
      </c>
      <c r="CC28" s="34">
        <f t="shared" si="92"/>
        <v>2711689501</v>
      </c>
      <c r="CD28" s="34">
        <f t="shared" ref="CD28:CE28" si="93">SUM(CD23:CD27)</f>
        <v>2418184647</v>
      </c>
      <c r="CE28" s="34">
        <f t="shared" si="93"/>
        <v>1914968383</v>
      </c>
      <c r="CF28" s="34">
        <f t="shared" ref="CF28:CG28" si="94">SUM(CF23:CF27)</f>
        <v>1850644365</v>
      </c>
      <c r="CG28" s="34">
        <f t="shared" si="94"/>
        <v>2231741671.4688997</v>
      </c>
      <c r="CH28" s="34">
        <f t="shared" ref="CH28:CI28" si="95">SUM(CH23:CH27)</f>
        <v>2690422268</v>
      </c>
      <c r="CI28" s="34">
        <f t="shared" si="95"/>
        <v>2359295932</v>
      </c>
      <c r="CJ28" s="34">
        <f t="shared" ref="CJ28:CK28" si="96">SUM(CJ23:CJ27)</f>
        <v>2063654396</v>
      </c>
      <c r="CK28" s="34">
        <f t="shared" si="96"/>
        <v>1890769057</v>
      </c>
      <c r="CL28" s="34">
        <f t="shared" ref="CL28:CM28" si="97">SUM(CL23:CL27)</f>
        <v>1741264804</v>
      </c>
      <c r="CM28" s="34">
        <f t="shared" si="97"/>
        <v>2092627990</v>
      </c>
      <c r="CN28" s="34">
        <f t="shared" ref="CN28:CO28" si="98">SUM(CN23:CN27)</f>
        <v>2473094997</v>
      </c>
      <c r="CO28" s="34">
        <f t="shared" si="98"/>
        <v>2579826523</v>
      </c>
      <c r="CP28" s="34">
        <f t="shared" ref="CP28:CQ28" si="99">SUM(CP23:CP27)</f>
        <v>2474502491</v>
      </c>
      <c r="CQ28" s="34">
        <f t="shared" si="99"/>
        <v>1988431085</v>
      </c>
      <c r="CR28" s="34">
        <f t="shared" ref="CR28:CS28" si="100">SUM(CR23:CR27)</f>
        <v>1804090215.424</v>
      </c>
      <c r="CS28" s="34">
        <f t="shared" si="100"/>
        <v>2193574286</v>
      </c>
      <c r="CT28" s="34">
        <f t="shared" ref="CT28" si="101">SUM(CT23:CT27)</f>
        <v>2637850374</v>
      </c>
    </row>
    <row r="29" spans="1:98" x14ac:dyDescent="0.25">
      <c r="B29" s="37"/>
      <c r="C29" s="37"/>
    </row>
    <row r="30" spans="1:98" x14ac:dyDescent="0.25">
      <c r="A30" s="27" t="s">
        <v>40</v>
      </c>
      <c r="B30" s="37"/>
      <c r="C30" s="37"/>
    </row>
    <row r="31" spans="1:98" x14ac:dyDescent="0.25">
      <c r="A31" t="s">
        <v>33</v>
      </c>
      <c r="B31" s="37"/>
      <c r="C31" s="37"/>
      <c r="D31" s="291">
        <f>D14+(D$19*(D23/D$28))</f>
        <v>0</v>
      </c>
      <c r="E31" s="291">
        <f>IF(E14="","",E14+(E$19*(E23/E$28)))</f>
        <v>1328.78</v>
      </c>
      <c r="F31" s="291">
        <f t="shared" ref="E31:F35" si="102">IF(F14="","",F14+(F$19*(F23/F$28)))</f>
        <v>9526.5299999999988</v>
      </c>
      <c r="G31" s="291">
        <f t="shared" ref="G31:AW31" si="103">IF(G14="","",G14+(G$19*(G23/G$28)))</f>
        <v>120352.88</v>
      </c>
      <c r="H31" s="291">
        <f t="shared" si="103"/>
        <v>256080.65000000002</v>
      </c>
      <c r="I31" s="291">
        <f t="shared" si="103"/>
        <v>373393.34435846674</v>
      </c>
      <c r="J31" s="291">
        <f t="shared" si="103"/>
        <v>671736.21363575384</v>
      </c>
      <c r="K31" s="291">
        <f t="shared" si="103"/>
        <v>120839.84990541483</v>
      </c>
      <c r="L31" s="291">
        <f t="shared" si="103"/>
        <v>185093.49881649271</v>
      </c>
      <c r="M31" s="291">
        <f t="shared" si="103"/>
        <v>303285.19452852954</v>
      </c>
      <c r="N31" s="291">
        <f t="shared" si="103"/>
        <v>329743.7910035231</v>
      </c>
      <c r="O31" s="291">
        <f t="shared" si="103"/>
        <v>319589.12614734296</v>
      </c>
      <c r="P31" s="291">
        <f t="shared" si="103"/>
        <v>307416.51622437377</v>
      </c>
      <c r="Q31" s="291">
        <f>IF(Q14="","",Q14+(Q$19*(Q23/Q$28)))</f>
        <v>202009.99758789604</v>
      </c>
      <c r="R31" s="291">
        <f t="shared" si="103"/>
        <v>201518.00847600689</v>
      </c>
      <c r="S31" s="291">
        <f t="shared" si="103"/>
        <v>884196.51701427973</v>
      </c>
      <c r="T31" s="291">
        <f t="shared" si="103"/>
        <v>1282604.3399999999</v>
      </c>
      <c r="U31" s="291">
        <f t="shared" si="103"/>
        <v>1412760.5841518985</v>
      </c>
      <c r="V31" s="291">
        <f t="shared" si="103"/>
        <v>912043.87330211163</v>
      </c>
      <c r="W31" s="291">
        <f t="shared" si="103"/>
        <v>279976.46619588812</v>
      </c>
      <c r="X31" s="291">
        <f t="shared" si="103"/>
        <v>377438.47759872582</v>
      </c>
      <c r="Y31" s="291">
        <f t="shared" si="103"/>
        <v>565267.94576951256</v>
      </c>
      <c r="Z31" s="291">
        <f t="shared" si="103"/>
        <v>607215.02747681318</v>
      </c>
      <c r="AA31" s="291">
        <f t="shared" si="103"/>
        <v>515316.53827609093</v>
      </c>
      <c r="AB31" s="291">
        <f t="shared" si="103"/>
        <v>473150.50916160172</v>
      </c>
      <c r="AC31" s="291">
        <f t="shared" si="103"/>
        <v>270731.77958850004</v>
      </c>
      <c r="AD31" s="291">
        <f t="shared" si="103"/>
        <v>491596.14834248205</v>
      </c>
      <c r="AE31" s="291">
        <f t="shared" si="103"/>
        <v>2024956.6659391024</v>
      </c>
      <c r="AF31" s="291">
        <f t="shared" si="103"/>
        <v>2753783.435947692</v>
      </c>
      <c r="AG31" s="291">
        <f t="shared" si="103"/>
        <v>2655187.2707727067</v>
      </c>
      <c r="AH31" s="291">
        <f t="shared" si="103"/>
        <v>1585670.784126644</v>
      </c>
      <c r="AI31" s="291">
        <f t="shared" si="103"/>
        <v>556118.7299202627</v>
      </c>
      <c r="AJ31" s="291">
        <f t="shared" si="103"/>
        <v>513458.06050710165</v>
      </c>
      <c r="AK31" s="291">
        <f t="shared" si="103"/>
        <v>702799.89768350183</v>
      </c>
      <c r="AL31" s="291">
        <f t="shared" si="103"/>
        <v>705267.00941836974</v>
      </c>
      <c r="AM31" s="291">
        <f t="shared" si="103"/>
        <v>626813.61963691877</v>
      </c>
      <c r="AN31" s="291">
        <f t="shared" si="103"/>
        <v>733376.44916449382</v>
      </c>
      <c r="AO31" s="291">
        <f t="shared" si="103"/>
        <v>579952.0325992658</v>
      </c>
      <c r="AP31" s="291">
        <f>IF(AP14="","",AP14+(AP$19*(AP23/AP$28)))</f>
        <v>371011.49182013981</v>
      </c>
      <c r="AQ31" s="291">
        <f t="shared" si="103"/>
        <v>2723256.6958003566</v>
      </c>
      <c r="AR31" s="291">
        <f t="shared" si="103"/>
        <v>3090240.1159956334</v>
      </c>
      <c r="AS31" s="291">
        <f t="shared" si="103"/>
        <v>3319235.3330920129</v>
      </c>
      <c r="AT31" s="291">
        <f t="shared" si="103"/>
        <v>1872423.9163418177</v>
      </c>
      <c r="AU31" s="291">
        <f t="shared" si="103"/>
        <v>468639.40013933519</v>
      </c>
      <c r="AV31" s="291">
        <f t="shared" si="103"/>
        <v>573430.06293424976</v>
      </c>
      <c r="AW31" s="291">
        <f t="shared" si="103"/>
        <v>729001.68500178226</v>
      </c>
      <c r="AX31" s="291">
        <f t="shared" ref="AX31:BC31" si="104">IF(AX14="","",AX14+(AX$19*(AX23/AX$28)))</f>
        <v>731448.99925192562</v>
      </c>
      <c r="AY31" s="291">
        <f t="shared" si="104"/>
        <v>-1101511.7645830091</v>
      </c>
      <c r="AZ31" s="291">
        <f t="shared" si="104"/>
        <v>502297.9307248104</v>
      </c>
      <c r="BA31" s="291">
        <f t="shared" si="104"/>
        <v>0</v>
      </c>
      <c r="BB31" s="291">
        <f t="shared" si="104"/>
        <v>-1201.9391278357582</v>
      </c>
      <c r="BC31" s="291">
        <f t="shared" si="104"/>
        <v>0</v>
      </c>
      <c r="BD31" s="291">
        <f t="shared" ref="BD31:BE31" si="105">IF(BD14="","",BD14+(BD$19*(BD23/BD$28)))</f>
        <v>0</v>
      </c>
      <c r="BE31" s="291">
        <f t="shared" si="105"/>
        <v>0</v>
      </c>
      <c r="BF31" s="291">
        <f t="shared" ref="BF31:BG31" si="106">IF(BF14="","",BF14+(BF$19*(BF23/BF$28)))</f>
        <v>0</v>
      </c>
      <c r="BG31" s="291">
        <f t="shared" si="106"/>
        <v>0</v>
      </c>
      <c r="BH31" s="291">
        <f t="shared" ref="BH31:BI31" si="107">IF(BH14="","",BH14+(BH$19*(BH23/BH$28)))</f>
        <v>0</v>
      </c>
      <c r="BI31" s="291">
        <f t="shared" si="107"/>
        <v>0</v>
      </c>
      <c r="BJ31" s="291">
        <f t="shared" ref="BJ31:BK31" si="108">IF(BJ14="","",BJ14+(BJ$19*(BJ23/BJ$28)))</f>
        <v>0</v>
      </c>
      <c r="BK31" s="291">
        <f t="shared" si="108"/>
        <v>0</v>
      </c>
      <c r="BL31" s="291">
        <f t="shared" ref="BL31:BM31" si="109">IF(BL14="","",BL14+(BL$19*(BL23/BL$28)))</f>
        <v>0</v>
      </c>
      <c r="BM31" s="291">
        <f t="shared" si="109"/>
        <v>0</v>
      </c>
      <c r="BN31" s="291">
        <f t="shared" ref="BN31:BO31" si="110">IF(BN14="","",BN14+(BN$19*(BN23/BN$28)))</f>
        <v>0</v>
      </c>
      <c r="BO31" s="291">
        <f t="shared" si="110"/>
        <v>0</v>
      </c>
      <c r="BP31" s="291">
        <f t="shared" ref="BP31:BQ31" si="111">IF(BP14="","",BP14+(BP$19*(BP23/BP$28)))</f>
        <v>0</v>
      </c>
      <c r="BQ31" s="291">
        <f t="shared" si="111"/>
        <v>0</v>
      </c>
      <c r="BR31" s="291">
        <f t="shared" ref="BR31:BS31" si="112">IF(BR14="","",BR14+(BR$19*(BR23/BR$28)))</f>
        <v>0</v>
      </c>
      <c r="BS31" s="291">
        <f t="shared" si="112"/>
        <v>0</v>
      </c>
      <c r="BT31" s="291">
        <f t="shared" ref="BT31:BU31" si="113">IF(BT14="","",BT14+(BT$19*(BT23/BT$28)))</f>
        <v>0</v>
      </c>
      <c r="BU31" s="291">
        <f t="shared" si="113"/>
        <v>0</v>
      </c>
      <c r="BV31" s="291">
        <f t="shared" ref="BV31:BW31" si="114">IF(BV14="","",BV14+(BV$19*(BV23/BV$28)))</f>
        <v>0</v>
      </c>
      <c r="BW31" s="291">
        <f t="shared" si="114"/>
        <v>0</v>
      </c>
      <c r="BX31" s="291">
        <f t="shared" ref="BX31:BY31" si="115">IF(BX14="","",BX14+(BX$19*(BX23/BX$28)))</f>
        <v>0</v>
      </c>
      <c r="BY31" s="291">
        <f t="shared" si="115"/>
        <v>0</v>
      </c>
      <c r="BZ31" s="291">
        <f t="shared" ref="BZ31:CA31" si="116">IF(BZ14="","",BZ14+(BZ$19*(BZ23/BZ$28)))</f>
        <v>0</v>
      </c>
      <c r="CA31" s="291">
        <f t="shared" si="116"/>
        <v>0</v>
      </c>
      <c r="CB31" s="291">
        <f t="shared" ref="CB31:CC31" si="117">IF(CB14="","",CB14+(CB$19*(CB23/CB$28)))</f>
        <v>0</v>
      </c>
      <c r="CC31" s="291">
        <f t="shared" si="117"/>
        <v>0</v>
      </c>
      <c r="CD31" s="291">
        <f t="shared" ref="CD31:CE31" si="118">IF(CD14="","",CD14+(CD$19*(CD23/CD$28)))</f>
        <v>0</v>
      </c>
      <c r="CE31" s="291">
        <f t="shared" si="118"/>
        <v>0</v>
      </c>
      <c r="CF31" s="291">
        <f t="shared" ref="CF31:CG31" si="119">IF(CF14="","",CF14+(CF$19*(CF23/CF$28)))</f>
        <v>0</v>
      </c>
      <c r="CG31" s="291">
        <f t="shared" si="119"/>
        <v>0</v>
      </c>
      <c r="CH31" s="291">
        <f t="shared" ref="CH31:CI31" si="120">IF(CH14="","",CH14+(CH$19*(CH23/CH$28)))</f>
        <v>0</v>
      </c>
      <c r="CI31" s="291">
        <f t="shared" si="120"/>
        <v>0</v>
      </c>
      <c r="CJ31" s="291">
        <f t="shared" ref="CJ31:CK31" si="121">IF(CJ14="","",CJ14+(CJ$19*(CJ23/CJ$28)))</f>
        <v>0</v>
      </c>
      <c r="CK31" s="291">
        <f t="shared" si="121"/>
        <v>0</v>
      </c>
      <c r="CL31" s="291">
        <f t="shared" ref="CL31:CM31" si="122">IF(CL14="","",CL14+(CL$19*(CL23/CL$28)))</f>
        <v>0</v>
      </c>
      <c r="CM31" s="291">
        <f t="shared" si="122"/>
        <v>0</v>
      </c>
      <c r="CN31" s="291">
        <f t="shared" ref="CN31:CO31" si="123">IF(CN14="","",CN14+(CN$19*(CN23/CN$28)))</f>
        <v>0</v>
      </c>
      <c r="CO31" s="291">
        <f t="shared" si="123"/>
        <v>0</v>
      </c>
      <c r="CP31" s="291">
        <f t="shared" ref="CP31:CQ31" si="124">IF(CP14="","",CP14+(CP$19*(CP23/CP$28)))</f>
        <v>0</v>
      </c>
      <c r="CQ31" s="291">
        <f t="shared" si="124"/>
        <v>0</v>
      </c>
      <c r="CR31" s="291">
        <f t="shared" ref="CR31:CS31" si="125">IF(CR14="","",CR14+(CR$19*(CR23/CR$28)))</f>
        <v>0</v>
      </c>
      <c r="CS31" s="291">
        <f t="shared" si="125"/>
        <v>0</v>
      </c>
      <c r="CT31" s="291">
        <f t="shared" ref="CT31" si="126">IF(CT14="","",CT14+(CT$19*(CT23/CT$28)))</f>
        <v>0</v>
      </c>
    </row>
    <row r="32" spans="1:98" x14ac:dyDescent="0.25">
      <c r="A32" t="s">
        <v>34</v>
      </c>
      <c r="B32" s="37"/>
      <c r="C32" s="37"/>
      <c r="D32" s="291">
        <f>D15+(D$19*(D24/D$28))</f>
        <v>0</v>
      </c>
      <c r="E32" s="291">
        <f t="shared" si="102"/>
        <v>0</v>
      </c>
      <c r="F32" s="291">
        <f t="shared" si="102"/>
        <v>0</v>
      </c>
      <c r="G32" s="291">
        <f t="shared" ref="G32:AW32" si="127">IF(G15="","",G15+(G$19*(G24/G$28)))</f>
        <v>4167.9399999999996</v>
      </c>
      <c r="H32" s="291">
        <f t="shared" si="127"/>
        <v>13357.940000000002</v>
      </c>
      <c r="I32" s="291">
        <f t="shared" si="127"/>
        <v>14670.985238775314</v>
      </c>
      <c r="J32" s="291">
        <f t="shared" si="127"/>
        <v>22602.465674921033</v>
      </c>
      <c r="K32" s="291">
        <f t="shared" si="127"/>
        <v>23670.862866768453</v>
      </c>
      <c r="L32" s="291">
        <f t="shared" si="127"/>
        <v>27753.308601536653</v>
      </c>
      <c r="M32" s="291">
        <f t="shared" si="127"/>
        <v>37258.575758638253</v>
      </c>
      <c r="N32" s="291">
        <f t="shared" si="127"/>
        <v>47579.322188278435</v>
      </c>
      <c r="O32" s="291">
        <f t="shared" si="127"/>
        <v>42911.041729266297</v>
      </c>
      <c r="P32" s="291">
        <f t="shared" si="127"/>
        <v>52823.001162257649</v>
      </c>
      <c r="Q32" s="291">
        <f t="shared" si="127"/>
        <v>25950.307634173645</v>
      </c>
      <c r="R32" s="291">
        <f t="shared" si="127"/>
        <v>48983.559131334005</v>
      </c>
      <c r="S32" s="291">
        <f t="shared" si="127"/>
        <v>90621.489340586311</v>
      </c>
      <c r="T32" s="291">
        <f t="shared" si="127"/>
        <v>138931.90000000002</v>
      </c>
      <c r="U32" s="291">
        <f t="shared" si="127"/>
        <v>133700.2685394297</v>
      </c>
      <c r="V32" s="291">
        <f t="shared" si="127"/>
        <v>151757.81340251025</v>
      </c>
      <c r="W32" s="291">
        <f t="shared" si="127"/>
        <v>116837.79257470783</v>
      </c>
      <c r="X32" s="291">
        <f t="shared" si="127"/>
        <v>88133.517269885691</v>
      </c>
      <c r="Y32" s="291">
        <f t="shared" si="127"/>
        <v>126989.00719390194</v>
      </c>
      <c r="Z32" s="291">
        <f t="shared" si="127"/>
        <v>151376.91870679389</v>
      </c>
      <c r="AA32" s="291">
        <f t="shared" si="127"/>
        <v>131012.65264951537</v>
      </c>
      <c r="AB32" s="291">
        <f t="shared" si="127"/>
        <v>161984.73662810036</v>
      </c>
      <c r="AC32" s="291">
        <f t="shared" si="127"/>
        <v>186884.98622710272</v>
      </c>
      <c r="AD32" s="291">
        <f t="shared" si="127"/>
        <v>260709.07600105793</v>
      </c>
      <c r="AE32" s="291">
        <f t="shared" si="127"/>
        <v>394275.90039880731</v>
      </c>
      <c r="AF32" s="291">
        <f t="shared" si="127"/>
        <v>517564.58433629415</v>
      </c>
      <c r="AG32" s="291">
        <f t="shared" si="127"/>
        <v>456642.37398614379</v>
      </c>
      <c r="AH32" s="291">
        <f t="shared" si="127"/>
        <v>495377.09665466635</v>
      </c>
      <c r="AI32" s="291">
        <f t="shared" si="127"/>
        <v>348239.88671273278</v>
      </c>
      <c r="AJ32" s="291">
        <f t="shared" si="127"/>
        <v>315404.35918017995</v>
      </c>
      <c r="AK32" s="291">
        <f t="shared" si="127"/>
        <v>349367.88347835495</v>
      </c>
      <c r="AL32" s="291">
        <f t="shared" si="127"/>
        <v>376670.80776353204</v>
      </c>
      <c r="AM32" s="291">
        <f t="shared" si="127"/>
        <v>315666.15712072933</v>
      </c>
      <c r="AN32" s="291">
        <f t="shared" si="127"/>
        <v>426235.9958025862</v>
      </c>
      <c r="AO32" s="291">
        <f t="shared" si="127"/>
        <v>429805.50677490461</v>
      </c>
      <c r="AP32" s="291">
        <f t="shared" si="127"/>
        <v>425502.70439957909</v>
      </c>
      <c r="AQ32" s="291">
        <f t="shared" si="127"/>
        <v>711026.13316380861</v>
      </c>
      <c r="AR32" s="291">
        <f t="shared" si="127"/>
        <v>906630.75933951</v>
      </c>
      <c r="AS32" s="291">
        <f t="shared" si="127"/>
        <v>735303.71734464087</v>
      </c>
      <c r="AT32" s="291">
        <f t="shared" si="127"/>
        <v>765682.15647802898</v>
      </c>
      <c r="AU32" s="291">
        <f t="shared" si="127"/>
        <v>522721.08210263157</v>
      </c>
      <c r="AV32" s="291">
        <f t="shared" si="127"/>
        <v>445892.99890309712</v>
      </c>
      <c r="AW32" s="291">
        <f t="shared" si="127"/>
        <v>380966.65670412086</v>
      </c>
      <c r="AX32" s="291">
        <f t="shared" ref="AX32:AY32" si="128">IF(AX15="","",AX15+(AX$19*(AX24/AX$28)))</f>
        <v>451558.90985025105</v>
      </c>
      <c r="AY32" s="291">
        <f t="shared" si="128"/>
        <v>349160.22599545511</v>
      </c>
      <c r="AZ32" s="291">
        <f t="shared" ref="AZ32:BA32" si="129">IF(AZ15="","",AZ15+(AZ$19*(AZ24/AZ$28)))</f>
        <v>388715.00802980497</v>
      </c>
      <c r="BA32" s="291">
        <f t="shared" si="129"/>
        <v>0</v>
      </c>
      <c r="BB32" s="291">
        <f t="shared" ref="BB32:BC32" si="130">IF(BB15="","",BB15+(BB$19*(BB24/BB$28)))</f>
        <v>-280.76739666505853</v>
      </c>
      <c r="BC32" s="291">
        <f t="shared" si="130"/>
        <v>0</v>
      </c>
      <c r="BD32" s="291">
        <f t="shared" ref="BD32:BE32" si="131">IF(BD15="","",BD15+(BD$19*(BD24/BD$28)))</f>
        <v>0</v>
      </c>
      <c r="BE32" s="291">
        <f t="shared" si="131"/>
        <v>0</v>
      </c>
      <c r="BF32" s="291">
        <f t="shared" ref="BF32:BG32" si="132">IF(BF15="","",BF15+(BF$19*(BF24/BF$28)))</f>
        <v>0</v>
      </c>
      <c r="BG32" s="291">
        <f t="shared" si="132"/>
        <v>0</v>
      </c>
      <c r="BH32" s="291">
        <f t="shared" ref="BH32:BI32" si="133">IF(BH15="","",BH15+(BH$19*(BH24/BH$28)))</f>
        <v>0</v>
      </c>
      <c r="BI32" s="291">
        <f t="shared" si="133"/>
        <v>0</v>
      </c>
      <c r="BJ32" s="291">
        <f t="shared" ref="BJ32:BK32" si="134">IF(BJ15="","",BJ15+(BJ$19*(BJ24/BJ$28)))</f>
        <v>0</v>
      </c>
      <c r="BK32" s="291">
        <f t="shared" si="134"/>
        <v>255.64000000059605</v>
      </c>
      <c r="BL32" s="291">
        <f t="shared" ref="BL32:BM32" si="135">IF(BL15="","",BL15+(BL$19*(BL24/BL$28)))</f>
        <v>592.33999999985099</v>
      </c>
      <c r="BM32" s="291">
        <f t="shared" si="135"/>
        <v>632.41000000014901</v>
      </c>
      <c r="BN32" s="291">
        <f t="shared" ref="BN32:BO32" si="136">IF(BN15="","",BN15+(BN$19*(BN24/BN$28)))</f>
        <v>892.52999999932945</v>
      </c>
      <c r="BO32" s="291">
        <f t="shared" si="136"/>
        <v>1958.390000000596</v>
      </c>
      <c r="BP32" s="291">
        <f t="shared" ref="BP32:BQ32" si="137">IF(BP15="","",BP15+(BP$19*(BP24/BP$28)))</f>
        <v>2575.9900000002235</v>
      </c>
      <c r="BQ32" s="291">
        <f t="shared" si="137"/>
        <v>2901.589999999851</v>
      </c>
      <c r="BR32" s="291">
        <f t="shared" ref="BR32:BS32" si="138">IF(BR15="","",BR15+(BR$19*(BR24/BR$28)))</f>
        <v>2255.2100000008941</v>
      </c>
      <c r="BS32" s="291">
        <f t="shared" si="138"/>
        <v>1201.0499999988824</v>
      </c>
      <c r="BT32" s="291">
        <f t="shared" ref="BT32:BU32" si="139">IF(BT15="","",BT15+(BT$19*(BT24/BT$28)))</f>
        <v>993.04000000096858</v>
      </c>
      <c r="BU32" s="291">
        <f t="shared" si="139"/>
        <v>1022.7099999990314</v>
      </c>
      <c r="BV32" s="291">
        <f t="shared" ref="BV32:BW32" si="140">IF(BV15="","",BV15+(BV$19*(BV24/BV$28)))</f>
        <v>1061.0999999996275</v>
      </c>
      <c r="BW32" s="291">
        <f t="shared" si="140"/>
        <v>818.65000000037253</v>
      </c>
      <c r="BX32" s="291">
        <f t="shared" ref="BX32:BY32" si="141">IF(BX15="","",BX15+(BX$19*(BX24/BX$28)))</f>
        <v>0</v>
      </c>
      <c r="BY32" s="291">
        <f t="shared" si="141"/>
        <v>0</v>
      </c>
      <c r="BZ32" s="291">
        <f t="shared" ref="BZ32:CA32" si="142">IF(BZ15="","",BZ15+(BZ$19*(BZ24/BZ$28)))</f>
        <v>0</v>
      </c>
      <c r="CA32" s="291">
        <f t="shared" si="142"/>
        <v>0</v>
      </c>
      <c r="CB32" s="291">
        <f t="shared" ref="CB32:CC32" si="143">IF(CB15="","",CB15+(CB$19*(CB24/CB$28)))</f>
        <v>0</v>
      </c>
      <c r="CC32" s="291">
        <f t="shared" si="143"/>
        <v>0</v>
      </c>
      <c r="CD32" s="291">
        <f t="shared" ref="CD32:CE32" si="144">IF(CD15="","",CD15+(CD$19*(CD24/CD$28)))</f>
        <v>0</v>
      </c>
      <c r="CE32" s="291">
        <f t="shared" si="144"/>
        <v>0</v>
      </c>
      <c r="CF32" s="291">
        <f t="shared" ref="CF32:CG32" si="145">IF(CF15="","",CF15+(CF$19*(CF24/CF$28)))</f>
        <v>0</v>
      </c>
      <c r="CG32" s="291">
        <f t="shared" si="145"/>
        <v>0</v>
      </c>
      <c r="CH32" s="291">
        <f t="shared" ref="CH32:CI32" si="146">IF(CH15="","",CH15+(CH$19*(CH24/CH$28)))</f>
        <v>0</v>
      </c>
      <c r="CI32" s="291">
        <f t="shared" si="146"/>
        <v>0</v>
      </c>
      <c r="CJ32" s="291">
        <f t="shared" ref="CJ32:CK32" si="147">IF(CJ15="","",CJ15+(CJ$19*(CJ24/CJ$28)))</f>
        <v>0</v>
      </c>
      <c r="CK32" s="291">
        <f t="shared" si="147"/>
        <v>0</v>
      </c>
      <c r="CL32" s="291">
        <f t="shared" ref="CL32:CM32" si="148">IF(CL15="","",CL15+(CL$19*(CL24/CL$28)))</f>
        <v>0</v>
      </c>
      <c r="CM32" s="291">
        <f t="shared" si="148"/>
        <v>0</v>
      </c>
      <c r="CN32" s="291">
        <f t="shared" ref="CN32:CO32" si="149">IF(CN15="","",CN15+(CN$19*(CN24/CN$28)))</f>
        <v>0</v>
      </c>
      <c r="CO32" s="291">
        <f t="shared" si="149"/>
        <v>0</v>
      </c>
      <c r="CP32" s="291">
        <f t="shared" ref="CP32:CQ32" si="150">IF(CP15="","",CP15+(CP$19*(CP24/CP$28)))</f>
        <v>0</v>
      </c>
      <c r="CQ32" s="291">
        <f t="shared" si="150"/>
        <v>0</v>
      </c>
      <c r="CR32" s="291">
        <f t="shared" ref="CR32:CS32" si="151">IF(CR15="","",CR15+(CR$19*(CR24/CR$28)))</f>
        <v>0</v>
      </c>
      <c r="CS32" s="291">
        <f t="shared" si="151"/>
        <v>0</v>
      </c>
      <c r="CT32" s="291">
        <f t="shared" ref="CT32" si="152">IF(CT15="","",CT15+(CT$19*(CT24/CT$28)))</f>
        <v>0</v>
      </c>
    </row>
    <row r="33" spans="1:98" x14ac:dyDescent="0.25">
      <c r="A33" t="s">
        <v>35</v>
      </c>
      <c r="B33" s="37"/>
      <c r="C33" s="37"/>
      <c r="D33" s="291">
        <f>D16+(D$19*(D25/D$28))</f>
        <v>0</v>
      </c>
      <c r="E33" s="291">
        <f t="shared" si="102"/>
        <v>0</v>
      </c>
      <c r="F33" s="291">
        <f t="shared" si="102"/>
        <v>0</v>
      </c>
      <c r="G33" s="291">
        <f t="shared" ref="G33:AW33" si="153">IF(G16="","",G16+(G$19*(G25/G$28)))</f>
        <v>6853.38</v>
      </c>
      <c r="H33" s="291">
        <f t="shared" si="153"/>
        <v>24493.5</v>
      </c>
      <c r="I33" s="291">
        <f t="shared" si="153"/>
        <v>33902.946879751129</v>
      </c>
      <c r="J33" s="291">
        <f t="shared" si="153"/>
        <v>57130.941306139037</v>
      </c>
      <c r="K33" s="291">
        <f t="shared" si="153"/>
        <v>48568.434840680449</v>
      </c>
      <c r="L33" s="291">
        <f t="shared" si="153"/>
        <v>56402.832716238408</v>
      </c>
      <c r="M33" s="291">
        <f t="shared" si="153"/>
        <v>76416.403445979842</v>
      </c>
      <c r="N33" s="291">
        <f t="shared" si="153"/>
        <v>98464.472713338357</v>
      </c>
      <c r="O33" s="291">
        <f t="shared" si="153"/>
        <v>92820.247439449406</v>
      </c>
      <c r="P33" s="291">
        <f t="shared" si="153"/>
        <v>115878.51859125202</v>
      </c>
      <c r="Q33" s="291">
        <f t="shared" si="153"/>
        <v>64178.344243350926</v>
      </c>
      <c r="R33" s="291">
        <f t="shared" si="153"/>
        <v>102867.21859456625</v>
      </c>
      <c r="S33" s="291">
        <f t="shared" si="153"/>
        <v>225026.10782354834</v>
      </c>
      <c r="T33" s="291">
        <f t="shared" si="153"/>
        <v>332206.05000000005</v>
      </c>
      <c r="U33" s="291">
        <f t="shared" si="153"/>
        <v>326565.43828407576</v>
      </c>
      <c r="V33" s="291">
        <f t="shared" si="153"/>
        <v>357152.1332604558</v>
      </c>
      <c r="W33" s="291">
        <f t="shared" si="153"/>
        <v>233165.34998028661</v>
      </c>
      <c r="X33" s="291">
        <f t="shared" si="153"/>
        <v>242735.19909115109</v>
      </c>
      <c r="Y33" s="291">
        <f t="shared" si="153"/>
        <v>270260.8911173091</v>
      </c>
      <c r="Z33" s="291">
        <f t="shared" si="153"/>
        <v>318931.98735694966</v>
      </c>
      <c r="AA33" s="291">
        <f t="shared" si="153"/>
        <v>278425.9450890508</v>
      </c>
      <c r="AB33" s="291">
        <f t="shared" si="153"/>
        <v>325174.04680208978</v>
      </c>
      <c r="AC33" s="291">
        <f t="shared" si="153"/>
        <v>343158.29248776339</v>
      </c>
      <c r="AD33" s="291">
        <f t="shared" si="153"/>
        <v>457118.03014316031</v>
      </c>
      <c r="AE33" s="291">
        <f t="shared" si="153"/>
        <v>886825.58305134752</v>
      </c>
      <c r="AF33" s="291">
        <f t="shared" si="153"/>
        <v>1197518.2821251666</v>
      </c>
      <c r="AG33" s="291">
        <f t="shared" si="153"/>
        <v>1030275.3853313371</v>
      </c>
      <c r="AH33" s="291">
        <f t="shared" si="153"/>
        <v>1033786.813176945</v>
      </c>
      <c r="AI33" s="291">
        <f t="shared" si="153"/>
        <v>565137.42472021224</v>
      </c>
      <c r="AJ33" s="291">
        <f t="shared" si="153"/>
        <v>515386.54786655982</v>
      </c>
      <c r="AK33" s="291">
        <f t="shared" si="153"/>
        <v>600621.60749234632</v>
      </c>
      <c r="AL33" s="291">
        <f t="shared" si="153"/>
        <v>677840.83886779845</v>
      </c>
      <c r="AM33" s="291">
        <f t="shared" si="153"/>
        <v>590569.34077565547</v>
      </c>
      <c r="AN33" s="291">
        <f t="shared" si="153"/>
        <v>785533.21729427099</v>
      </c>
      <c r="AO33" s="291">
        <f t="shared" si="153"/>
        <v>759722.89069128735</v>
      </c>
      <c r="AP33" s="291">
        <f t="shared" si="153"/>
        <v>730573.86433008127</v>
      </c>
      <c r="AQ33" s="291">
        <f t="shared" si="153"/>
        <v>1701261.2984572235</v>
      </c>
      <c r="AR33" s="291">
        <f t="shared" si="153"/>
        <v>2138329.3142225798</v>
      </c>
      <c r="AS33" s="291">
        <f t="shared" si="153"/>
        <v>1807748.5219926799</v>
      </c>
      <c r="AT33" s="291">
        <f t="shared" si="153"/>
        <v>1650674.4488178033</v>
      </c>
      <c r="AU33" s="291">
        <f t="shared" si="153"/>
        <v>846164.39074269368</v>
      </c>
      <c r="AV33" s="291">
        <f t="shared" si="153"/>
        <v>722912.52035272913</v>
      </c>
      <c r="AW33" s="291">
        <f t="shared" si="153"/>
        <v>787449.04813982907</v>
      </c>
      <c r="AX33" s="291">
        <f t="shared" ref="AX33:AY33" si="154">IF(AX16="","",AX16+(AX$19*(AX25/AX$28)))</f>
        <v>821876.98404895363</v>
      </c>
      <c r="AY33" s="291">
        <f t="shared" si="154"/>
        <v>663143.00246334542</v>
      </c>
      <c r="AZ33" s="291">
        <f t="shared" ref="AZ33" si="155">IF(AZ16="","",AZ16+(AZ$19*(AZ25/AZ$28)))</f>
        <v>717865.1381538827</v>
      </c>
      <c r="BA33" s="291">
        <f t="shared" ref="BA33:BF33" si="156">IF(BA16="","",BA16+(BA$19*(BA25/BA$28)))</f>
        <v>2286.3100000023842</v>
      </c>
      <c r="BB33" s="291">
        <f t="shared" si="156"/>
        <v>1973.3555017490889</v>
      </c>
      <c r="BC33" s="291">
        <f t="shared" si="156"/>
        <v>12223.310000002384</v>
      </c>
      <c r="BD33" s="291">
        <f t="shared" si="156"/>
        <v>22853.179999999702</v>
      </c>
      <c r="BE33" s="291">
        <f t="shared" si="156"/>
        <v>20540.269999999553</v>
      </c>
      <c r="BF33" s="291">
        <f t="shared" si="156"/>
        <v>15022.210000000894</v>
      </c>
      <c r="BG33" s="291">
        <f t="shared" ref="BG33:BH33" si="157">IF(BG16="","",BG16+(BG$19*(BG25/BG$28)))</f>
        <v>6711.089999999851</v>
      </c>
      <c r="BH33" s="291">
        <f t="shared" si="157"/>
        <v>6702.839999999851</v>
      </c>
      <c r="BI33" s="291">
        <f t="shared" ref="BI33:BJ33" si="158">IF(BI16="","",BI16+(BI$19*(BI25/BI$28)))</f>
        <v>8127.0399999991059</v>
      </c>
      <c r="BJ33" s="291">
        <f t="shared" si="158"/>
        <v>8329.3000000007451</v>
      </c>
      <c r="BK33" s="291">
        <f t="shared" ref="BK33:BL33" si="159">IF(BK16="","",BK16+(BK$19*(BK25/BK$28)))</f>
        <v>8800.269999999553</v>
      </c>
      <c r="BL33" s="291">
        <f t="shared" si="159"/>
        <v>10333.070000000298</v>
      </c>
      <c r="BM33" s="291">
        <f t="shared" ref="BM33:BN33" si="160">IF(BM16="","",BM16+(BM$19*(BM25/BM$28)))</f>
        <v>8760.0100000016391</v>
      </c>
      <c r="BN33" s="291">
        <f t="shared" si="160"/>
        <v>11044.909999996424</v>
      </c>
      <c r="BO33" s="291">
        <f t="shared" ref="BO33:BP33" si="161">IF(BO16="","",BO16+(BO$19*(BO25/BO$28)))</f>
        <v>31907.310000002384</v>
      </c>
      <c r="BP33" s="291">
        <f t="shared" si="161"/>
        <v>40946.179999999702</v>
      </c>
      <c r="BQ33" s="291">
        <f t="shared" ref="BQ33:BR33" si="162">IF(BQ16="","",BQ16+(BQ$19*(BQ25/BQ$28)))</f>
        <v>36410.359999999404</v>
      </c>
      <c r="BR33" s="291">
        <f t="shared" si="162"/>
        <v>22318.39999999851</v>
      </c>
      <c r="BS33" s="291">
        <f t="shared" ref="BS33:BT33" si="163">IF(BS16="","",BS16+(BS$19*(BS25/BS$28)))</f>
        <v>8944.2900000028312</v>
      </c>
      <c r="BT33" s="291">
        <f t="shared" si="163"/>
        <v>9312.6499999985099</v>
      </c>
      <c r="BU33" s="291">
        <f t="shared" ref="BU33:BV33" si="164">IF(BU16="","",BU16+(BU$19*(BU25/BU$28)))</f>
        <v>11751.719999998808</v>
      </c>
      <c r="BV33" s="291">
        <f t="shared" si="164"/>
        <v>12005.310000002384</v>
      </c>
      <c r="BW33" s="291">
        <f t="shared" ref="BW33:BX33" si="165">IF(BW16="","",BW16+(BW$19*(BW25/BW$28)))</f>
        <v>10126.529999997467</v>
      </c>
      <c r="BX33" s="291">
        <f t="shared" si="165"/>
        <v>0</v>
      </c>
      <c r="BY33" s="291">
        <f t="shared" ref="BY33:BZ33" si="166">IF(BY16="","",BY16+(BY$19*(BY25/BY$28)))</f>
        <v>0</v>
      </c>
      <c r="BZ33" s="291">
        <f t="shared" si="166"/>
        <v>0</v>
      </c>
      <c r="CA33" s="291">
        <f t="shared" ref="CA33:CB33" si="167">IF(CA16="","",CA16+(CA$19*(CA25/CA$28)))</f>
        <v>0</v>
      </c>
      <c r="CB33" s="291">
        <f t="shared" si="167"/>
        <v>0</v>
      </c>
      <c r="CC33" s="291">
        <f t="shared" ref="CC33:CD33" si="168">IF(CC16="","",CC16+(CC$19*(CC25/CC$28)))</f>
        <v>0</v>
      </c>
      <c r="CD33" s="291">
        <f t="shared" si="168"/>
        <v>0</v>
      </c>
      <c r="CE33" s="291">
        <f t="shared" ref="CE33:CF33" si="169">IF(CE16="","",CE16+(CE$19*(CE25/CE$28)))</f>
        <v>0</v>
      </c>
      <c r="CF33" s="291">
        <f t="shared" si="169"/>
        <v>0</v>
      </c>
      <c r="CG33" s="291">
        <f t="shared" ref="CG33:CH33" si="170">IF(CG16="","",CG16+(CG$19*(CG25/CG$28)))</f>
        <v>0</v>
      </c>
      <c r="CH33" s="291">
        <f t="shared" si="170"/>
        <v>0</v>
      </c>
      <c r="CI33" s="291">
        <f t="shared" ref="CI33:CJ33" si="171">IF(CI16="","",CI16+(CI$19*(CI25/CI$28)))</f>
        <v>0</v>
      </c>
      <c r="CJ33" s="291">
        <f t="shared" si="171"/>
        <v>0</v>
      </c>
      <c r="CK33" s="291">
        <f t="shared" ref="CK33:CL33" si="172">IF(CK16="","",CK16+(CK$19*(CK25/CK$28)))</f>
        <v>0</v>
      </c>
      <c r="CL33" s="291">
        <f t="shared" si="172"/>
        <v>0</v>
      </c>
      <c r="CM33" s="291">
        <f t="shared" ref="CM33:CN33" si="173">IF(CM16="","",CM16+(CM$19*(CM25/CM$28)))</f>
        <v>0</v>
      </c>
      <c r="CN33" s="291">
        <f t="shared" si="173"/>
        <v>0</v>
      </c>
      <c r="CO33" s="291">
        <f t="shared" ref="CO33:CP33" si="174">IF(CO16="","",CO16+(CO$19*(CO25/CO$28)))</f>
        <v>0</v>
      </c>
      <c r="CP33" s="291">
        <f t="shared" si="174"/>
        <v>0</v>
      </c>
      <c r="CQ33" s="291">
        <f t="shared" ref="CQ33:CR33" si="175">IF(CQ16="","",CQ16+(CQ$19*(CQ25/CQ$28)))</f>
        <v>0</v>
      </c>
      <c r="CR33" s="291">
        <f t="shared" si="175"/>
        <v>0</v>
      </c>
      <c r="CS33" s="291">
        <f t="shared" ref="CS33:CT33" si="176">IF(CS16="","",CS16+(CS$19*(CS25/CS$28)))</f>
        <v>0</v>
      </c>
      <c r="CT33" s="291">
        <f t="shared" si="176"/>
        <v>0</v>
      </c>
    </row>
    <row r="34" spans="1:98" x14ac:dyDescent="0.25">
      <c r="A34" t="s">
        <v>36</v>
      </c>
      <c r="B34" s="37"/>
      <c r="C34" s="37"/>
      <c r="D34" s="291">
        <f>D17+(D$19*(D26/D$28))</f>
        <v>0</v>
      </c>
      <c r="E34" s="291">
        <f t="shared" si="102"/>
        <v>0</v>
      </c>
      <c r="F34" s="291">
        <f t="shared" si="102"/>
        <v>0</v>
      </c>
      <c r="G34" s="291">
        <f t="shared" ref="G34:AW34" si="177">IF(G17="","",G17+(G$19*(G26/G$28)))</f>
        <v>526.23</v>
      </c>
      <c r="H34" s="291">
        <f t="shared" si="177"/>
        <v>1707.2399999999998</v>
      </c>
      <c r="I34" s="291">
        <f t="shared" si="177"/>
        <v>2230.0207254609436</v>
      </c>
      <c r="J34" s="291">
        <f t="shared" si="177"/>
        <v>4794.6581417484167</v>
      </c>
      <c r="K34" s="291">
        <f t="shared" si="177"/>
        <v>4373.862445788076</v>
      </c>
      <c r="L34" s="291">
        <f t="shared" si="177"/>
        <v>7453.242982336099</v>
      </c>
      <c r="M34" s="291">
        <f t="shared" si="177"/>
        <v>18084.577784318448</v>
      </c>
      <c r="N34" s="291">
        <f t="shared" si="177"/>
        <v>27963.810761260709</v>
      </c>
      <c r="O34" s="291">
        <f t="shared" si="177"/>
        <v>24456.059952649921</v>
      </c>
      <c r="P34" s="291">
        <f t="shared" si="177"/>
        <v>29615.310672687767</v>
      </c>
      <c r="Q34" s="291">
        <f t="shared" si="177"/>
        <v>12166.436689655247</v>
      </c>
      <c r="R34" s="291">
        <f t="shared" si="177"/>
        <v>28108.084360485296</v>
      </c>
      <c r="S34" s="291">
        <f t="shared" si="177"/>
        <v>128148.15141495112</v>
      </c>
      <c r="T34" s="291">
        <f t="shared" si="177"/>
        <v>175689.74</v>
      </c>
      <c r="U34" s="291">
        <f t="shared" si="177"/>
        <v>218402.52810095585</v>
      </c>
      <c r="V34" s="291">
        <f t="shared" si="177"/>
        <v>205067.89849978662</v>
      </c>
      <c r="W34" s="291">
        <f t="shared" si="177"/>
        <v>101187.08297273742</v>
      </c>
      <c r="X34" s="291">
        <f t="shared" si="177"/>
        <v>97773.438006020719</v>
      </c>
      <c r="Y34" s="291">
        <f t="shared" si="177"/>
        <v>113746.10309897989</v>
      </c>
      <c r="Z34" s="291">
        <f t="shared" si="177"/>
        <v>131796.02801249109</v>
      </c>
      <c r="AA34" s="291">
        <f t="shared" si="177"/>
        <v>116090.38160247794</v>
      </c>
      <c r="AB34" s="291">
        <f t="shared" si="177"/>
        <v>132068.16497570253</v>
      </c>
      <c r="AC34" s="291">
        <f t="shared" si="177"/>
        <v>133321.08677453059</v>
      </c>
      <c r="AD34" s="291">
        <f t="shared" si="177"/>
        <v>180104.81791441111</v>
      </c>
      <c r="AE34" s="291">
        <f t="shared" si="177"/>
        <v>422991.61425343697</v>
      </c>
      <c r="AF34" s="291">
        <f t="shared" si="177"/>
        <v>543609.86073367961</v>
      </c>
      <c r="AG34" s="291">
        <f t="shared" si="177"/>
        <v>486263.01132460969</v>
      </c>
      <c r="AH34" s="291">
        <f t="shared" si="177"/>
        <v>414107.44556621916</v>
      </c>
      <c r="AI34" s="291">
        <f t="shared" si="177"/>
        <v>207208.35422995902</v>
      </c>
      <c r="AJ34" s="291">
        <f t="shared" si="177"/>
        <v>191307.18426831797</v>
      </c>
      <c r="AK34" s="291">
        <f t="shared" si="177"/>
        <v>223825.29632810416</v>
      </c>
      <c r="AL34" s="291">
        <f t="shared" si="177"/>
        <v>251714.86075436554</v>
      </c>
      <c r="AM34" s="291">
        <f t="shared" si="177"/>
        <v>220841.99668727524</v>
      </c>
      <c r="AN34" s="291">
        <f t="shared" si="177"/>
        <v>305651.11265488941</v>
      </c>
      <c r="AO34" s="291">
        <f t="shared" si="177"/>
        <v>284274.24631552736</v>
      </c>
      <c r="AP34" s="291">
        <f t="shared" si="177"/>
        <v>294781.80288519792</v>
      </c>
      <c r="AQ34" s="291">
        <f t="shared" si="177"/>
        <v>791914.33120203775</v>
      </c>
      <c r="AR34" s="291">
        <f t="shared" si="177"/>
        <v>978344.05317777325</v>
      </c>
      <c r="AS34" s="291">
        <f t="shared" si="177"/>
        <v>874777.66117086785</v>
      </c>
      <c r="AT34" s="291">
        <f t="shared" si="177"/>
        <v>686805.48036969628</v>
      </c>
      <c r="AU34" s="291">
        <f t="shared" si="177"/>
        <v>321802.45107933023</v>
      </c>
      <c r="AV34" s="291">
        <f t="shared" si="177"/>
        <v>280028.89151037188</v>
      </c>
      <c r="AW34" s="291">
        <f t="shared" si="177"/>
        <v>274144.21732121875</v>
      </c>
      <c r="AX34" s="291">
        <f t="shared" ref="AX34:AY34" si="178">IF(AX17="","",AX17+(AX$19*(AX26/AX$28)))</f>
        <v>303711.11912158254</v>
      </c>
      <c r="AY34" s="291">
        <f t="shared" si="178"/>
        <v>251998.46611210689</v>
      </c>
      <c r="AZ34" s="291">
        <f t="shared" ref="AZ34:BA34" si="179">IF(AZ17="","",AZ17+(AZ$19*(AZ26/AZ$28)))</f>
        <v>276069.3565741299</v>
      </c>
      <c r="BA34" s="291">
        <f t="shared" si="179"/>
        <v>0</v>
      </c>
      <c r="BB34" s="291">
        <f t="shared" ref="BB34:BC34" si="180">IF(BB17="","",BB17+(BB$19*(BB26/BB$28)))</f>
        <v>-315.01218360235936</v>
      </c>
      <c r="BC34" s="291">
        <f t="shared" si="180"/>
        <v>0</v>
      </c>
      <c r="BD34" s="291">
        <f t="shared" ref="BD34:BE34" si="181">IF(BD17="","",BD17+(BD$19*(BD26/BD$28)))</f>
        <v>0</v>
      </c>
      <c r="BE34" s="291">
        <f t="shared" si="181"/>
        <v>16813.580000000075</v>
      </c>
      <c r="BF34" s="291">
        <f t="shared" ref="BF34:BG34" si="182">IF(BF17="","",BF17+(BF$19*(BF26/BF$28)))</f>
        <v>19387.400000000373</v>
      </c>
      <c r="BG34" s="291">
        <f t="shared" si="182"/>
        <v>6785.070000000298</v>
      </c>
      <c r="BH34" s="291">
        <f t="shared" ref="BH34:BI34" si="183">IF(BH17="","",BH17+(BH$19*(BH26/BH$28)))</f>
        <v>6167.2299999985844</v>
      </c>
      <c r="BI34" s="291">
        <f t="shared" si="183"/>
        <v>9586.9900000002235</v>
      </c>
      <c r="BJ34" s="291">
        <f t="shared" ref="BJ34:BK34" si="184">IF(BJ17="","",BJ17+(BJ$19*(BJ26/BJ$28)))</f>
        <v>12497.580000000075</v>
      </c>
      <c r="BK34" s="291">
        <f t="shared" si="184"/>
        <v>10043.310000000522</v>
      </c>
      <c r="BL34" s="291">
        <f t="shared" ref="BL34:BM34" si="185">IF(BL17="","",BL17+(BL$19*(BL26/BL$28)))</f>
        <v>10496.050000000745</v>
      </c>
      <c r="BM34" s="291">
        <f t="shared" si="185"/>
        <v>9775.9599999990314</v>
      </c>
      <c r="BN34" s="291">
        <f t="shared" ref="BN34:BO34" si="186">IF(BN17="","",BN17+(BN$19*(BN26/BN$28)))</f>
        <v>13527.650000000373</v>
      </c>
      <c r="BO34" s="291">
        <f t="shared" si="186"/>
        <v>36494.849999999627</v>
      </c>
      <c r="BP34" s="291">
        <f t="shared" ref="BP34:BQ34" si="187">IF(BP17="","",BP17+(BP$19*(BP26/BP$28)))</f>
        <v>47679.970000000671</v>
      </c>
      <c r="BQ34" s="291">
        <f t="shared" si="187"/>
        <v>45288.439999999478</v>
      </c>
      <c r="BR34" s="291">
        <f t="shared" ref="BR34:BS34" si="188">IF(BR17="","",BR17+(BR$19*(BR26/BR$28)))</f>
        <v>29486.400000000373</v>
      </c>
      <c r="BS34" s="291">
        <f t="shared" si="188"/>
        <v>11833.289999999106</v>
      </c>
      <c r="BT34" s="291">
        <f t="shared" ref="BT34:BU34" si="189">IF(BT17="","",BT17+(BT$19*(BT26/BT$28)))</f>
        <v>10374.580000000075</v>
      </c>
      <c r="BU34" s="291">
        <f t="shared" si="189"/>
        <v>12057.450000001118</v>
      </c>
      <c r="BV34" s="291">
        <f t="shared" ref="BV34:BW34" si="190">IF(BV17="","",BV17+(BV$19*(BV26/BV$28)))</f>
        <v>12824.789999999106</v>
      </c>
      <c r="BW34" s="291">
        <f t="shared" si="190"/>
        <v>10330.179999999702</v>
      </c>
      <c r="BX34" s="291">
        <f t="shared" ref="BX34:BY34" si="191">IF(BX17="","",BX17+(BX$19*(BX26/BX$28)))</f>
        <v>0</v>
      </c>
      <c r="BY34" s="291">
        <f t="shared" si="191"/>
        <v>0</v>
      </c>
      <c r="BZ34" s="291">
        <f t="shared" ref="BZ34:CA34" si="192">IF(BZ17="","",BZ17+(BZ$19*(BZ26/BZ$28)))</f>
        <v>0</v>
      </c>
      <c r="CA34" s="291">
        <f t="shared" si="192"/>
        <v>0</v>
      </c>
      <c r="CB34" s="291">
        <f t="shared" ref="CB34:CC34" si="193">IF(CB17="","",CB17+(CB$19*(CB26/CB$28)))</f>
        <v>0</v>
      </c>
      <c r="CC34" s="291">
        <f t="shared" si="193"/>
        <v>0</v>
      </c>
      <c r="CD34" s="291">
        <f t="shared" ref="CD34:CE34" si="194">IF(CD17="","",CD17+(CD$19*(CD26/CD$28)))</f>
        <v>0</v>
      </c>
      <c r="CE34" s="291">
        <f t="shared" si="194"/>
        <v>0</v>
      </c>
      <c r="CF34" s="291">
        <f t="shared" ref="CF34:CG34" si="195">IF(CF17="","",CF17+(CF$19*(CF26/CF$28)))</f>
        <v>0</v>
      </c>
      <c r="CG34" s="291">
        <f t="shared" si="195"/>
        <v>0</v>
      </c>
      <c r="CH34" s="291">
        <f t="shared" ref="CH34:CI34" si="196">IF(CH17="","",CH17+(CH$19*(CH26/CH$28)))</f>
        <v>0</v>
      </c>
      <c r="CI34" s="291">
        <f t="shared" si="196"/>
        <v>0</v>
      </c>
      <c r="CJ34" s="291">
        <f t="shared" ref="CJ34:CK34" si="197">IF(CJ17="","",CJ17+(CJ$19*(CJ26/CJ$28)))</f>
        <v>0</v>
      </c>
      <c r="CK34" s="291">
        <f t="shared" si="197"/>
        <v>0</v>
      </c>
      <c r="CL34" s="291">
        <f t="shared" ref="CL34:CM34" si="198">IF(CL17="","",CL17+(CL$19*(CL26/CL$28)))</f>
        <v>0</v>
      </c>
      <c r="CM34" s="291">
        <f t="shared" si="198"/>
        <v>0</v>
      </c>
      <c r="CN34" s="291">
        <f t="shared" ref="CN34:CO34" si="199">IF(CN17="","",CN17+(CN$19*(CN26/CN$28)))</f>
        <v>0</v>
      </c>
      <c r="CO34" s="291">
        <f t="shared" si="199"/>
        <v>0</v>
      </c>
      <c r="CP34" s="291">
        <f t="shared" ref="CP34:CQ34" si="200">IF(CP17="","",CP17+(CP$19*(CP26/CP$28)))</f>
        <v>0</v>
      </c>
      <c r="CQ34" s="291">
        <f t="shared" si="200"/>
        <v>0</v>
      </c>
      <c r="CR34" s="291">
        <f t="shared" ref="CR34:CS34" si="201">IF(CR17="","",CR17+(CR$19*(CR26/CR$28)))</f>
        <v>0</v>
      </c>
      <c r="CS34" s="291">
        <f t="shared" si="201"/>
        <v>0</v>
      </c>
      <c r="CT34" s="291">
        <f t="shared" ref="CT34" si="202">IF(CT17="","",CT17+(CT$19*(CT26/CT$28)))</f>
        <v>0</v>
      </c>
    </row>
    <row r="35" spans="1:98" x14ac:dyDescent="0.25">
      <c r="A35" t="s">
        <v>37</v>
      </c>
      <c r="B35" s="37"/>
      <c r="C35" s="37"/>
      <c r="D35" s="291">
        <f>D18+(D$19*(D27/D$28))</f>
        <v>0</v>
      </c>
      <c r="E35" s="291">
        <f t="shared" si="102"/>
        <v>0</v>
      </c>
      <c r="F35" s="291">
        <f t="shared" si="102"/>
        <v>0</v>
      </c>
      <c r="G35" s="291">
        <f t="shared" ref="G35:AW35" si="203">IF(G18="","",G18+(G$19*(G27/G$28)))</f>
        <v>0</v>
      </c>
      <c r="H35" s="291">
        <f t="shared" si="203"/>
        <v>360.22</v>
      </c>
      <c r="I35" s="291">
        <f t="shared" si="203"/>
        <v>1356.5027975457876</v>
      </c>
      <c r="J35" s="291">
        <f t="shared" si="203"/>
        <v>2255.3712414377201</v>
      </c>
      <c r="K35" s="291">
        <f t="shared" si="203"/>
        <v>1897.7199413483188</v>
      </c>
      <c r="L35" s="291">
        <f t="shared" si="203"/>
        <v>2405.4668833960245</v>
      </c>
      <c r="M35" s="291">
        <f t="shared" si="203"/>
        <v>3262.8984825339485</v>
      </c>
      <c r="N35" s="291">
        <f t="shared" si="203"/>
        <v>5909.4833335993335</v>
      </c>
      <c r="O35" s="291">
        <f t="shared" si="203"/>
        <v>6425.014731291647</v>
      </c>
      <c r="P35" s="291">
        <f t="shared" si="203"/>
        <v>9106.0133494287093</v>
      </c>
      <c r="Q35" s="291">
        <f t="shared" si="203"/>
        <v>8390.7638449238184</v>
      </c>
      <c r="R35" s="291">
        <f t="shared" si="203"/>
        <v>10997.379437607351</v>
      </c>
      <c r="S35" s="291">
        <f t="shared" si="203"/>
        <v>20856.094406634937</v>
      </c>
      <c r="T35" s="291">
        <f t="shared" si="203"/>
        <v>29338.039999999994</v>
      </c>
      <c r="U35" s="291">
        <f t="shared" si="203"/>
        <v>27923.370923640025</v>
      </c>
      <c r="V35" s="291">
        <f t="shared" si="203"/>
        <v>26983.721535135461</v>
      </c>
      <c r="W35" s="291">
        <f t="shared" si="203"/>
        <v>19471.188276380515</v>
      </c>
      <c r="X35" s="291">
        <f t="shared" si="203"/>
        <v>18971.478034215677</v>
      </c>
      <c r="Y35" s="291">
        <f t="shared" si="203"/>
        <v>20838.032820297231</v>
      </c>
      <c r="Z35" s="291">
        <f t="shared" si="203"/>
        <v>24107.448446951264</v>
      </c>
      <c r="AA35" s="291">
        <f t="shared" si="203"/>
        <v>21893.062382864882</v>
      </c>
      <c r="AB35" s="291">
        <f t="shared" si="203"/>
        <v>24080.232432507251</v>
      </c>
      <c r="AC35" s="291">
        <f t="shared" si="203"/>
        <v>25697.334922102909</v>
      </c>
      <c r="AD35" s="291">
        <f t="shared" si="203"/>
        <v>34703.027598888038</v>
      </c>
      <c r="AE35" s="291">
        <f t="shared" si="203"/>
        <v>75519.476357307751</v>
      </c>
      <c r="AF35" s="291">
        <f t="shared" si="203"/>
        <v>100273.42685716876</v>
      </c>
      <c r="AG35" s="291">
        <f t="shared" si="203"/>
        <v>85499.508585205374</v>
      </c>
      <c r="AH35" s="291">
        <f t="shared" si="203"/>
        <v>69397.820475524379</v>
      </c>
      <c r="AI35" s="291">
        <f t="shared" si="203"/>
        <v>37821.144416831085</v>
      </c>
      <c r="AJ35" s="291">
        <f t="shared" si="203"/>
        <v>35865.098177838852</v>
      </c>
      <c r="AK35" s="291">
        <f t="shared" si="203"/>
        <v>42905.24501769265</v>
      </c>
      <c r="AL35" s="291">
        <f t="shared" si="203"/>
        <v>48941.253195931422</v>
      </c>
      <c r="AM35" s="291">
        <f t="shared" si="203"/>
        <v>45736.205779424003</v>
      </c>
      <c r="AN35" s="291">
        <f t="shared" si="203"/>
        <v>61794.995083764363</v>
      </c>
      <c r="AO35" s="291">
        <f t="shared" si="203"/>
        <v>56159.323619014431</v>
      </c>
      <c r="AP35" s="291">
        <f t="shared" si="203"/>
        <v>66116.096564999927</v>
      </c>
      <c r="AQ35" s="291">
        <f t="shared" si="203"/>
        <v>196336.18137657503</v>
      </c>
      <c r="AR35" s="291">
        <f t="shared" si="203"/>
        <v>261767.5472645007</v>
      </c>
      <c r="AS35" s="291">
        <f t="shared" si="203"/>
        <v>232206.9863998002</v>
      </c>
      <c r="AT35" s="291">
        <f t="shared" si="203"/>
        <v>149701.48799265211</v>
      </c>
      <c r="AU35" s="291">
        <f t="shared" si="203"/>
        <v>63981.67593600769</v>
      </c>
      <c r="AV35" s="291">
        <f t="shared" si="203"/>
        <v>56131.256299554763</v>
      </c>
      <c r="AW35" s="291">
        <f t="shared" si="203"/>
        <v>57173.072833048078</v>
      </c>
      <c r="AX35" s="291">
        <f t="shared" ref="AX35:AY35" si="204">IF(AX18="","",AX18+(AX$19*(AX27/AX$28)))</f>
        <v>61251.937727286851</v>
      </c>
      <c r="AY35" s="291">
        <f t="shared" si="204"/>
        <v>54765.460012100484</v>
      </c>
      <c r="AZ35" s="291">
        <f t="shared" ref="AZ35:BA35" si="205">IF(AZ18="","",AZ18+(AZ$19*(AZ27/AZ$28)))</f>
        <v>55225.416517369085</v>
      </c>
      <c r="BA35" s="291">
        <f t="shared" si="205"/>
        <v>0</v>
      </c>
      <c r="BB35" s="291">
        <f t="shared" ref="BB35:BC35" si="206">IF(BB18="","",BB18+(BB$19*(BB27/BB$28)))</f>
        <v>-142.24679364857641</v>
      </c>
      <c r="BC35" s="291">
        <f t="shared" si="206"/>
        <v>0</v>
      </c>
      <c r="BD35" s="291">
        <f t="shared" ref="BD35:BE35" si="207">IF(BD18="","",BD18+(BD$19*(BD27/BD$28)))</f>
        <v>0</v>
      </c>
      <c r="BE35" s="291">
        <f t="shared" si="207"/>
        <v>0</v>
      </c>
      <c r="BF35" s="291">
        <f t="shared" ref="BF35:BG35" si="208">IF(BF18="","",BF18+(BF$19*(BF27/BF$28)))</f>
        <v>0</v>
      </c>
      <c r="BG35" s="291">
        <f t="shared" si="208"/>
        <v>0</v>
      </c>
      <c r="BH35" s="291">
        <f t="shared" ref="BH35:BI35" si="209">IF(BH18="","",BH18+(BH$19*(BH27/BH$28)))</f>
        <v>0</v>
      </c>
      <c r="BI35" s="291">
        <f t="shared" si="209"/>
        <v>0</v>
      </c>
      <c r="BJ35" s="291">
        <f t="shared" ref="BJ35:BK35" si="210">IF(BJ18="","",BJ18+(BJ$19*(BJ27/BJ$28)))</f>
        <v>0</v>
      </c>
      <c r="BK35" s="291">
        <f t="shared" si="210"/>
        <v>0</v>
      </c>
      <c r="BL35" s="291">
        <f t="shared" ref="BL35:BM35" si="211">IF(BL18="","",BL18+(BL$19*(BL27/BL$28)))</f>
        <v>0</v>
      </c>
      <c r="BM35" s="291">
        <f t="shared" si="211"/>
        <v>0</v>
      </c>
      <c r="BN35" s="291">
        <f t="shared" ref="BN35:BS35" si="212">IF(BN18="","",BN18+(BN$19*(BN27/BN$28)))</f>
        <v>0</v>
      </c>
      <c r="BO35" s="291">
        <f t="shared" si="212"/>
        <v>0</v>
      </c>
      <c r="BP35" s="291">
        <f t="shared" si="212"/>
        <v>0</v>
      </c>
      <c r="BQ35" s="291">
        <f t="shared" si="212"/>
        <v>-101.14999999990687</v>
      </c>
      <c r="BR35" s="291">
        <f t="shared" si="212"/>
        <v>-108.16000000014901</v>
      </c>
      <c r="BS35" s="291">
        <f t="shared" si="212"/>
        <v>-67.520000000018626</v>
      </c>
      <c r="BT35" s="291">
        <f t="shared" ref="BT35:BU35" si="213">IF(BT18="","",BT18+(BT$19*(BT27/BT$28)))</f>
        <v>-54.189999999944121</v>
      </c>
      <c r="BU35" s="291">
        <f t="shared" si="213"/>
        <v>-56.580000000074506</v>
      </c>
      <c r="BV35" s="291">
        <f t="shared" ref="BV35:BW35" si="214">IF(BV18="","",BV18+(BV$19*(BV27/BV$28)))</f>
        <v>-61.179999999701977</v>
      </c>
      <c r="BW35" s="291">
        <f t="shared" si="214"/>
        <v>-51.470000000204891</v>
      </c>
      <c r="BX35" s="291">
        <f t="shared" ref="BX35:BY35" si="215">IF(BX18="","",BX18+(BX$19*(BX27/BX$28)))</f>
        <v>0</v>
      </c>
      <c r="BY35" s="291">
        <f t="shared" si="215"/>
        <v>0</v>
      </c>
      <c r="BZ35" s="291">
        <f t="shared" ref="BZ35:CA35" si="216">IF(BZ18="","",BZ18+(BZ$19*(BZ27/BZ$28)))</f>
        <v>0</v>
      </c>
      <c r="CA35" s="291">
        <f t="shared" si="216"/>
        <v>0</v>
      </c>
      <c r="CB35" s="291">
        <f t="shared" ref="CB35:CC35" si="217">IF(CB18="","",CB18+(CB$19*(CB27/CB$28)))</f>
        <v>0</v>
      </c>
      <c r="CC35" s="291">
        <f t="shared" si="217"/>
        <v>0</v>
      </c>
      <c r="CD35" s="291">
        <f t="shared" ref="CD35:CE35" si="218">IF(CD18="","",CD18+(CD$19*(CD27/CD$28)))</f>
        <v>0</v>
      </c>
      <c r="CE35" s="291">
        <f t="shared" si="218"/>
        <v>0</v>
      </c>
      <c r="CF35" s="291">
        <f t="shared" ref="CF35:CG35" si="219">IF(CF18="","",CF18+(CF$19*(CF27/CF$28)))</f>
        <v>0</v>
      </c>
      <c r="CG35" s="291">
        <f t="shared" si="219"/>
        <v>0</v>
      </c>
      <c r="CH35" s="291">
        <f t="shared" ref="CH35:CI35" si="220">IF(CH18="","",CH18+(CH$19*(CH27/CH$28)))</f>
        <v>0</v>
      </c>
      <c r="CI35" s="291">
        <f t="shared" si="220"/>
        <v>0</v>
      </c>
      <c r="CJ35" s="291">
        <f t="shared" ref="CJ35:CK35" si="221">IF(CJ18="","",CJ18+(CJ$19*(CJ27/CJ$28)))</f>
        <v>0</v>
      </c>
      <c r="CK35" s="291">
        <f t="shared" si="221"/>
        <v>0</v>
      </c>
      <c r="CL35" s="291">
        <f t="shared" ref="CL35:CM35" si="222">IF(CL18="","",CL18+(CL$19*(CL27/CL$28)))</f>
        <v>0</v>
      </c>
      <c r="CM35" s="291">
        <f t="shared" si="222"/>
        <v>0</v>
      </c>
      <c r="CN35" s="291">
        <f t="shared" ref="CN35:CO35" si="223">IF(CN18="","",CN18+(CN$19*(CN27/CN$28)))</f>
        <v>0</v>
      </c>
      <c r="CO35" s="291">
        <f t="shared" si="223"/>
        <v>0</v>
      </c>
      <c r="CP35" s="291">
        <f t="shared" ref="CP35:CQ35" si="224">IF(CP18="","",CP18+(CP$19*(CP27/CP$28)))</f>
        <v>0</v>
      </c>
      <c r="CQ35" s="291">
        <f t="shared" si="224"/>
        <v>0</v>
      </c>
      <c r="CR35" s="291">
        <f t="shared" ref="CR35:CS35" si="225">IF(CR18="","",CR18+(CR$19*(CR27/CR$28)))</f>
        <v>0</v>
      </c>
      <c r="CS35" s="291">
        <f t="shared" si="225"/>
        <v>0</v>
      </c>
      <c r="CT35" s="291">
        <f t="shared" ref="CT35" si="226">IF(CT18="","",CT18+(CT$19*(CT27/CT$28)))</f>
        <v>0</v>
      </c>
    </row>
    <row r="36" spans="1:98" x14ac:dyDescent="0.25">
      <c r="A36" s="33" t="s">
        <v>31</v>
      </c>
      <c r="B36" s="31"/>
      <c r="C36" s="31"/>
      <c r="D36" s="44">
        <f>SUM(D31:D35)</f>
        <v>0</v>
      </c>
      <c r="E36" s="44">
        <f t="shared" ref="E36:AW36" si="227">SUM(E31:E35)</f>
        <v>1328.78</v>
      </c>
      <c r="F36" s="44">
        <f t="shared" si="227"/>
        <v>9526.5299999999988</v>
      </c>
      <c r="G36" s="44">
        <f t="shared" si="227"/>
        <v>131900.43000000002</v>
      </c>
      <c r="H36" s="44">
        <f t="shared" si="227"/>
        <v>295999.55</v>
      </c>
      <c r="I36" s="44">
        <f t="shared" si="227"/>
        <v>425553.79999999993</v>
      </c>
      <c r="J36" s="44">
        <f t="shared" si="227"/>
        <v>758519.65</v>
      </c>
      <c r="K36" s="44">
        <f t="shared" si="227"/>
        <v>199350.73000000016</v>
      </c>
      <c r="L36" s="44">
        <f t="shared" si="227"/>
        <v>279108.34999999986</v>
      </c>
      <c r="M36" s="44">
        <f t="shared" si="227"/>
        <v>438307.65000000008</v>
      </c>
      <c r="N36" s="44">
        <f t="shared" si="227"/>
        <v>509660.87999999995</v>
      </c>
      <c r="O36" s="44">
        <f t="shared" si="227"/>
        <v>486201.49000000022</v>
      </c>
      <c r="P36" s="44">
        <f t="shared" si="227"/>
        <v>514839.35999999993</v>
      </c>
      <c r="Q36" s="44">
        <f t="shared" si="227"/>
        <v>312695.84999999963</v>
      </c>
      <c r="R36" s="44">
        <f t="shared" si="227"/>
        <v>392474.24999999983</v>
      </c>
      <c r="S36" s="44">
        <f t="shared" si="227"/>
        <v>1348848.3600000006</v>
      </c>
      <c r="T36" s="44">
        <f t="shared" si="227"/>
        <v>1958770.0699999998</v>
      </c>
      <c r="U36" s="44">
        <f t="shared" si="227"/>
        <v>2119352.19</v>
      </c>
      <c r="V36" s="44">
        <f t="shared" si="227"/>
        <v>1653005.4399999997</v>
      </c>
      <c r="W36" s="44">
        <f t="shared" si="227"/>
        <v>750637.88000000047</v>
      </c>
      <c r="X36" s="44">
        <f t="shared" si="227"/>
        <v>825052.10999999894</v>
      </c>
      <c r="Y36" s="44">
        <f t="shared" si="227"/>
        <v>1097101.9800000007</v>
      </c>
      <c r="Z36" s="44">
        <f t="shared" si="227"/>
        <v>1233427.4099999992</v>
      </c>
      <c r="AA36" s="44">
        <f t="shared" si="227"/>
        <v>1062738.58</v>
      </c>
      <c r="AB36" s="44">
        <f t="shared" si="227"/>
        <v>1116457.6900000016</v>
      </c>
      <c r="AC36" s="44">
        <f t="shared" si="227"/>
        <v>959793.47999999963</v>
      </c>
      <c r="AD36" s="44">
        <f t="shared" si="227"/>
        <v>1424231.0999999996</v>
      </c>
      <c r="AE36" s="44">
        <f t="shared" si="227"/>
        <v>3804569.2400000021</v>
      </c>
      <c r="AF36" s="44">
        <f t="shared" si="227"/>
        <v>5112749.5900000017</v>
      </c>
      <c r="AG36" s="44">
        <f t="shared" si="227"/>
        <v>4713867.5500000026</v>
      </c>
      <c r="AH36" s="44">
        <f t="shared" si="227"/>
        <v>3598339.959999999</v>
      </c>
      <c r="AI36" s="44">
        <f t="shared" si="227"/>
        <v>1714525.5399999977</v>
      </c>
      <c r="AJ36" s="44">
        <f t="shared" si="227"/>
        <v>1571421.2499999981</v>
      </c>
      <c r="AK36" s="44">
        <f t="shared" si="227"/>
        <v>1919519.93</v>
      </c>
      <c r="AL36" s="44">
        <f t="shared" si="227"/>
        <v>2060434.7699999972</v>
      </c>
      <c r="AM36" s="44">
        <f t="shared" si="227"/>
        <v>1799627.3200000026</v>
      </c>
      <c r="AN36" s="44">
        <f t="shared" si="227"/>
        <v>2312591.7700000047</v>
      </c>
      <c r="AO36" s="44">
        <f t="shared" si="227"/>
        <v>2109913.9999999995</v>
      </c>
      <c r="AP36" s="44">
        <f t="shared" si="227"/>
        <v>1887985.9599999983</v>
      </c>
      <c r="AQ36" s="44">
        <f t="shared" si="227"/>
        <v>6123794.6400000006</v>
      </c>
      <c r="AR36" s="44">
        <f t="shared" si="227"/>
        <v>7375311.7899999972</v>
      </c>
      <c r="AS36" s="44">
        <f t="shared" si="227"/>
        <v>6969272.2200000025</v>
      </c>
      <c r="AT36" s="44">
        <f t="shared" si="227"/>
        <v>5125287.4899999984</v>
      </c>
      <c r="AU36" s="44">
        <f t="shared" si="227"/>
        <v>2223308.9999999986</v>
      </c>
      <c r="AV36" s="44">
        <f t="shared" si="227"/>
        <v>2078395.7300000025</v>
      </c>
      <c r="AW36" s="44">
        <f t="shared" si="227"/>
        <v>2228734.6799999992</v>
      </c>
      <c r="AX36" s="44">
        <f t="shared" ref="AX36:AY36" si="228">SUM(AX31:AX35)</f>
        <v>2369847.9500000002</v>
      </c>
      <c r="AY36" s="44">
        <f t="shared" si="228"/>
        <v>217555.38999999891</v>
      </c>
      <c r="AZ36" s="44">
        <f t="shared" ref="AZ36:BA36" si="229">SUM(AZ31:AZ35)</f>
        <v>1940172.8499999968</v>
      </c>
      <c r="BA36" s="44">
        <f t="shared" si="229"/>
        <v>2286.3100000023842</v>
      </c>
      <c r="BB36" s="44">
        <f t="shared" ref="BB36:BC36" si="230">SUM(BB31:BB35)</f>
        <v>33.38999999733656</v>
      </c>
      <c r="BC36" s="44">
        <f t="shared" si="230"/>
        <v>12223.310000002384</v>
      </c>
      <c r="BD36" s="44">
        <f t="shared" ref="BD36:BE36" si="231">SUM(BD31:BD35)</f>
        <v>22853.179999999702</v>
      </c>
      <c r="BE36" s="44">
        <f t="shared" si="231"/>
        <v>37353.849999999627</v>
      </c>
      <c r="BF36" s="44">
        <f t="shared" ref="BF36:BG36" si="232">SUM(BF31:BF35)</f>
        <v>34409.610000001267</v>
      </c>
      <c r="BG36" s="44">
        <f t="shared" si="232"/>
        <v>13496.160000000149</v>
      </c>
      <c r="BH36" s="44">
        <f t="shared" ref="BH36:BI36" si="233">SUM(BH31:BH35)</f>
        <v>12870.069999998435</v>
      </c>
      <c r="BI36" s="44">
        <f t="shared" si="233"/>
        <v>17714.029999999329</v>
      </c>
      <c r="BJ36" s="44">
        <f t="shared" ref="BJ36:BK36" si="234">SUM(BJ31:BJ35)</f>
        <v>20826.88000000082</v>
      </c>
      <c r="BK36" s="44">
        <f t="shared" si="234"/>
        <v>19099.220000000671</v>
      </c>
      <c r="BL36" s="44">
        <f t="shared" ref="BL36:BM36" si="235">SUM(BL31:BL35)</f>
        <v>21421.460000000894</v>
      </c>
      <c r="BM36" s="44">
        <f t="shared" si="235"/>
        <v>19168.38000000082</v>
      </c>
      <c r="BN36" s="44">
        <f t="shared" ref="BN36:BO36" si="236">SUM(BN31:BN35)</f>
        <v>25465.089999996126</v>
      </c>
      <c r="BO36" s="44">
        <f t="shared" si="236"/>
        <v>70360.550000002608</v>
      </c>
      <c r="BP36" s="44">
        <f t="shared" ref="BP36:BQ36" si="237">SUM(BP31:BP35)</f>
        <v>91202.140000000596</v>
      </c>
      <c r="BQ36" s="44">
        <f t="shared" si="237"/>
        <v>84499.239999998827</v>
      </c>
      <c r="BR36" s="44">
        <f t="shared" ref="BR36:BS36" si="238">SUM(BR31:BR35)</f>
        <v>53951.849999999627</v>
      </c>
      <c r="BS36" s="44">
        <f t="shared" si="238"/>
        <v>21911.110000000801</v>
      </c>
      <c r="BT36" s="44">
        <f t="shared" ref="BT36:BU36" si="239">SUM(BT31:BT35)</f>
        <v>20626.079999999609</v>
      </c>
      <c r="BU36" s="44">
        <f t="shared" si="239"/>
        <v>24775.299999998882</v>
      </c>
      <c r="BV36" s="44">
        <f t="shared" ref="BV36:BW36" si="240">SUM(BV31:BV35)</f>
        <v>25830.020000001416</v>
      </c>
      <c r="BW36" s="44">
        <f t="shared" si="240"/>
        <v>21223.889999997336</v>
      </c>
      <c r="BX36" s="44">
        <f t="shared" ref="BX36:BY36" si="241">SUM(BX31:BX35)</f>
        <v>0</v>
      </c>
      <c r="BY36" s="44">
        <f t="shared" si="241"/>
        <v>0</v>
      </c>
      <c r="BZ36" s="44">
        <f t="shared" ref="BZ36:CA36" si="242">SUM(BZ31:BZ35)</f>
        <v>0</v>
      </c>
      <c r="CA36" s="44">
        <f t="shared" si="242"/>
        <v>0</v>
      </c>
      <c r="CB36" s="44">
        <f t="shared" ref="CB36:CC36" si="243">SUM(CB31:CB35)</f>
        <v>0</v>
      </c>
      <c r="CC36" s="44">
        <f t="shared" si="243"/>
        <v>0</v>
      </c>
      <c r="CD36" s="44">
        <f t="shared" ref="CD36:CE36" si="244">SUM(CD31:CD35)</f>
        <v>0</v>
      </c>
      <c r="CE36" s="44">
        <f t="shared" si="244"/>
        <v>0</v>
      </c>
      <c r="CF36" s="44">
        <f t="shared" ref="CF36:CG36" si="245">SUM(CF31:CF35)</f>
        <v>0</v>
      </c>
      <c r="CG36" s="44">
        <f t="shared" si="245"/>
        <v>0</v>
      </c>
      <c r="CH36" s="44">
        <f t="shared" ref="CH36:CI36" si="246">SUM(CH31:CH35)</f>
        <v>0</v>
      </c>
      <c r="CI36" s="44">
        <f t="shared" si="246"/>
        <v>0</v>
      </c>
      <c r="CJ36" s="44">
        <f t="shared" ref="CJ36:CK36" si="247">SUM(CJ31:CJ35)</f>
        <v>0</v>
      </c>
      <c r="CK36" s="44">
        <f t="shared" si="247"/>
        <v>0</v>
      </c>
      <c r="CL36" s="44">
        <f t="shared" ref="CL36:CM36" si="248">SUM(CL31:CL35)</f>
        <v>0</v>
      </c>
      <c r="CM36" s="44">
        <f t="shared" si="248"/>
        <v>0</v>
      </c>
      <c r="CN36" s="44">
        <f t="shared" ref="CN36:CO36" si="249">SUM(CN31:CN35)</f>
        <v>0</v>
      </c>
      <c r="CO36" s="44">
        <f t="shared" si="249"/>
        <v>0</v>
      </c>
      <c r="CP36" s="44">
        <f t="shared" ref="CP36:CQ36" si="250">SUM(CP31:CP35)</f>
        <v>0</v>
      </c>
      <c r="CQ36" s="44">
        <f t="shared" si="250"/>
        <v>0</v>
      </c>
      <c r="CR36" s="44">
        <f t="shared" ref="CR36:CS36" si="251">SUM(CR31:CR35)</f>
        <v>0</v>
      </c>
      <c r="CS36" s="44">
        <f t="shared" si="251"/>
        <v>0</v>
      </c>
      <c r="CT36" s="44">
        <f t="shared" ref="CT36" si="252">SUM(CT31:CT35)</f>
        <v>0</v>
      </c>
    </row>
    <row r="37" spans="1:98" x14ac:dyDescent="0.25">
      <c r="A37" s="33"/>
      <c r="B37" s="31"/>
      <c r="C37" s="31"/>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c r="CQ37" s="80"/>
      <c r="CR37" s="80"/>
      <c r="CS37" s="80"/>
      <c r="CT37" s="80"/>
    </row>
    <row r="38" spans="1:98" x14ac:dyDescent="0.25">
      <c r="A38" s="33"/>
      <c r="B38" s="31"/>
      <c r="C38" s="31"/>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80"/>
      <c r="CR38" s="80"/>
      <c r="CS38" s="80"/>
      <c r="CT38" s="35" t="s">
        <v>155</v>
      </c>
    </row>
    <row r="39" spans="1:98" x14ac:dyDescent="0.25">
      <c r="A39" s="33"/>
      <c r="B39" s="31"/>
      <c r="C39" s="31"/>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t="s">
        <v>33</v>
      </c>
      <c r="CT39" s="290">
        <f t="shared" ref="CT39:CT44" si="253">SUM(D31:CT31)</f>
        <v>38189868.470668986</v>
      </c>
    </row>
    <row r="40" spans="1:98" x14ac:dyDescent="0.25">
      <c r="A40" s="33"/>
      <c r="B40" s="31"/>
      <c r="C40" s="31"/>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c r="CQ40" s="80"/>
      <c r="CR40" s="80"/>
      <c r="CS40" t="s">
        <v>34</v>
      </c>
      <c r="CT40" s="290">
        <f t="shared" si="253"/>
        <v>12625960.255642738</v>
      </c>
    </row>
    <row r="41" spans="1:98" x14ac:dyDescent="0.25">
      <c r="A41" s="33"/>
      <c r="B41" s="31"/>
      <c r="C41" s="31"/>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c r="CQ41" s="80"/>
      <c r="CR41" s="80"/>
      <c r="CS41" t="s">
        <v>35</v>
      </c>
      <c r="CT41" s="290">
        <f t="shared" si="253"/>
        <v>26046543.090823069</v>
      </c>
    </row>
    <row r="42" spans="1:98" x14ac:dyDescent="0.25">
      <c r="A42" s="33"/>
      <c r="B42" s="31"/>
      <c r="C42" s="31"/>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t="s">
        <v>36</v>
      </c>
      <c r="CT42" s="290">
        <f t="shared" si="253"/>
        <v>11112183.527346529</v>
      </c>
    </row>
    <row r="43" spans="1:98" x14ac:dyDescent="0.25">
      <c r="A43" s="33"/>
      <c r="B43" s="31"/>
      <c r="C43" s="31"/>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c r="CQ43" s="80"/>
      <c r="CR43" s="80"/>
      <c r="CS43" t="s">
        <v>37</v>
      </c>
      <c r="CT43" s="290">
        <f t="shared" si="253"/>
        <v>2261157.9855186804</v>
      </c>
    </row>
    <row r="44" spans="1:98" x14ac:dyDescent="0.25">
      <c r="A44" s="33"/>
      <c r="B44" s="31"/>
      <c r="C44" s="31"/>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c r="CQ44" s="80"/>
      <c r="CR44" s="80"/>
      <c r="CS44" s="33" t="s">
        <v>31</v>
      </c>
      <c r="CT44" s="290">
        <f t="shared" si="253"/>
        <v>90235713.329999954</v>
      </c>
    </row>
    <row r="45" spans="1:98" s="82" customFormat="1" ht="15.75" thickBot="1" x14ac:dyDescent="0.3"/>
    <row r="46" spans="1:98" ht="15.75" x14ac:dyDescent="0.25">
      <c r="A46" s="79" t="s">
        <v>59</v>
      </c>
    </row>
    <row r="48" spans="1:98" x14ac:dyDescent="0.25">
      <c r="B48" s="10">
        <v>42370</v>
      </c>
      <c r="C48" s="10">
        <v>42401</v>
      </c>
      <c r="D48" s="10">
        <v>42430</v>
      </c>
      <c r="E48" s="10">
        <v>42461</v>
      </c>
      <c r="F48" s="10">
        <v>42491</v>
      </c>
      <c r="G48" s="10">
        <v>42522</v>
      </c>
      <c r="H48" s="10">
        <v>42552</v>
      </c>
      <c r="I48" s="10">
        <v>42583</v>
      </c>
      <c r="J48" s="10">
        <v>42614</v>
      </c>
      <c r="K48" s="10">
        <v>42644</v>
      </c>
      <c r="L48" s="10">
        <v>42675</v>
      </c>
      <c r="M48" s="10">
        <v>42705</v>
      </c>
      <c r="N48" s="10">
        <v>42736</v>
      </c>
      <c r="O48" s="10">
        <v>42767</v>
      </c>
      <c r="P48" s="10">
        <v>42795</v>
      </c>
      <c r="Q48" s="10">
        <v>42826</v>
      </c>
      <c r="R48" s="10">
        <v>42856</v>
      </c>
      <c r="S48" s="10">
        <v>42887</v>
      </c>
      <c r="T48" s="10">
        <v>42917</v>
      </c>
      <c r="U48" s="10">
        <v>42948</v>
      </c>
      <c r="V48" s="10">
        <v>42979</v>
      </c>
      <c r="W48" s="10">
        <v>43009</v>
      </c>
      <c r="X48" s="10">
        <v>43040</v>
      </c>
      <c r="Y48" s="10">
        <v>43070</v>
      </c>
      <c r="Z48" s="10">
        <v>43101</v>
      </c>
      <c r="AA48" s="10">
        <v>43132</v>
      </c>
      <c r="AB48" s="10">
        <v>43160</v>
      </c>
      <c r="AC48" s="10">
        <v>43191</v>
      </c>
      <c r="AD48" s="10">
        <v>43221</v>
      </c>
      <c r="AE48" s="10">
        <v>43252</v>
      </c>
      <c r="AF48" s="10">
        <v>43282</v>
      </c>
      <c r="AG48" s="10">
        <v>43313</v>
      </c>
      <c r="AH48" s="10">
        <v>43344</v>
      </c>
      <c r="AI48" s="10">
        <v>43374</v>
      </c>
      <c r="AJ48" s="10">
        <v>43405</v>
      </c>
      <c r="AK48" s="10">
        <v>43435</v>
      </c>
      <c r="AL48" s="10">
        <v>43466</v>
      </c>
      <c r="AM48" s="10">
        <v>43497</v>
      </c>
      <c r="AN48" s="10">
        <v>43525</v>
      </c>
      <c r="AO48" s="10">
        <v>43556</v>
      </c>
      <c r="AP48" s="10">
        <v>43586</v>
      </c>
      <c r="AQ48" s="10">
        <v>43617</v>
      </c>
      <c r="AR48" s="10">
        <v>43647</v>
      </c>
      <c r="AS48" s="10">
        <v>43678</v>
      </c>
      <c r="AT48" s="10">
        <v>43709</v>
      </c>
      <c r="AU48" s="10">
        <v>43739</v>
      </c>
      <c r="AV48" s="10">
        <v>43770</v>
      </c>
      <c r="AW48" s="10">
        <v>43800</v>
      </c>
      <c r="AX48" s="10">
        <v>43831</v>
      </c>
      <c r="AY48" s="10">
        <v>43862</v>
      </c>
      <c r="AZ48" s="10">
        <v>43891</v>
      </c>
      <c r="BA48" s="10">
        <v>43922</v>
      </c>
      <c r="BB48" s="10">
        <v>43952</v>
      </c>
      <c r="BC48" s="10">
        <v>43983</v>
      </c>
      <c r="BD48" s="10">
        <v>44013</v>
      </c>
      <c r="BE48" s="10">
        <v>44044</v>
      </c>
      <c r="BF48" s="10">
        <v>44075</v>
      </c>
      <c r="BG48" s="10">
        <v>44105</v>
      </c>
      <c r="BH48" s="10">
        <v>44136</v>
      </c>
      <c r="BI48" s="10">
        <v>44166</v>
      </c>
      <c r="BJ48" s="10">
        <v>44197</v>
      </c>
      <c r="BK48" s="10">
        <v>44228</v>
      </c>
      <c r="BL48" s="10">
        <v>44256</v>
      </c>
      <c r="BM48" s="10">
        <v>44287</v>
      </c>
      <c r="BN48" s="10">
        <v>44317</v>
      </c>
      <c r="BO48" s="10">
        <v>44348</v>
      </c>
      <c r="BP48" s="10">
        <v>44378</v>
      </c>
      <c r="BQ48" s="10">
        <v>44409</v>
      </c>
      <c r="BR48" s="10">
        <v>44440</v>
      </c>
      <c r="BS48" s="10">
        <v>44470</v>
      </c>
      <c r="BT48" s="10">
        <v>44501</v>
      </c>
      <c r="BU48" s="10">
        <v>44531</v>
      </c>
      <c r="BV48" s="10">
        <v>44562</v>
      </c>
      <c r="BW48" s="10">
        <v>44593</v>
      </c>
      <c r="BX48" s="10">
        <v>44621</v>
      </c>
      <c r="BY48" s="10">
        <v>44652</v>
      </c>
      <c r="BZ48" s="10">
        <v>44682</v>
      </c>
      <c r="CA48" s="10">
        <v>44713</v>
      </c>
      <c r="CB48" s="10">
        <v>44743</v>
      </c>
      <c r="CC48" s="10">
        <v>44774</v>
      </c>
      <c r="CD48" s="10">
        <v>44805</v>
      </c>
      <c r="CE48" s="10">
        <v>44835</v>
      </c>
      <c r="CF48" s="10">
        <v>44866</v>
      </c>
      <c r="CG48" s="10">
        <v>44896</v>
      </c>
      <c r="CH48" s="10">
        <v>44927</v>
      </c>
      <c r="CI48" s="10">
        <v>44958</v>
      </c>
      <c r="CJ48" s="10">
        <v>44986</v>
      </c>
      <c r="CK48" s="10">
        <v>45017</v>
      </c>
      <c r="CL48" s="10">
        <v>45047</v>
      </c>
      <c r="CM48" s="10">
        <v>45078</v>
      </c>
      <c r="CN48" s="10">
        <v>45108</v>
      </c>
      <c r="CO48" s="10">
        <v>45139</v>
      </c>
      <c r="CP48" s="10">
        <v>45170</v>
      </c>
      <c r="CQ48" s="10">
        <v>45200</v>
      </c>
      <c r="CR48" s="10">
        <v>45231</v>
      </c>
      <c r="CS48" s="10">
        <v>45261</v>
      </c>
      <c r="CT48" s="10">
        <v>45292</v>
      </c>
    </row>
    <row r="49" spans="1:98" x14ac:dyDescent="0.25">
      <c r="A49" s="36" t="s">
        <v>60</v>
      </c>
      <c r="B49" s="32"/>
      <c r="C49" s="32"/>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row>
    <row r="50" spans="1:98" x14ac:dyDescent="0.25">
      <c r="A50" t="s">
        <v>33</v>
      </c>
      <c r="B50" s="37"/>
      <c r="C50" s="37"/>
      <c r="D50" s="41"/>
      <c r="E50" s="41"/>
      <c r="F50" s="41"/>
      <c r="G50" s="41"/>
      <c r="H50" s="51"/>
      <c r="I50" s="51"/>
      <c r="J50" s="51"/>
      <c r="K50" s="51"/>
      <c r="L50" s="51"/>
      <c r="M50" s="51"/>
      <c r="N50" s="51"/>
      <c r="O50" s="41"/>
      <c r="P50" s="42"/>
      <c r="Q50" s="41">
        <f>964303.03-72.29</f>
        <v>964230.74</v>
      </c>
      <c r="R50" s="42">
        <v>918986.9</v>
      </c>
      <c r="S50" s="42">
        <v>1235335.3500000001</v>
      </c>
      <c r="T50" s="42">
        <v>1643710.03</v>
      </c>
      <c r="U50" s="42">
        <v>1663991.32</v>
      </c>
      <c r="V50" s="42">
        <v>1315722.52</v>
      </c>
      <c r="W50" s="42">
        <v>1155142.76</v>
      </c>
      <c r="X50" s="42">
        <v>1008647.72</v>
      </c>
      <c r="Y50" s="42">
        <v>1300717.95</v>
      </c>
      <c r="Z50" s="42">
        <v>1995202.44</v>
      </c>
      <c r="AA50" s="42">
        <v>1361606.16</v>
      </c>
      <c r="AB50" s="42">
        <v>1097480.82</v>
      </c>
      <c r="AC50" s="42">
        <v>1059578.1200000001</v>
      </c>
      <c r="AD50" s="42">
        <v>862980.65</v>
      </c>
      <c r="AE50" s="42">
        <v>1281774.72</v>
      </c>
      <c r="AF50" s="42">
        <v>1502957.34</v>
      </c>
      <c r="AG50" s="42">
        <v>1346919.46</v>
      </c>
      <c r="AH50" s="42">
        <v>1295482.8999999999</v>
      </c>
      <c r="AI50" s="42">
        <v>1002485.52</v>
      </c>
      <c r="AJ50" s="42">
        <v>930228.6</v>
      </c>
      <c r="AK50" s="42">
        <v>1294357.3</v>
      </c>
      <c r="AL50" s="42">
        <v>1435395.83</v>
      </c>
      <c r="AM50" s="42">
        <v>1500360.52</v>
      </c>
      <c r="AN50" s="42">
        <v>1351205.92</v>
      </c>
      <c r="AO50" s="42">
        <v>930965.27</v>
      </c>
      <c r="AP50" s="42">
        <v>791487</v>
      </c>
      <c r="AQ50" s="42">
        <v>1054075.57</v>
      </c>
      <c r="AR50" s="42">
        <v>1341002.6200000001</v>
      </c>
      <c r="AS50" s="42">
        <v>1411567.5</v>
      </c>
      <c r="AT50" s="42">
        <v>1302183.99</v>
      </c>
      <c r="AU50" s="42">
        <v>1070055.19</v>
      </c>
      <c r="AV50" s="42">
        <v>960017.17</v>
      </c>
      <c r="AW50" s="42">
        <v>1291710.24</v>
      </c>
      <c r="AX50" s="42">
        <v>1426440.21</v>
      </c>
      <c r="AY50" s="42">
        <v>836821.82</v>
      </c>
      <c r="AZ50" s="42">
        <v>123502.6</v>
      </c>
      <c r="BA50" s="42">
        <v>92675.74</v>
      </c>
      <c r="BB50" s="42">
        <v>82719.98</v>
      </c>
      <c r="BC50" s="42">
        <v>109517.12</v>
      </c>
      <c r="BD50" s="42">
        <v>147043.66</v>
      </c>
      <c r="BE50" s="42">
        <v>137831</v>
      </c>
      <c r="BF50" s="42">
        <v>124319.87</v>
      </c>
      <c r="BG50" s="42">
        <v>84008.53</v>
      </c>
      <c r="BH50" s="42">
        <v>89633.18</v>
      </c>
      <c r="BI50" s="42">
        <v>118817.27</v>
      </c>
      <c r="BJ50" s="42">
        <v>154664.07999999999</v>
      </c>
      <c r="BK50" s="42">
        <v>-113458.01</v>
      </c>
      <c r="BL50" s="42">
        <v>-325175.89</v>
      </c>
      <c r="BM50" s="42">
        <v>-219552.89</v>
      </c>
      <c r="BN50" s="42">
        <v>-206267.22</v>
      </c>
      <c r="BO50" s="42">
        <v>-270595.87</v>
      </c>
      <c r="BP50" s="42">
        <v>-357386.66</v>
      </c>
      <c r="BQ50" s="42">
        <v>-364675.44</v>
      </c>
      <c r="BR50" s="42">
        <v>-358208.47</v>
      </c>
      <c r="BS50" s="42">
        <v>-248050.58</v>
      </c>
      <c r="BT50" s="42">
        <v>-232427.07</v>
      </c>
      <c r="BU50" s="42">
        <v>-290836.61</v>
      </c>
      <c r="BV50" s="42">
        <v>-375935.37</v>
      </c>
      <c r="BW50" s="42">
        <v>-242680.23</v>
      </c>
      <c r="BX50" s="42">
        <v>-13830.45</v>
      </c>
      <c r="BY50" s="42">
        <v>-7909.14</v>
      </c>
      <c r="BZ50" s="42">
        <v>-7927.25</v>
      </c>
      <c r="CA50" s="42">
        <v>-10364.700000000001</v>
      </c>
      <c r="CB50" s="42">
        <v>-14271.87</v>
      </c>
      <c r="CC50" s="42">
        <v>-13453.18</v>
      </c>
      <c r="CD50" s="42">
        <v>-11260.05</v>
      </c>
      <c r="CE50" s="42">
        <v>-8003.94</v>
      </c>
      <c r="CF50" s="42">
        <v>-7297.68</v>
      </c>
      <c r="CG50" s="42">
        <v>-11546.44</v>
      </c>
      <c r="CH50" s="42">
        <v>-13951.26</v>
      </c>
      <c r="CI50" s="43">
        <v>1126.4100000000001</v>
      </c>
      <c r="CJ50" s="43">
        <v>16692.439999999999</v>
      </c>
      <c r="CK50" s="43">
        <v>14494.89</v>
      </c>
      <c r="CL50" s="43">
        <v>12335.8</v>
      </c>
      <c r="CM50" s="43">
        <v>15962.84</v>
      </c>
      <c r="CN50" s="43">
        <v>20902.03</v>
      </c>
      <c r="CO50" s="43">
        <v>21552.2</v>
      </c>
      <c r="CP50" s="43">
        <v>19936.310000000001</v>
      </c>
      <c r="CQ50" s="43">
        <v>14454.45</v>
      </c>
      <c r="CR50" s="43">
        <v>12652.24</v>
      </c>
      <c r="CS50" s="43">
        <v>17636.48</v>
      </c>
      <c r="CT50" s="43">
        <v>23087.03</v>
      </c>
    </row>
    <row r="51" spans="1:98" x14ac:dyDescent="0.25">
      <c r="A51" t="s">
        <v>34</v>
      </c>
      <c r="B51" s="37"/>
      <c r="C51" s="37"/>
      <c r="D51" s="41"/>
      <c r="E51" s="41"/>
      <c r="F51" s="41"/>
      <c r="G51" s="41"/>
      <c r="H51" s="51"/>
      <c r="I51" s="51"/>
      <c r="J51" s="51"/>
      <c r="K51" s="51"/>
      <c r="L51" s="51"/>
      <c r="M51" s="51"/>
      <c r="N51" s="41"/>
      <c r="O51" s="41"/>
      <c r="P51" s="42"/>
      <c r="Q51" s="41">
        <f>121723.86-126.24</f>
        <v>121597.62</v>
      </c>
      <c r="R51" s="42">
        <v>120360.92</v>
      </c>
      <c r="S51" s="42">
        <v>143026.74</v>
      </c>
      <c r="T51" s="42">
        <v>165801.25</v>
      </c>
      <c r="U51" s="42">
        <v>167384.09</v>
      </c>
      <c r="V51" s="42">
        <v>149701.24</v>
      </c>
      <c r="W51" s="42">
        <v>141748.14000000001</v>
      </c>
      <c r="X51" s="42">
        <v>126699.78</v>
      </c>
      <c r="Y51" s="42">
        <v>139926.94</v>
      </c>
      <c r="Z51" s="42">
        <v>202221.15</v>
      </c>
      <c r="AA51" s="42">
        <v>343067.75</v>
      </c>
      <c r="AB51" s="42">
        <v>300632.48</v>
      </c>
      <c r="AC51" s="42">
        <v>296300.02</v>
      </c>
      <c r="AD51" s="42">
        <v>268199.42</v>
      </c>
      <c r="AE51" s="42">
        <v>337634.86</v>
      </c>
      <c r="AF51" s="42">
        <v>372521.79</v>
      </c>
      <c r="AG51" s="42">
        <v>348089.17</v>
      </c>
      <c r="AH51" s="42">
        <v>342034.51</v>
      </c>
      <c r="AI51" s="42">
        <v>301373.81</v>
      </c>
      <c r="AJ51" s="42">
        <v>271517.73</v>
      </c>
      <c r="AK51" s="42">
        <v>328156.33</v>
      </c>
      <c r="AL51" s="42">
        <v>377703.97</v>
      </c>
      <c r="AM51" s="42">
        <v>708077.88</v>
      </c>
      <c r="AN51" s="42">
        <v>666764.85</v>
      </c>
      <c r="AO51" s="42">
        <v>540522.54</v>
      </c>
      <c r="AP51" s="42">
        <v>509584.1</v>
      </c>
      <c r="AQ51" s="42">
        <v>594934.36</v>
      </c>
      <c r="AR51" s="42">
        <v>680484</v>
      </c>
      <c r="AS51" s="42">
        <v>699354.09</v>
      </c>
      <c r="AT51" s="42">
        <v>675136.56</v>
      </c>
      <c r="AU51" s="42">
        <v>608437.81999999995</v>
      </c>
      <c r="AV51" s="42">
        <v>545178.31000000006</v>
      </c>
      <c r="AW51" s="42">
        <v>640578.34</v>
      </c>
      <c r="AX51" s="42">
        <v>683111.72</v>
      </c>
      <c r="AY51" s="42">
        <v>419075.87</v>
      </c>
      <c r="AZ51" s="42">
        <v>88037.89</v>
      </c>
      <c r="BA51" s="42">
        <v>65160.17</v>
      </c>
      <c r="BB51" s="42">
        <v>59309.86</v>
      </c>
      <c r="BC51" s="42">
        <v>74165.440000000002</v>
      </c>
      <c r="BD51" s="42">
        <v>92442.4</v>
      </c>
      <c r="BE51" s="42">
        <v>90973.54</v>
      </c>
      <c r="BF51" s="42">
        <v>86398.8</v>
      </c>
      <c r="BG51" s="42">
        <v>70150.48</v>
      </c>
      <c r="BH51" s="42">
        <v>70037.789999999994</v>
      </c>
      <c r="BI51" s="42">
        <v>80808.38</v>
      </c>
      <c r="BJ51" s="42">
        <v>96369.71</v>
      </c>
      <c r="BK51" s="42">
        <v>-2328.37</v>
      </c>
      <c r="BL51" s="42">
        <v>-103760.54</v>
      </c>
      <c r="BM51" s="42">
        <v>-82575.289999999994</v>
      </c>
      <c r="BN51" s="42">
        <v>-81377.440000000002</v>
      </c>
      <c r="BO51" s="42">
        <v>-96431.96</v>
      </c>
      <c r="BP51" s="42">
        <v>-113596.04</v>
      </c>
      <c r="BQ51" s="42">
        <v>-114121.57</v>
      </c>
      <c r="BR51" s="42">
        <v>-115328.91</v>
      </c>
      <c r="BS51" s="42">
        <v>-96228.19</v>
      </c>
      <c r="BT51" s="42">
        <v>-85982.2</v>
      </c>
      <c r="BU51" s="42">
        <v>-98041.83</v>
      </c>
      <c r="BV51" s="42">
        <v>-115723.74</v>
      </c>
      <c r="BW51" s="42">
        <v>-71353.679999999993</v>
      </c>
      <c r="BX51" s="42">
        <v>-3857.43</v>
      </c>
      <c r="BY51" s="42">
        <v>-3467.37</v>
      </c>
      <c r="BZ51" s="42">
        <v>-3190.61</v>
      </c>
      <c r="CA51" s="42">
        <v>-3616.74</v>
      </c>
      <c r="CB51" s="42">
        <v>-4165.8599999999997</v>
      </c>
      <c r="CC51" s="42">
        <v>-4368.6099999999997</v>
      </c>
      <c r="CD51" s="42">
        <v>-3971.18</v>
      </c>
      <c r="CE51" s="42">
        <v>-3310.57</v>
      </c>
      <c r="CF51" s="42">
        <v>-3161.75</v>
      </c>
      <c r="CG51" s="42">
        <v>-3849.25</v>
      </c>
      <c r="CH51" s="42">
        <v>-4431.05</v>
      </c>
      <c r="CI51" s="43">
        <v>-58.87</v>
      </c>
      <c r="CJ51" s="43">
        <v>4613.01</v>
      </c>
      <c r="CK51" s="43">
        <v>4219.75</v>
      </c>
      <c r="CL51" s="43">
        <v>3905.78</v>
      </c>
      <c r="CM51" s="43">
        <v>4751.55</v>
      </c>
      <c r="CN51" s="43">
        <v>5463.54</v>
      </c>
      <c r="CO51" s="43">
        <v>5606.45</v>
      </c>
      <c r="CP51" s="43">
        <v>5658.03</v>
      </c>
      <c r="CQ51" s="43">
        <v>4599.68</v>
      </c>
      <c r="CR51" s="43">
        <v>4218.8100000000004</v>
      </c>
      <c r="CS51" s="43">
        <v>4872.8999999999996</v>
      </c>
      <c r="CT51" s="43">
        <v>5883.72</v>
      </c>
    </row>
    <row r="52" spans="1:98" x14ac:dyDescent="0.25">
      <c r="A52" t="s">
        <v>35</v>
      </c>
      <c r="B52" s="37"/>
      <c r="C52" s="37"/>
      <c r="D52" s="41"/>
      <c r="E52" s="41"/>
      <c r="F52" s="41"/>
      <c r="G52" s="41"/>
      <c r="H52" s="51"/>
      <c r="I52" s="51"/>
      <c r="J52" s="51"/>
      <c r="K52" s="51"/>
      <c r="L52" s="51"/>
      <c r="M52" s="51"/>
      <c r="N52" s="41"/>
      <c r="O52" s="41"/>
      <c r="P52" s="42"/>
      <c r="Q52" s="41">
        <f>306699.41-268.37</f>
        <v>306431.03999999998</v>
      </c>
      <c r="R52" s="42">
        <v>315079.21999999997</v>
      </c>
      <c r="S52" s="42">
        <v>357143.49</v>
      </c>
      <c r="T52" s="42">
        <v>388918.74</v>
      </c>
      <c r="U52" s="42">
        <v>396209.91</v>
      </c>
      <c r="V52" s="42">
        <v>373506.75</v>
      </c>
      <c r="W52" s="42">
        <v>358646.38</v>
      </c>
      <c r="X52" s="42">
        <v>321927.84000000003</v>
      </c>
      <c r="Y52" s="42">
        <v>337190.07</v>
      </c>
      <c r="Z52" s="42">
        <v>406112.33</v>
      </c>
      <c r="AA52" s="42">
        <v>569283.56999999995</v>
      </c>
      <c r="AB52" s="42">
        <v>530638.37</v>
      </c>
      <c r="AC52" s="42">
        <v>535419.43000000005</v>
      </c>
      <c r="AD52" s="42">
        <v>530865.09</v>
      </c>
      <c r="AE52" s="42">
        <v>632987.31999999995</v>
      </c>
      <c r="AF52" s="42">
        <v>672168.03</v>
      </c>
      <c r="AG52" s="42">
        <v>636130.80000000005</v>
      </c>
      <c r="AH52" s="42">
        <v>647286.31999999995</v>
      </c>
      <c r="AI52" s="42">
        <v>588134.43000000005</v>
      </c>
      <c r="AJ52" s="42">
        <v>523066.9</v>
      </c>
      <c r="AK52" s="42">
        <v>569652.57999999996</v>
      </c>
      <c r="AL52" s="42">
        <v>622149.86</v>
      </c>
      <c r="AM52" s="42">
        <v>1121084.3899999999</v>
      </c>
      <c r="AN52" s="42">
        <v>1064143.96</v>
      </c>
      <c r="AO52" s="42">
        <v>956310.33</v>
      </c>
      <c r="AP52" s="42">
        <v>988397.62</v>
      </c>
      <c r="AQ52" s="42">
        <v>1099738.51</v>
      </c>
      <c r="AR52" s="42">
        <v>1183208.1399999999</v>
      </c>
      <c r="AS52" s="42">
        <v>1210589.8</v>
      </c>
      <c r="AT52" s="42">
        <v>1222150.02</v>
      </c>
      <c r="AU52" s="42">
        <v>1122226.3600000001</v>
      </c>
      <c r="AV52" s="42">
        <v>990572.78</v>
      </c>
      <c r="AW52" s="42">
        <v>1074771.6100000001</v>
      </c>
      <c r="AX52" s="42">
        <v>1111703.5</v>
      </c>
      <c r="AY52" s="42">
        <v>772025.26</v>
      </c>
      <c r="AZ52" s="42">
        <v>319798.53000000003</v>
      </c>
      <c r="BA52" s="42">
        <v>269033.2</v>
      </c>
      <c r="BB52" s="42">
        <v>249777.14</v>
      </c>
      <c r="BC52" s="42">
        <v>297315.93</v>
      </c>
      <c r="BD52" s="42">
        <v>347144.51</v>
      </c>
      <c r="BE52" s="42">
        <v>345440.09</v>
      </c>
      <c r="BF52" s="42">
        <v>344230.11</v>
      </c>
      <c r="BG52" s="42">
        <v>293731.96999999997</v>
      </c>
      <c r="BH52" s="42">
        <v>286094.82</v>
      </c>
      <c r="BI52" s="42">
        <v>307534.57</v>
      </c>
      <c r="BJ52" s="42">
        <v>329595.59000000003</v>
      </c>
      <c r="BK52" s="42">
        <v>128230.92</v>
      </c>
      <c r="BL52" s="42">
        <v>-119113.36</v>
      </c>
      <c r="BM52" s="42">
        <v>-106709.26</v>
      </c>
      <c r="BN52" s="42">
        <v>-108656.28</v>
      </c>
      <c r="BO52" s="42">
        <v>-121205.96</v>
      </c>
      <c r="BP52" s="42">
        <v>-141073.82999999999</v>
      </c>
      <c r="BQ52" s="42">
        <v>-140301.07</v>
      </c>
      <c r="BR52" s="42">
        <v>-142985.78</v>
      </c>
      <c r="BS52" s="42">
        <v>-125672.79</v>
      </c>
      <c r="BT52" s="42">
        <v>-111672.41</v>
      </c>
      <c r="BU52" s="42">
        <v>-122048.8</v>
      </c>
      <c r="BV52" s="42">
        <v>-130402.9</v>
      </c>
      <c r="BW52" s="42">
        <v>-91979.27</v>
      </c>
      <c r="BX52" s="42">
        <v>-29965.9</v>
      </c>
      <c r="BY52" s="42">
        <v>-27757.9</v>
      </c>
      <c r="BZ52" s="42">
        <v>-28438.25</v>
      </c>
      <c r="CA52" s="42">
        <v>-31790.6</v>
      </c>
      <c r="CB52" s="42">
        <v>-36362.75</v>
      </c>
      <c r="CC52" s="42">
        <v>-35481.11</v>
      </c>
      <c r="CD52" s="42">
        <v>-33868.720000000001</v>
      </c>
      <c r="CE52" s="42">
        <v>-29154.44</v>
      </c>
      <c r="CF52" s="42">
        <v>-27512.63</v>
      </c>
      <c r="CG52" s="42">
        <v>-31793.77</v>
      </c>
      <c r="CH52" s="42">
        <v>-32743.360000000001</v>
      </c>
      <c r="CI52" s="43">
        <v>-16554.349999999999</v>
      </c>
      <c r="CJ52" s="43">
        <v>3415.88</v>
      </c>
      <c r="CK52" s="43">
        <v>3374.69</v>
      </c>
      <c r="CL52" s="43">
        <v>3515.72</v>
      </c>
      <c r="CM52" s="43">
        <v>3850.08</v>
      </c>
      <c r="CN52" s="43">
        <v>4146.47</v>
      </c>
      <c r="CO52" s="43">
        <v>4258.54</v>
      </c>
      <c r="CP52" s="43">
        <v>4280.59</v>
      </c>
      <c r="CQ52" s="43">
        <v>3781.21</v>
      </c>
      <c r="CR52" s="43">
        <v>3485</v>
      </c>
      <c r="CS52" s="43">
        <v>3454.28</v>
      </c>
      <c r="CT52" s="43">
        <v>4096.0200000000004</v>
      </c>
    </row>
    <row r="53" spans="1:98" x14ac:dyDescent="0.25">
      <c r="A53" t="s">
        <v>36</v>
      </c>
      <c r="B53" s="37"/>
      <c r="C53" s="37"/>
      <c r="D53" s="41"/>
      <c r="E53" s="41"/>
      <c r="F53" s="41"/>
      <c r="G53" s="41"/>
      <c r="H53" s="51"/>
      <c r="I53" s="51"/>
      <c r="J53" s="51"/>
      <c r="K53" s="51"/>
      <c r="L53" s="51"/>
      <c r="M53" s="51"/>
      <c r="N53" s="41"/>
      <c r="O53" s="41"/>
      <c r="P53" s="42"/>
      <c r="Q53" s="41">
        <v>287500.39</v>
      </c>
      <c r="R53" s="42">
        <v>291239.59000000003</v>
      </c>
      <c r="S53" s="42">
        <v>334700.84000000003</v>
      </c>
      <c r="T53" s="42">
        <v>327858.78000000003</v>
      </c>
      <c r="U53" s="42">
        <v>345877.98</v>
      </c>
      <c r="V53" s="42">
        <v>332796.82</v>
      </c>
      <c r="W53" s="42">
        <v>325738.77</v>
      </c>
      <c r="X53" s="42">
        <v>293261.37</v>
      </c>
      <c r="Y53" s="42">
        <v>307322.53000000003</v>
      </c>
      <c r="Z53" s="42">
        <v>339565.96</v>
      </c>
      <c r="AA53" s="42">
        <v>307869.25</v>
      </c>
      <c r="AB53" s="42">
        <v>306963.45</v>
      </c>
      <c r="AC53" s="42">
        <v>283370.14</v>
      </c>
      <c r="AD53" s="42">
        <v>326351.34000000003</v>
      </c>
      <c r="AE53" s="42">
        <v>353914.84</v>
      </c>
      <c r="AF53" s="42">
        <v>366503.78</v>
      </c>
      <c r="AG53" s="42">
        <v>360257.72</v>
      </c>
      <c r="AH53" s="42">
        <v>350605.05</v>
      </c>
      <c r="AI53" s="42">
        <v>328773.59000000003</v>
      </c>
      <c r="AJ53" s="42">
        <v>305971.46999999997</v>
      </c>
      <c r="AK53" s="42">
        <v>329009.21000000002</v>
      </c>
      <c r="AL53" s="42">
        <v>301972.13</v>
      </c>
      <c r="AM53" s="42">
        <v>361271.84</v>
      </c>
      <c r="AN53" s="42">
        <v>357649</v>
      </c>
      <c r="AO53" s="42">
        <v>342832.09</v>
      </c>
      <c r="AP53" s="42">
        <v>342002.7</v>
      </c>
      <c r="AQ53" s="42">
        <v>397393.17</v>
      </c>
      <c r="AR53" s="42">
        <v>399370.7</v>
      </c>
      <c r="AS53" s="42">
        <v>419257.53</v>
      </c>
      <c r="AT53" s="42">
        <v>416719</v>
      </c>
      <c r="AU53" s="42">
        <v>386141.21</v>
      </c>
      <c r="AV53" s="42">
        <v>357086.62</v>
      </c>
      <c r="AW53" s="42">
        <v>359534.39</v>
      </c>
      <c r="AX53" s="42">
        <v>369865.83</v>
      </c>
      <c r="AY53" s="42">
        <v>293791.12</v>
      </c>
      <c r="AZ53" s="42">
        <v>123483.39</v>
      </c>
      <c r="BA53" s="42">
        <v>118999.09</v>
      </c>
      <c r="BB53" s="42">
        <v>112027.34</v>
      </c>
      <c r="BC53" s="42">
        <v>130470.39999999999</v>
      </c>
      <c r="BD53" s="42">
        <v>137323.88</v>
      </c>
      <c r="BE53" s="42">
        <v>143937.82999999999</v>
      </c>
      <c r="BF53" s="42">
        <v>143974.57</v>
      </c>
      <c r="BG53" s="42">
        <v>127974.65</v>
      </c>
      <c r="BH53" s="42">
        <v>127068.08</v>
      </c>
      <c r="BI53" s="42">
        <v>132955.76999999999</v>
      </c>
      <c r="BJ53" s="42">
        <v>130544.63</v>
      </c>
      <c r="BK53" s="42">
        <v>73117.320000000007</v>
      </c>
      <c r="BL53" s="42">
        <v>-23752.07</v>
      </c>
      <c r="BM53" s="42">
        <v>-25347.52</v>
      </c>
      <c r="BN53" s="42">
        <v>-27081.25</v>
      </c>
      <c r="BO53" s="42">
        <v>-24437.95</v>
      </c>
      <c r="BP53" s="42">
        <v>-33816.269999999997</v>
      </c>
      <c r="BQ53" s="42">
        <v>-31047.43</v>
      </c>
      <c r="BR53" s="42">
        <v>-31441.61</v>
      </c>
      <c r="BS53" s="42">
        <v>-27149.439999999999</v>
      </c>
      <c r="BT53" s="42">
        <v>-23682.34</v>
      </c>
      <c r="BU53" s="42">
        <v>-31128.82</v>
      </c>
      <c r="BV53" s="42">
        <v>-30061.68</v>
      </c>
      <c r="BW53" s="42">
        <v>-21727.82</v>
      </c>
      <c r="BX53" s="42">
        <v>-9411.08</v>
      </c>
      <c r="BY53" s="42">
        <v>-9472.94</v>
      </c>
      <c r="BZ53" s="42">
        <v>-9265.9</v>
      </c>
      <c r="CA53" s="42">
        <v>-10540.89</v>
      </c>
      <c r="CB53" s="42">
        <v>-10967.71</v>
      </c>
      <c r="CC53" s="42">
        <v>-10879.65</v>
      </c>
      <c r="CD53" s="42">
        <v>-10597.96</v>
      </c>
      <c r="CE53" s="42">
        <v>-9396.31</v>
      </c>
      <c r="CF53" s="42">
        <v>-9489.08</v>
      </c>
      <c r="CG53" s="42">
        <v>-9849.86</v>
      </c>
      <c r="CH53" s="42">
        <v>-9377.19</v>
      </c>
      <c r="CI53" s="43">
        <v>-6080.44</v>
      </c>
      <c r="CJ53" s="43">
        <v>667.65</v>
      </c>
      <c r="CK53" s="43">
        <v>877.65</v>
      </c>
      <c r="CL53" s="43">
        <v>877.06</v>
      </c>
      <c r="CM53" s="43">
        <v>917.12</v>
      </c>
      <c r="CN53" s="43">
        <v>941.31</v>
      </c>
      <c r="CO53" s="43">
        <v>1063.3</v>
      </c>
      <c r="CP53" s="43">
        <v>1016.76</v>
      </c>
      <c r="CQ53" s="43">
        <v>882.85</v>
      </c>
      <c r="CR53" s="43">
        <v>889.04</v>
      </c>
      <c r="CS53" s="43">
        <v>874.1</v>
      </c>
      <c r="CT53" s="43">
        <v>923.35</v>
      </c>
    </row>
    <row r="54" spans="1:98" x14ac:dyDescent="0.25">
      <c r="A54" t="s">
        <v>37</v>
      </c>
      <c r="B54" s="37"/>
      <c r="C54" s="37"/>
      <c r="D54" s="41"/>
      <c r="E54" s="41"/>
      <c r="F54" s="41"/>
      <c r="G54" s="41"/>
      <c r="H54" s="51"/>
      <c r="I54" s="51"/>
      <c r="J54" s="51"/>
      <c r="K54" s="51"/>
      <c r="L54" s="51"/>
      <c r="M54" s="51"/>
      <c r="N54" s="41"/>
      <c r="O54" s="41"/>
      <c r="P54" s="42"/>
      <c r="Q54" s="41">
        <v>185826.61</v>
      </c>
      <c r="R54" s="42">
        <v>189002.31</v>
      </c>
      <c r="S54" s="42">
        <v>225674.13</v>
      </c>
      <c r="T54" s="42">
        <v>213450.91</v>
      </c>
      <c r="U54" s="42">
        <v>236566.37</v>
      </c>
      <c r="V54" s="42">
        <v>225419.26</v>
      </c>
      <c r="W54" s="42">
        <v>214922.7</v>
      </c>
      <c r="X54" s="42">
        <v>204773.48</v>
      </c>
      <c r="Y54" s="42">
        <v>187770.83</v>
      </c>
      <c r="Z54" s="42">
        <v>190411.74</v>
      </c>
      <c r="AA54" s="42">
        <v>104692.59</v>
      </c>
      <c r="AB54" s="42">
        <v>18094.560000000001</v>
      </c>
      <c r="AC54" s="42">
        <v>17212.91</v>
      </c>
      <c r="AD54" s="42">
        <v>19682.41</v>
      </c>
      <c r="AE54" s="42">
        <v>21781.17</v>
      </c>
      <c r="AF54" s="42">
        <v>13233.54</v>
      </c>
      <c r="AG54" s="42">
        <v>22431.52</v>
      </c>
      <c r="AH54" s="42">
        <v>21067.32</v>
      </c>
      <c r="AI54" s="42">
        <v>20801.22</v>
      </c>
      <c r="AJ54" s="42">
        <v>19547.939999999999</v>
      </c>
      <c r="AK54" s="42">
        <v>19036.14</v>
      </c>
      <c r="AL54" s="42">
        <v>21300.85</v>
      </c>
      <c r="AM54" s="42">
        <v>41051.660000000003</v>
      </c>
      <c r="AN54" s="42">
        <v>64352.88</v>
      </c>
      <c r="AO54" s="42">
        <v>64072.1</v>
      </c>
      <c r="AP54" s="42">
        <v>62519.33</v>
      </c>
      <c r="AQ54" s="42">
        <v>78748.960000000006</v>
      </c>
      <c r="AR54" s="42">
        <v>73304.259999999995</v>
      </c>
      <c r="AS54" s="42">
        <v>81170.33</v>
      </c>
      <c r="AT54" s="42">
        <v>82260.42</v>
      </c>
      <c r="AU54" s="42">
        <v>77599.5</v>
      </c>
      <c r="AV54" s="42">
        <v>68913.850000000006</v>
      </c>
      <c r="AW54" s="42">
        <v>64843.48</v>
      </c>
      <c r="AX54" s="42">
        <v>68622.929999999993</v>
      </c>
      <c r="AY54" s="42">
        <v>67842.5</v>
      </c>
      <c r="AZ54" s="42">
        <v>38688.33</v>
      </c>
      <c r="BA54" s="42">
        <v>44298.87</v>
      </c>
      <c r="BB54" s="42">
        <v>44976.56</v>
      </c>
      <c r="BC54" s="42">
        <v>11431.37</v>
      </c>
      <c r="BD54" s="42">
        <v>50558.239999999998</v>
      </c>
      <c r="BE54" s="42">
        <v>52075.91</v>
      </c>
      <c r="BF54" s="42">
        <v>52816.959999999999</v>
      </c>
      <c r="BG54" s="42">
        <v>46523.24</v>
      </c>
      <c r="BH54" s="42">
        <v>45630.69</v>
      </c>
      <c r="BI54" s="42">
        <v>46596.58</v>
      </c>
      <c r="BJ54" s="42">
        <v>42614.78</v>
      </c>
      <c r="BK54" s="42">
        <v>37690.370000000003</v>
      </c>
      <c r="BL54" s="42">
        <v>-999.06</v>
      </c>
      <c r="BM54" s="42">
        <v>1068.3499999999999</v>
      </c>
      <c r="BN54" s="42">
        <v>1085.3800000000001</v>
      </c>
      <c r="BO54" s="42">
        <v>1047.53</v>
      </c>
      <c r="BP54" s="42">
        <v>1336.85</v>
      </c>
      <c r="BQ54" s="42">
        <v>1272.6199999999999</v>
      </c>
      <c r="BR54" s="42">
        <v>1376.1</v>
      </c>
      <c r="BS54" s="42">
        <v>1261.3</v>
      </c>
      <c r="BT54" s="42">
        <v>837.34</v>
      </c>
      <c r="BU54" s="42">
        <v>1174.03</v>
      </c>
      <c r="BV54" s="42">
        <v>1093.94</v>
      </c>
      <c r="BW54" s="42">
        <v>596.12</v>
      </c>
      <c r="BX54" s="42">
        <v>-2115.3000000000002</v>
      </c>
      <c r="BY54" s="42">
        <v>-9955.1299999999992</v>
      </c>
      <c r="BZ54" s="42">
        <v>-1926.46</v>
      </c>
      <c r="CA54" s="42">
        <v>-2348.37</v>
      </c>
      <c r="CB54" s="42">
        <v>-2694.11</v>
      </c>
      <c r="CC54" s="42">
        <v>-2663.91</v>
      </c>
      <c r="CD54" s="42">
        <v>-2777.2</v>
      </c>
      <c r="CE54" s="42">
        <v>-2385.87</v>
      </c>
      <c r="CF54" s="42">
        <v>-2383.12</v>
      </c>
      <c r="CG54" s="42">
        <v>-2339.5100000000002</v>
      </c>
      <c r="CH54" s="42">
        <v>-1974.96</v>
      </c>
      <c r="CI54" s="43">
        <v>-1623.82</v>
      </c>
      <c r="CJ54" s="43">
        <v>-8.4700000000000006</v>
      </c>
      <c r="CK54" s="43">
        <v>0</v>
      </c>
      <c r="CL54" s="43">
        <v>0</v>
      </c>
      <c r="CM54" s="43">
        <v>0</v>
      </c>
      <c r="CN54" s="43">
        <v>0</v>
      </c>
      <c r="CO54" s="43">
        <v>0</v>
      </c>
      <c r="CP54" s="43">
        <v>0</v>
      </c>
      <c r="CQ54" s="43">
        <v>0</v>
      </c>
      <c r="CR54" s="43">
        <v>0</v>
      </c>
      <c r="CS54" s="43">
        <v>0</v>
      </c>
      <c r="CT54" s="43">
        <v>0</v>
      </c>
    </row>
    <row r="55" spans="1:98" x14ac:dyDescent="0.25">
      <c r="A55" s="33" t="s">
        <v>31</v>
      </c>
      <c r="B55" s="31"/>
      <c r="C55" s="31"/>
      <c r="D55" s="44">
        <f>SUM(D50:D54)</f>
        <v>0</v>
      </c>
      <c r="E55" s="44">
        <f t="shared" ref="E55:AW55" si="254">SUM(E50:E54)</f>
        <v>0</v>
      </c>
      <c r="F55" s="44">
        <f t="shared" si="254"/>
        <v>0</v>
      </c>
      <c r="G55" s="44">
        <f t="shared" si="254"/>
        <v>0</v>
      </c>
      <c r="H55" s="44">
        <f t="shared" si="254"/>
        <v>0</v>
      </c>
      <c r="I55" s="44">
        <f t="shared" si="254"/>
        <v>0</v>
      </c>
      <c r="J55" s="44">
        <f t="shared" si="254"/>
        <v>0</v>
      </c>
      <c r="K55" s="44">
        <f t="shared" si="254"/>
        <v>0</v>
      </c>
      <c r="L55" s="44">
        <f t="shared" si="254"/>
        <v>0</v>
      </c>
      <c r="M55" s="44">
        <f t="shared" si="254"/>
        <v>0</v>
      </c>
      <c r="N55" s="44">
        <f t="shared" si="254"/>
        <v>0</v>
      </c>
      <c r="O55" s="44">
        <f t="shared" si="254"/>
        <v>0</v>
      </c>
      <c r="P55" s="44">
        <f t="shared" si="254"/>
        <v>0</v>
      </c>
      <c r="Q55" s="44">
        <f t="shared" si="254"/>
        <v>1865586.4</v>
      </c>
      <c r="R55" s="44">
        <f t="shared" si="254"/>
        <v>1834668.9400000002</v>
      </c>
      <c r="S55" s="44">
        <f t="shared" si="254"/>
        <v>2295880.5500000003</v>
      </c>
      <c r="T55" s="44">
        <f t="shared" si="254"/>
        <v>2739739.71</v>
      </c>
      <c r="U55" s="44">
        <f t="shared" si="254"/>
        <v>2810029.6700000004</v>
      </c>
      <c r="V55" s="44">
        <f t="shared" si="254"/>
        <v>2397146.59</v>
      </c>
      <c r="W55" s="44">
        <f t="shared" si="254"/>
        <v>2196198.75</v>
      </c>
      <c r="X55" s="44">
        <f t="shared" si="254"/>
        <v>1955310.19</v>
      </c>
      <c r="Y55" s="44">
        <f t="shared" si="254"/>
        <v>2272928.3199999998</v>
      </c>
      <c r="Z55" s="44">
        <f t="shared" si="254"/>
        <v>3133513.62</v>
      </c>
      <c r="AA55" s="44">
        <f t="shared" si="254"/>
        <v>2686519.32</v>
      </c>
      <c r="AB55" s="44">
        <f t="shared" si="254"/>
        <v>2253809.6800000002</v>
      </c>
      <c r="AC55" s="44">
        <f t="shared" si="254"/>
        <v>2191880.6200000006</v>
      </c>
      <c r="AD55" s="44">
        <f t="shared" si="254"/>
        <v>2008078.9100000001</v>
      </c>
      <c r="AE55" s="44">
        <f t="shared" si="254"/>
        <v>2628092.9099999997</v>
      </c>
      <c r="AF55" s="44">
        <f t="shared" si="254"/>
        <v>2927384.4800000004</v>
      </c>
      <c r="AG55" s="44">
        <f t="shared" si="254"/>
        <v>2713828.6699999995</v>
      </c>
      <c r="AH55" s="44">
        <f t="shared" si="254"/>
        <v>2656476.0999999996</v>
      </c>
      <c r="AI55" s="44">
        <f t="shared" si="254"/>
        <v>2241568.5700000003</v>
      </c>
      <c r="AJ55" s="44">
        <f t="shared" si="254"/>
        <v>2050332.64</v>
      </c>
      <c r="AK55" s="44">
        <f t="shared" si="254"/>
        <v>2540211.56</v>
      </c>
      <c r="AL55" s="44">
        <f t="shared" si="254"/>
        <v>2758522.64</v>
      </c>
      <c r="AM55" s="44">
        <f t="shared" si="254"/>
        <v>3731846.29</v>
      </c>
      <c r="AN55" s="44">
        <f t="shared" si="254"/>
        <v>3504116.61</v>
      </c>
      <c r="AO55" s="44">
        <f t="shared" si="254"/>
        <v>2834702.33</v>
      </c>
      <c r="AP55" s="44">
        <f t="shared" si="254"/>
        <v>2693990.7500000005</v>
      </c>
      <c r="AQ55" s="44">
        <f t="shared" si="254"/>
        <v>3224890.5700000003</v>
      </c>
      <c r="AR55" s="44">
        <f t="shared" si="254"/>
        <v>3677369.7199999997</v>
      </c>
      <c r="AS55" s="44">
        <f t="shared" si="254"/>
        <v>3821939.25</v>
      </c>
      <c r="AT55" s="44">
        <f t="shared" si="254"/>
        <v>3698449.99</v>
      </c>
      <c r="AU55" s="44">
        <f t="shared" si="254"/>
        <v>3264460.08</v>
      </c>
      <c r="AV55" s="44">
        <f t="shared" si="254"/>
        <v>2921768.73</v>
      </c>
      <c r="AW55" s="44">
        <f t="shared" si="254"/>
        <v>3431438.0600000005</v>
      </c>
      <c r="AX55" s="44">
        <f t="shared" ref="AX55:AY55" si="255">SUM(AX50:AX54)</f>
        <v>3659744.19</v>
      </c>
      <c r="AY55" s="44">
        <f t="shared" si="255"/>
        <v>2389556.5699999998</v>
      </c>
      <c r="AZ55" s="44">
        <f t="shared" ref="AZ55:BA55" si="256">SUM(AZ50:AZ54)</f>
        <v>693510.74</v>
      </c>
      <c r="BA55" s="44">
        <f t="shared" si="256"/>
        <v>590167.06999999995</v>
      </c>
      <c r="BB55" s="44">
        <f t="shared" ref="BB55:BC55" si="257">SUM(BB50:BB54)</f>
        <v>548810.87999999989</v>
      </c>
      <c r="BC55" s="44">
        <f t="shared" si="257"/>
        <v>622900.26</v>
      </c>
      <c r="BD55" s="44">
        <f t="shared" ref="BD55:BE55" si="258">SUM(BD50:BD54)</f>
        <v>774512.69000000006</v>
      </c>
      <c r="BE55" s="44">
        <f t="shared" si="258"/>
        <v>770258.37</v>
      </c>
      <c r="BF55" s="44">
        <f t="shared" ref="BF55:BG55" si="259">SUM(BF50:BF54)</f>
        <v>751740.31</v>
      </c>
      <c r="BG55" s="44">
        <f t="shared" si="259"/>
        <v>622388.87</v>
      </c>
      <c r="BH55" s="44">
        <f t="shared" ref="BH55:BI55" si="260">SUM(BH50:BH54)</f>
        <v>618464.56000000006</v>
      </c>
      <c r="BI55" s="44">
        <f t="shared" si="260"/>
        <v>686712.57</v>
      </c>
      <c r="BJ55" s="44">
        <f t="shared" ref="BJ55:BK55" si="261">SUM(BJ50:BJ54)</f>
        <v>753788.79</v>
      </c>
      <c r="BK55" s="44">
        <f t="shared" si="261"/>
        <v>123252.23000000001</v>
      </c>
      <c r="BL55" s="44">
        <f t="shared" ref="BL55:BM55" si="262">SUM(BL50:BL54)</f>
        <v>-572800.92000000004</v>
      </c>
      <c r="BM55" s="44">
        <f t="shared" si="262"/>
        <v>-433116.61000000004</v>
      </c>
      <c r="BN55" s="44">
        <f t="shared" ref="BN55:BO55" si="263">SUM(BN50:BN54)</f>
        <v>-422296.81000000006</v>
      </c>
      <c r="BO55" s="44">
        <f t="shared" si="263"/>
        <v>-511624.21</v>
      </c>
      <c r="BP55" s="44">
        <f t="shared" ref="BP55:BQ55" si="264">SUM(BP50:BP54)</f>
        <v>-644535.94999999995</v>
      </c>
      <c r="BQ55" s="44">
        <f t="shared" si="264"/>
        <v>-648872.89000000013</v>
      </c>
      <c r="BR55" s="44">
        <f t="shared" ref="BR55:BS55" si="265">SUM(BR50:BR54)</f>
        <v>-646588.67000000004</v>
      </c>
      <c r="BS55" s="44">
        <f t="shared" si="265"/>
        <v>-495839.7</v>
      </c>
      <c r="BT55" s="44">
        <f t="shared" ref="BT55:BU55" si="266">SUM(BT50:BT54)</f>
        <v>-452926.68000000005</v>
      </c>
      <c r="BU55" s="44">
        <f t="shared" si="266"/>
        <v>-540882.02999999991</v>
      </c>
      <c r="BV55" s="44">
        <f t="shared" ref="BV55:BW55" si="267">SUM(BV50:BV54)</f>
        <v>-651029.75000000012</v>
      </c>
      <c r="BW55" s="44">
        <f t="shared" si="267"/>
        <v>-427144.88000000006</v>
      </c>
      <c r="BX55" s="44">
        <f t="shared" ref="BX55:BY55" si="268">SUM(BX50:BX54)</f>
        <v>-59180.160000000003</v>
      </c>
      <c r="BY55" s="44">
        <f t="shared" si="268"/>
        <v>-58562.48</v>
      </c>
      <c r="BZ55" s="44">
        <f t="shared" ref="BZ55:CA55" si="269">SUM(BZ50:BZ54)</f>
        <v>-50748.47</v>
      </c>
      <c r="CA55" s="44">
        <f t="shared" si="269"/>
        <v>-58661.3</v>
      </c>
      <c r="CB55" s="44">
        <f t="shared" ref="CB55:CC55" si="270">SUM(CB50:CB54)</f>
        <v>-68462.3</v>
      </c>
      <c r="CC55" s="44">
        <f t="shared" si="270"/>
        <v>-66846.460000000006</v>
      </c>
      <c r="CD55" s="44">
        <f t="shared" ref="CD55:CE55" si="271">SUM(CD50:CD54)</f>
        <v>-62475.109999999993</v>
      </c>
      <c r="CE55" s="44">
        <f t="shared" si="271"/>
        <v>-52251.13</v>
      </c>
      <c r="CF55" s="44">
        <f t="shared" ref="CF55:CG55" si="272">SUM(CF50:CF54)</f>
        <v>-49844.26</v>
      </c>
      <c r="CG55" s="44">
        <f t="shared" si="272"/>
        <v>-59378.83</v>
      </c>
      <c r="CH55" s="44">
        <f t="shared" ref="CH55:CI55" si="273">SUM(CH50:CH54)</f>
        <v>-62477.82</v>
      </c>
      <c r="CI55" s="44">
        <f t="shared" si="273"/>
        <v>-23191.069999999996</v>
      </c>
      <c r="CJ55" s="44">
        <f t="shared" ref="CJ55:CK55" si="274">SUM(CJ50:CJ54)</f>
        <v>25380.51</v>
      </c>
      <c r="CK55" s="44">
        <f t="shared" si="274"/>
        <v>22966.98</v>
      </c>
      <c r="CL55" s="44">
        <f t="shared" ref="CL55:CM55" si="275">SUM(CL50:CL54)</f>
        <v>20634.36</v>
      </c>
      <c r="CM55" s="44">
        <f t="shared" si="275"/>
        <v>25481.59</v>
      </c>
      <c r="CN55" s="44">
        <f t="shared" ref="CN55:CO55" si="276">SUM(CN50:CN54)</f>
        <v>31453.350000000002</v>
      </c>
      <c r="CO55" s="44">
        <f t="shared" si="276"/>
        <v>32480.49</v>
      </c>
      <c r="CP55" s="44">
        <f t="shared" ref="CP55:CQ55" si="277">SUM(CP50:CP54)</f>
        <v>30891.69</v>
      </c>
      <c r="CQ55" s="44">
        <f t="shared" si="277"/>
        <v>23718.19</v>
      </c>
      <c r="CR55" s="44">
        <f t="shared" ref="CR55:CS55" si="278">SUM(CR50:CR54)</f>
        <v>21245.09</v>
      </c>
      <c r="CS55" s="44">
        <f t="shared" si="278"/>
        <v>26837.759999999995</v>
      </c>
      <c r="CT55" s="44">
        <f t="shared" ref="CT55" si="279">SUM(CT50:CT54)</f>
        <v>33990.120000000003</v>
      </c>
    </row>
    <row r="56" spans="1:98" x14ac:dyDescent="0.25">
      <c r="A56" s="33"/>
      <c r="B56" s="31"/>
      <c r="C56" s="31"/>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row>
    <row r="57" spans="1:98" x14ac:dyDescent="0.25">
      <c r="A57" s="36" t="s">
        <v>61</v>
      </c>
      <c r="B57" s="37"/>
      <c r="C57" s="37"/>
      <c r="D57" s="41"/>
      <c r="E57" s="41"/>
      <c r="F57" s="41"/>
      <c r="G57" s="41"/>
      <c r="H57" s="41"/>
      <c r="I57" s="51"/>
      <c r="J57" s="51"/>
      <c r="K57" s="41"/>
      <c r="L57" s="51"/>
      <c r="M57" s="51"/>
      <c r="N57" s="41"/>
      <c r="O57" s="69"/>
      <c r="P57" s="42"/>
      <c r="Q57" s="42">
        <v>-32811.980000000003</v>
      </c>
      <c r="R57" s="42">
        <v>-27741.82</v>
      </c>
      <c r="S57" s="42">
        <v>-33591.72</v>
      </c>
      <c r="T57" s="42">
        <v>-43701.210000000006</v>
      </c>
      <c r="U57" s="42">
        <v>-44913.150000000016</v>
      </c>
      <c r="V57" s="42">
        <v>-37075.26</v>
      </c>
      <c r="W57" s="42">
        <v>-33337.619999999995</v>
      </c>
      <c r="X57" s="42">
        <v>-34636.379999999997</v>
      </c>
      <c r="Y57" s="42">
        <v>-46816.780000000006</v>
      </c>
      <c r="Z57" s="42">
        <v>-74379.199999999997</v>
      </c>
      <c r="AA57" s="42">
        <v>-53026.439999999981</v>
      </c>
      <c r="AB57" s="42">
        <v>-42925.730000000018</v>
      </c>
      <c r="AC57" s="42">
        <v>-42106.7</v>
      </c>
      <c r="AD57" s="42">
        <v>-28791.75</v>
      </c>
      <c r="AE57" s="42">
        <v>-35930.130000000005</v>
      </c>
      <c r="AF57" s="42">
        <v>-41963.429999999993</v>
      </c>
      <c r="AG57" s="42">
        <v>-36995.590000000011</v>
      </c>
      <c r="AH57" s="42">
        <v>-35204.390000000014</v>
      </c>
      <c r="AI57" s="42">
        <v>-30748.660000000003</v>
      </c>
      <c r="AJ57" s="42">
        <v>-34618.68</v>
      </c>
      <c r="AK57" s="42">
        <v>-50285.730000000018</v>
      </c>
      <c r="AL57" s="42">
        <v>-55873.150000000009</v>
      </c>
      <c r="AM57" s="42">
        <v>-60492.490000000013</v>
      </c>
      <c r="AN57" s="42">
        <v>-55114.330000000009</v>
      </c>
      <c r="AO57" s="42">
        <v>-36035.890000000007</v>
      </c>
      <c r="AP57" s="42">
        <v>-27170.160000000003</v>
      </c>
      <c r="AQ57" s="42">
        <v>-31591.290000000005</v>
      </c>
      <c r="AR57" s="42">
        <v>-38703.740000000013</v>
      </c>
      <c r="AS57" s="42">
        <v>-41224.720000000001</v>
      </c>
      <c r="AT57" s="42">
        <v>-37524.06</v>
      </c>
      <c r="AU57" s="42">
        <v>-31789.249999999996</v>
      </c>
      <c r="AV57" s="42">
        <v>-34917.82</v>
      </c>
      <c r="AW57" s="42">
        <v>-48130.950000000004</v>
      </c>
      <c r="AX57" s="42">
        <v>-53162.189999999995</v>
      </c>
      <c r="AY57" s="42">
        <v>-32508.630000000005</v>
      </c>
      <c r="AZ57" s="42">
        <v>-4700.05</v>
      </c>
      <c r="BA57" s="42">
        <v>-3259.1800000000003</v>
      </c>
      <c r="BB57" s="42">
        <v>-2682.7599999999998</v>
      </c>
      <c r="BC57" s="42">
        <v>-3058.82</v>
      </c>
      <c r="BD57" s="42">
        <v>-3921.83</v>
      </c>
      <c r="BE57" s="42">
        <v>-3613.12</v>
      </c>
      <c r="BF57" s="42">
        <v>-3328.0600000000004</v>
      </c>
      <c r="BG57" s="42">
        <v>-2482.1</v>
      </c>
      <c r="BH57" s="42">
        <v>-2937.02</v>
      </c>
      <c r="BI57" s="42">
        <v>-4062.2200000000003</v>
      </c>
      <c r="BJ57" s="42">
        <v>-5469.2800000000007</v>
      </c>
      <c r="BK57" s="42">
        <v>3825.8900000000003</v>
      </c>
      <c r="BL57" s="42">
        <v>11958.71</v>
      </c>
      <c r="BM57" s="42">
        <v>7797.5</v>
      </c>
      <c r="BN57" s="42">
        <v>6812.78</v>
      </c>
      <c r="BO57" s="42">
        <v>7728.46</v>
      </c>
      <c r="BP57" s="42">
        <v>10162.719999999999</v>
      </c>
      <c r="BQ57" s="42">
        <v>10354.620000000001</v>
      </c>
      <c r="BR57" s="42">
        <v>10275.1</v>
      </c>
      <c r="BS57" s="42">
        <v>7262</v>
      </c>
      <c r="BT57" s="42">
        <v>7844.09</v>
      </c>
      <c r="BU57" s="42">
        <v>10087.69</v>
      </c>
      <c r="BV57" s="42">
        <v>12406.73</v>
      </c>
      <c r="BW57" s="42">
        <v>8862.6500000000015</v>
      </c>
      <c r="BX57" s="42">
        <v>487.33999999999992</v>
      </c>
      <c r="BY57" s="42">
        <v>308.75</v>
      </c>
      <c r="BZ57" s="42">
        <v>257.05</v>
      </c>
      <c r="CA57" s="42">
        <v>302.51</v>
      </c>
      <c r="CB57" s="42">
        <v>412.95</v>
      </c>
      <c r="CC57" s="42">
        <v>413.28</v>
      </c>
      <c r="CD57" s="42">
        <v>356.38</v>
      </c>
      <c r="CE57" s="42">
        <v>279.54000000000002</v>
      </c>
      <c r="CF57" s="42">
        <v>295.49</v>
      </c>
      <c r="CG57" s="42">
        <v>480.58</v>
      </c>
      <c r="CH57" s="42">
        <v>587.4</v>
      </c>
      <c r="CI57" s="42">
        <v>-4.9800000000000004</v>
      </c>
      <c r="CJ57" s="42">
        <v>-743.90000000000009</v>
      </c>
      <c r="CK57" s="42">
        <v>-640.79999999999995</v>
      </c>
      <c r="CL57" s="42">
        <v>-500.27000000000004</v>
      </c>
      <c r="CM57" s="42">
        <v>-591.83999999999992</v>
      </c>
      <c r="CN57" s="42">
        <v>-763.37999999999988</v>
      </c>
      <c r="CO57" s="42">
        <v>-806.91999999999985</v>
      </c>
      <c r="CP57" s="42">
        <v>-754.26999999999987</v>
      </c>
      <c r="CQ57" s="42">
        <v>-592.09999999999991</v>
      </c>
      <c r="CR57" s="42">
        <v>-561.5</v>
      </c>
      <c r="CS57" s="42">
        <v>-824.4</v>
      </c>
      <c r="CT57" s="42">
        <v>-1074.04</v>
      </c>
    </row>
    <row r="58" spans="1:98" x14ac:dyDescent="0.25">
      <c r="B58" s="37"/>
      <c r="C58" s="37"/>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row>
    <row r="59" spans="1:98" x14ac:dyDescent="0.25">
      <c r="A59" s="27" t="s">
        <v>32</v>
      </c>
      <c r="B59" s="37"/>
      <c r="C59" s="37"/>
      <c r="S59" s="83"/>
    </row>
    <row r="60" spans="1:98" x14ac:dyDescent="0.25">
      <c r="A60" t="s">
        <v>33</v>
      </c>
      <c r="B60" s="37"/>
      <c r="C60" s="37"/>
      <c r="D60" s="81">
        <f t="shared" ref="D60:AW60" si="280">+D23</f>
        <v>993615280</v>
      </c>
      <c r="E60" s="81">
        <f t="shared" si="280"/>
        <v>799965556</v>
      </c>
      <c r="F60" s="81">
        <f t="shared" si="280"/>
        <v>694347365</v>
      </c>
      <c r="G60" s="81">
        <f t="shared" si="280"/>
        <v>1033880199</v>
      </c>
      <c r="H60" s="81">
        <f t="shared" si="280"/>
        <v>1389519683</v>
      </c>
      <c r="I60" s="81">
        <f t="shared" si="280"/>
        <v>1393717014</v>
      </c>
      <c r="J60" s="81">
        <f t="shared" si="280"/>
        <v>1260356462</v>
      </c>
      <c r="K60" s="81">
        <f t="shared" si="280"/>
        <v>898752689</v>
      </c>
      <c r="L60" s="81">
        <f t="shared" si="280"/>
        <v>737254549</v>
      </c>
      <c r="M60" s="81">
        <f t="shared" si="280"/>
        <v>1139687162</v>
      </c>
      <c r="N60" s="81">
        <f t="shared" si="280"/>
        <v>1486587515</v>
      </c>
      <c r="O60" s="81">
        <f t="shared" si="280"/>
        <v>1118519560</v>
      </c>
      <c r="P60" s="81">
        <f t="shared" si="280"/>
        <v>900425374</v>
      </c>
      <c r="Q60" s="81">
        <f t="shared" si="280"/>
        <v>785388980</v>
      </c>
      <c r="R60" s="81">
        <f t="shared" si="280"/>
        <v>745552820</v>
      </c>
      <c r="S60" s="81">
        <f t="shared" si="280"/>
        <v>999249366</v>
      </c>
      <c r="T60" s="81">
        <f t="shared" si="280"/>
        <v>1328710328</v>
      </c>
      <c r="U60" s="81">
        <f t="shared" si="280"/>
        <v>1345571317</v>
      </c>
      <c r="V60" s="81">
        <f t="shared" si="280"/>
        <v>1065182267</v>
      </c>
      <c r="W60" s="81">
        <f t="shared" si="280"/>
        <v>935823271</v>
      </c>
      <c r="X60" s="81">
        <f t="shared" si="280"/>
        <v>821487370</v>
      </c>
      <c r="Y60" s="81">
        <f t="shared" si="280"/>
        <v>1061048123</v>
      </c>
      <c r="Z60" s="81">
        <f t="shared" si="280"/>
        <v>1655009463</v>
      </c>
      <c r="AA60" s="81">
        <f t="shared" si="280"/>
        <v>1329247401</v>
      </c>
      <c r="AB60" s="81">
        <f t="shared" si="280"/>
        <v>1071720684</v>
      </c>
      <c r="AC60" s="81">
        <f t="shared" si="280"/>
        <v>1035354332</v>
      </c>
      <c r="AD60" s="81">
        <f t="shared" si="280"/>
        <v>838111932</v>
      </c>
      <c r="AE60" s="81">
        <f t="shared" si="280"/>
        <v>1238437606</v>
      </c>
      <c r="AF60" s="81">
        <f t="shared" si="280"/>
        <v>1451979984</v>
      </c>
      <c r="AG60" s="81">
        <f t="shared" si="280"/>
        <v>1300666274</v>
      </c>
      <c r="AH60" s="81">
        <f t="shared" si="280"/>
        <v>1250635703</v>
      </c>
      <c r="AI60" s="81">
        <f t="shared" si="280"/>
        <v>971081766</v>
      </c>
      <c r="AJ60" s="81">
        <f t="shared" si="280"/>
        <v>906818656</v>
      </c>
      <c r="AK60" s="81">
        <f t="shared" si="280"/>
        <v>1263779046</v>
      </c>
      <c r="AL60" s="81">
        <f t="shared" si="280"/>
        <v>1395672993</v>
      </c>
      <c r="AM60" s="81">
        <f t="shared" si="280"/>
        <v>1407530571</v>
      </c>
      <c r="AN60" s="81">
        <f t="shared" si="280"/>
        <v>1268128455</v>
      </c>
      <c r="AO60" s="81">
        <f t="shared" si="280"/>
        <v>872933544</v>
      </c>
      <c r="AP60" s="81">
        <f t="shared" si="280"/>
        <v>738196558</v>
      </c>
      <c r="AQ60" s="81">
        <f t="shared" si="280"/>
        <v>978975302</v>
      </c>
      <c r="AR60" s="81">
        <f t="shared" si="280"/>
        <v>1243909773</v>
      </c>
      <c r="AS60" s="81">
        <f t="shared" si="280"/>
        <v>1310015315</v>
      </c>
      <c r="AT60" s="81">
        <f t="shared" si="280"/>
        <v>1208033233</v>
      </c>
      <c r="AU60" s="81">
        <f t="shared" si="280"/>
        <v>993546162</v>
      </c>
      <c r="AV60" s="81">
        <f t="shared" si="280"/>
        <v>897156231</v>
      </c>
      <c r="AW60" s="81">
        <f t="shared" si="280"/>
        <v>1208147189</v>
      </c>
      <c r="AX60" s="81">
        <f t="shared" ref="AX60:AY60" si="281">+AX23</f>
        <v>1334184680</v>
      </c>
      <c r="AY60" s="81">
        <f t="shared" si="281"/>
        <v>1302694951</v>
      </c>
      <c r="AZ60" s="81">
        <f t="shared" ref="AZ60:BE60" si="282">+AZ23</f>
        <v>1123586700</v>
      </c>
      <c r="BA60" s="81">
        <f t="shared" si="282"/>
        <v>886578697</v>
      </c>
      <c r="BB60" s="81">
        <f t="shared" si="282"/>
        <v>790098101</v>
      </c>
      <c r="BC60" s="81">
        <f t="shared" si="282"/>
        <v>1041013964</v>
      </c>
      <c r="BD60" s="81">
        <f t="shared" si="282"/>
        <v>1397050553</v>
      </c>
      <c r="BE60" s="81">
        <f t="shared" si="282"/>
        <v>1310723723</v>
      </c>
      <c r="BF60" s="81">
        <f t="shared" ref="BF60:BG60" si="283">+BF23</f>
        <v>1275164339</v>
      </c>
      <c r="BG60" s="81">
        <f t="shared" si="283"/>
        <v>800796996</v>
      </c>
      <c r="BH60" s="81">
        <f t="shared" ref="BH60:BI60" si="284">+BH23</f>
        <v>856955103</v>
      </c>
      <c r="BI60" s="81">
        <f t="shared" si="284"/>
        <v>1137867523</v>
      </c>
      <c r="BJ60" s="81">
        <f t="shared" ref="BJ60:BK60" si="285">+BJ23</f>
        <v>1482496943</v>
      </c>
      <c r="BK60" s="81">
        <f t="shared" si="285"/>
        <v>1507047480</v>
      </c>
      <c r="BL60" s="81">
        <f t="shared" ref="BL60:BM60" si="286">+BL23</f>
        <v>1193201650</v>
      </c>
      <c r="BM60" s="81">
        <f t="shared" si="286"/>
        <v>803567941</v>
      </c>
      <c r="BN60" s="81">
        <f t="shared" ref="BN60:BO60" si="287">+BN23</f>
        <v>753161249</v>
      </c>
      <c r="BO60" s="81">
        <f t="shared" si="287"/>
        <v>1061485022</v>
      </c>
      <c r="BP60" s="81">
        <f t="shared" ref="BP60:BQ60" si="288">+BP23</f>
        <v>1299384453</v>
      </c>
      <c r="BQ60" s="81">
        <f t="shared" si="288"/>
        <v>1325635096</v>
      </c>
      <c r="BR60" s="81">
        <f t="shared" ref="BR60:BS60" si="289">+BR23</f>
        <v>1302322503</v>
      </c>
      <c r="BS60" s="81">
        <f t="shared" si="289"/>
        <v>902367562</v>
      </c>
      <c r="BT60" s="81">
        <f t="shared" ref="BT60:BU60" si="290">+BT23</f>
        <v>849229853</v>
      </c>
      <c r="BU60" s="81">
        <f t="shared" si="290"/>
        <v>1063566547</v>
      </c>
      <c r="BV60" s="81">
        <f t="shared" ref="BV60:BW60" si="291">+BV23</f>
        <v>1372451320</v>
      </c>
      <c r="BW60" s="81">
        <f t="shared" si="291"/>
        <v>1445914846</v>
      </c>
      <c r="BX60" s="81">
        <f t="shared" ref="BX60:BY60" si="292">+BX23</f>
        <v>1156058653</v>
      </c>
      <c r="BY60" s="81">
        <f t="shared" si="292"/>
        <v>900363528</v>
      </c>
      <c r="BZ60" s="81">
        <f t="shared" ref="BZ60:CA60" si="293">+BZ23</f>
        <v>837159184</v>
      </c>
      <c r="CA60" s="81">
        <f t="shared" si="293"/>
        <v>1060197293</v>
      </c>
      <c r="CB60" s="81">
        <f t="shared" ref="CB60:CC60" si="294">+CB23</f>
        <v>1457350528</v>
      </c>
      <c r="CC60" s="81">
        <f t="shared" si="294"/>
        <v>1390553772</v>
      </c>
      <c r="CD60" s="81">
        <f t="shared" ref="CD60:CE60" si="295">+CD23</f>
        <v>1159635260</v>
      </c>
      <c r="CE60" s="81">
        <f t="shared" si="295"/>
        <v>837049627</v>
      </c>
      <c r="CF60" s="81">
        <f t="shared" ref="CF60:CG60" si="296">+CF23</f>
        <v>795371527</v>
      </c>
      <c r="CG60" s="81">
        <f t="shared" si="296"/>
        <v>1056098740.4689</v>
      </c>
      <c r="CH60" s="81">
        <f t="shared" ref="CH60:CI60" si="297">+CH23</f>
        <v>1465026007</v>
      </c>
      <c r="CI60" s="81">
        <f t="shared" si="297"/>
        <v>1251994199</v>
      </c>
      <c r="CJ60" s="81">
        <f t="shared" ref="CJ60:CK60" si="298">+CJ23</f>
        <v>1034539781</v>
      </c>
      <c r="CK60" s="81">
        <f t="shared" si="298"/>
        <v>890081676</v>
      </c>
      <c r="CL60" s="81">
        <f t="shared" ref="CL60:CM60" si="299">+CL23</f>
        <v>758154085</v>
      </c>
      <c r="CM60" s="81">
        <f t="shared" si="299"/>
        <v>977251664</v>
      </c>
      <c r="CN60" s="81">
        <f t="shared" ref="CN60:CO60" si="300">+CN23</f>
        <v>1278057997</v>
      </c>
      <c r="CO60" s="81">
        <f t="shared" si="300"/>
        <v>1318572650</v>
      </c>
      <c r="CP60" s="81">
        <f t="shared" ref="CP60:CQ60" si="301">+CP23</f>
        <v>1220075915</v>
      </c>
      <c r="CQ60" s="81">
        <f t="shared" si="301"/>
        <v>887307993</v>
      </c>
      <c r="CR60" s="81">
        <f t="shared" ref="CR60:CS60" si="302">+CR23</f>
        <v>778350513.42400002</v>
      </c>
      <c r="CS60" s="81">
        <f t="shared" si="302"/>
        <v>1086671129</v>
      </c>
      <c r="CT60" s="81">
        <f t="shared" ref="CT60" si="303">+CT23</f>
        <v>1422169141</v>
      </c>
    </row>
    <row r="61" spans="1:98" x14ac:dyDescent="0.25">
      <c r="A61" t="s">
        <v>34</v>
      </c>
      <c r="B61" s="37"/>
      <c r="C61" s="37"/>
      <c r="D61" s="81">
        <f t="shared" ref="D61:AW61" si="304">+D24</f>
        <v>260227273</v>
      </c>
      <c r="E61" s="81">
        <f t="shared" si="304"/>
        <v>236480663</v>
      </c>
      <c r="F61" s="81">
        <f t="shared" si="304"/>
        <v>226604577</v>
      </c>
      <c r="G61" s="81">
        <f t="shared" si="304"/>
        <v>276800633</v>
      </c>
      <c r="H61" s="81">
        <f t="shared" si="304"/>
        <v>328433342</v>
      </c>
      <c r="I61" s="81">
        <f t="shared" si="304"/>
        <v>327996744</v>
      </c>
      <c r="J61" s="81">
        <f t="shared" si="304"/>
        <v>315410170</v>
      </c>
      <c r="K61" s="81">
        <f t="shared" si="304"/>
        <v>268275261</v>
      </c>
      <c r="L61" s="81">
        <f t="shared" si="304"/>
        <v>238400191</v>
      </c>
      <c r="M61" s="81">
        <f t="shared" si="304"/>
        <v>276639061</v>
      </c>
      <c r="N61" s="81">
        <f t="shared" si="304"/>
        <v>331623730</v>
      </c>
      <c r="O61" s="81">
        <f t="shared" si="304"/>
        <v>274620464</v>
      </c>
      <c r="P61" s="81">
        <f t="shared" si="304"/>
        <v>244043467</v>
      </c>
      <c r="Q61" s="81">
        <f t="shared" si="304"/>
        <v>230986921</v>
      </c>
      <c r="R61" s="81">
        <f t="shared" si="304"/>
        <v>228484392</v>
      </c>
      <c r="S61" s="81">
        <f t="shared" si="304"/>
        <v>271547337</v>
      </c>
      <c r="T61" s="81">
        <f t="shared" si="304"/>
        <v>314773105</v>
      </c>
      <c r="U61" s="81">
        <f t="shared" si="304"/>
        <v>317794583</v>
      </c>
      <c r="V61" s="81">
        <f t="shared" si="304"/>
        <v>284270101</v>
      </c>
      <c r="W61" s="81">
        <f t="shared" si="304"/>
        <v>269129889</v>
      </c>
      <c r="X61" s="81">
        <f t="shared" si="304"/>
        <v>240618906</v>
      </c>
      <c r="Y61" s="81">
        <f t="shared" si="304"/>
        <v>265688240</v>
      </c>
      <c r="Z61" s="81">
        <f t="shared" si="304"/>
        <v>350848362</v>
      </c>
      <c r="AA61" s="81">
        <f t="shared" si="304"/>
        <v>304988610</v>
      </c>
      <c r="AB61" s="81">
        <f t="shared" si="304"/>
        <v>267166722</v>
      </c>
      <c r="AC61" s="81">
        <f t="shared" si="304"/>
        <v>263421812</v>
      </c>
      <c r="AD61" s="81">
        <f t="shared" si="304"/>
        <v>238338730</v>
      </c>
      <c r="AE61" s="81">
        <f t="shared" si="304"/>
        <v>299991891</v>
      </c>
      <c r="AF61" s="81">
        <f t="shared" si="304"/>
        <v>330814291</v>
      </c>
      <c r="AG61" s="81">
        <f t="shared" si="304"/>
        <v>309298324</v>
      </c>
      <c r="AH61" s="81">
        <f t="shared" si="304"/>
        <v>303923884</v>
      </c>
      <c r="AI61" s="81">
        <f t="shared" si="304"/>
        <v>267631865</v>
      </c>
      <c r="AJ61" s="81">
        <f t="shared" si="304"/>
        <v>241319654</v>
      </c>
      <c r="AK61" s="81">
        <f t="shared" si="304"/>
        <v>291652347</v>
      </c>
      <c r="AL61" s="81">
        <f t="shared" si="304"/>
        <v>307968093</v>
      </c>
      <c r="AM61" s="81">
        <f t="shared" si="304"/>
        <v>308068267</v>
      </c>
      <c r="AN61" s="81">
        <f t="shared" si="304"/>
        <v>290178959</v>
      </c>
      <c r="AO61" s="81">
        <f t="shared" si="304"/>
        <v>235096003</v>
      </c>
      <c r="AP61" s="81">
        <f t="shared" si="304"/>
        <v>221772499</v>
      </c>
      <c r="AQ61" s="81">
        <f t="shared" si="304"/>
        <v>258735845</v>
      </c>
      <c r="AR61" s="81">
        <f t="shared" si="304"/>
        <v>295975497</v>
      </c>
      <c r="AS61" s="81">
        <f t="shared" si="304"/>
        <v>304175879</v>
      </c>
      <c r="AT61" s="81">
        <f t="shared" si="304"/>
        <v>293549572</v>
      </c>
      <c r="AU61" s="81">
        <f t="shared" si="304"/>
        <v>264736629</v>
      </c>
      <c r="AV61" s="81">
        <f t="shared" si="304"/>
        <v>237145043</v>
      </c>
      <c r="AW61" s="81">
        <f t="shared" si="304"/>
        <v>278572550</v>
      </c>
      <c r="AX61" s="81">
        <f t="shared" ref="AX61:AY61" si="305">+AX24</f>
        <v>297050898</v>
      </c>
      <c r="AY61" s="81">
        <f t="shared" si="305"/>
        <v>290934660</v>
      </c>
      <c r="AZ61" s="81">
        <f t="shared" ref="AZ61:BA61" si="306">+AZ24</f>
        <v>265078600</v>
      </c>
      <c r="BA61" s="81">
        <f t="shared" si="306"/>
        <v>203506574</v>
      </c>
      <c r="BB61" s="81">
        <f t="shared" ref="BB61:BC61" si="307">+BB24</f>
        <v>184563246</v>
      </c>
      <c r="BC61" s="81">
        <f t="shared" si="307"/>
        <v>231230759</v>
      </c>
      <c r="BD61" s="81">
        <f t="shared" ref="BD61:BE61" si="308">+BD24</f>
        <v>288425422</v>
      </c>
      <c r="BE61" s="81">
        <f t="shared" si="308"/>
        <v>281389691</v>
      </c>
      <c r="BF61" s="81">
        <f t="shared" ref="BF61:BG61" si="309">+BF24</f>
        <v>269111017</v>
      </c>
      <c r="BG61" s="81">
        <f t="shared" si="309"/>
        <v>218212399</v>
      </c>
      <c r="BH61" s="81">
        <f t="shared" ref="BH61:BI61" si="310">+BH24</f>
        <v>218068919</v>
      </c>
      <c r="BI61" s="81">
        <f t="shared" si="310"/>
        <v>251883126</v>
      </c>
      <c r="BJ61" s="81">
        <f t="shared" ref="BJ61:BK61" si="311">+BJ24</f>
        <v>300425840</v>
      </c>
      <c r="BK61" s="81">
        <f t="shared" si="311"/>
        <v>303577891</v>
      </c>
      <c r="BL61" s="81">
        <f t="shared" ref="BL61:BM61" si="312">+BL24</f>
        <v>265359424</v>
      </c>
      <c r="BM61" s="81">
        <f t="shared" si="312"/>
        <v>211100441</v>
      </c>
      <c r="BN61" s="81">
        <f t="shared" ref="BN61:BO61" si="313">+BN24</f>
        <v>205986967</v>
      </c>
      <c r="BO61" s="81">
        <f t="shared" si="313"/>
        <v>264522271</v>
      </c>
      <c r="BP61" s="81">
        <f t="shared" ref="BP61:BQ61" si="314">+BP24</f>
        <v>291815734</v>
      </c>
      <c r="BQ61" s="81">
        <f t="shared" si="314"/>
        <v>291413887</v>
      </c>
      <c r="BR61" s="81">
        <f t="shared" ref="BR61:BS61" si="315">+BR24</f>
        <v>294374400</v>
      </c>
      <c r="BS61" s="81">
        <f t="shared" si="315"/>
        <v>245524134</v>
      </c>
      <c r="BT61" s="81">
        <f t="shared" ref="BT61:BU61" si="316">+BT24</f>
        <v>219607166</v>
      </c>
      <c r="BU61" s="81">
        <f t="shared" si="316"/>
        <v>250466096</v>
      </c>
      <c r="BV61" s="81">
        <f t="shared" ref="BV61:BW61" si="317">+BV24</f>
        <v>295383726</v>
      </c>
      <c r="BW61" s="81">
        <f t="shared" si="317"/>
        <v>301077290</v>
      </c>
      <c r="BX61" s="81">
        <f t="shared" ref="BX61:BY61" si="318">+BX24</f>
        <v>261058604</v>
      </c>
      <c r="BY61" s="81">
        <f t="shared" si="318"/>
        <v>230949228</v>
      </c>
      <c r="BZ61" s="81">
        <f t="shared" ref="BZ61:CA61" si="319">+BZ24</f>
        <v>223998788</v>
      </c>
      <c r="CA61" s="81">
        <f t="shared" si="319"/>
        <v>260692423</v>
      </c>
      <c r="CB61" s="81">
        <f t="shared" ref="CB61:CC61" si="320">+CB24</f>
        <v>312328749</v>
      </c>
      <c r="CC61" s="81">
        <f t="shared" si="320"/>
        <v>305346654</v>
      </c>
      <c r="CD61" s="81">
        <f t="shared" ref="CD61:CE61" si="321">+CD24</f>
        <v>279929276</v>
      </c>
      <c r="CE61" s="81">
        <f t="shared" si="321"/>
        <v>230143220</v>
      </c>
      <c r="CF61" s="81">
        <f t="shared" ref="CF61:CG61" si="322">+CF24</f>
        <v>219390300</v>
      </c>
      <c r="CG61" s="81">
        <f t="shared" si="322"/>
        <v>274277285</v>
      </c>
      <c r="CH61" s="81">
        <f t="shared" ref="CH61:CI61" si="323">+CH24</f>
        <v>313843493</v>
      </c>
      <c r="CI61" s="81">
        <f t="shared" si="323"/>
        <v>275065920</v>
      </c>
      <c r="CJ61" s="81">
        <f t="shared" ref="CJ61:CK61" si="324">+CJ24</f>
        <v>246366200</v>
      </c>
      <c r="CK61" s="81">
        <f t="shared" si="324"/>
        <v>226379912</v>
      </c>
      <c r="CL61" s="81">
        <f t="shared" ref="CL61:CM61" si="325">+CL24</f>
        <v>209000108</v>
      </c>
      <c r="CM61" s="81">
        <f t="shared" si="325"/>
        <v>251344146</v>
      </c>
      <c r="CN61" s="81">
        <f t="shared" ref="CN61:CO61" si="326">+CN24</f>
        <v>291402974</v>
      </c>
      <c r="CO61" s="81">
        <f t="shared" si="326"/>
        <v>297748759</v>
      </c>
      <c r="CP61" s="81">
        <f t="shared" ref="CP61:CQ61" si="327">+CP24</f>
        <v>290701055</v>
      </c>
      <c r="CQ61" s="81">
        <f t="shared" si="327"/>
        <v>244186013</v>
      </c>
      <c r="CR61" s="81">
        <f t="shared" ref="CR61:CS61" si="328">+CR24</f>
        <v>224485019</v>
      </c>
      <c r="CS61" s="81">
        <f t="shared" si="328"/>
        <v>258087459</v>
      </c>
      <c r="CT61" s="81">
        <f t="shared" ref="CT61" si="329">+CT24</f>
        <v>311334710</v>
      </c>
    </row>
    <row r="62" spans="1:98" x14ac:dyDescent="0.25">
      <c r="A62" t="s">
        <v>35</v>
      </c>
      <c r="B62" s="37"/>
      <c r="C62" s="37"/>
      <c r="D62" s="81">
        <f t="shared" ref="D62:AW62" si="330">+D25</f>
        <v>596370095</v>
      </c>
      <c r="E62" s="81">
        <f t="shared" si="330"/>
        <v>585567373</v>
      </c>
      <c r="F62" s="81">
        <f t="shared" si="330"/>
        <v>584363020</v>
      </c>
      <c r="G62" s="81">
        <f t="shared" si="330"/>
        <v>661650596</v>
      </c>
      <c r="H62" s="81">
        <f t="shared" si="330"/>
        <v>744450846</v>
      </c>
      <c r="I62" s="81">
        <f t="shared" si="330"/>
        <v>746230356</v>
      </c>
      <c r="J62" s="81">
        <f t="shared" si="330"/>
        <v>749176357</v>
      </c>
      <c r="K62" s="81">
        <f t="shared" si="330"/>
        <v>659221190</v>
      </c>
      <c r="L62" s="81">
        <f t="shared" si="330"/>
        <v>600231827</v>
      </c>
      <c r="M62" s="81">
        <f t="shared" si="330"/>
        <v>624953134</v>
      </c>
      <c r="N62" s="81">
        <f t="shared" si="330"/>
        <v>693030252</v>
      </c>
      <c r="O62" s="81">
        <f t="shared" si="330"/>
        <v>607344097</v>
      </c>
      <c r="P62" s="81">
        <f t="shared" si="330"/>
        <v>572358448</v>
      </c>
      <c r="Q62" s="81">
        <f t="shared" si="330"/>
        <v>562854773</v>
      </c>
      <c r="R62" s="81">
        <f t="shared" si="330"/>
        <v>578075204</v>
      </c>
      <c r="S62" s="81">
        <f t="shared" si="330"/>
        <v>655641906</v>
      </c>
      <c r="T62" s="81">
        <f t="shared" si="330"/>
        <v>714056556</v>
      </c>
      <c r="U62" s="81">
        <f t="shared" si="330"/>
        <v>727381902</v>
      </c>
      <c r="V62" s="81">
        <f t="shared" si="330"/>
        <v>685704779</v>
      </c>
      <c r="W62" s="81">
        <f t="shared" si="330"/>
        <v>658415575</v>
      </c>
      <c r="X62" s="81">
        <f t="shared" si="330"/>
        <v>591258230</v>
      </c>
      <c r="Y62" s="81">
        <f t="shared" si="330"/>
        <v>617045102</v>
      </c>
      <c r="Z62" s="81">
        <f t="shared" si="330"/>
        <v>713223360</v>
      </c>
      <c r="AA62" s="81">
        <f t="shared" si="330"/>
        <v>637748229</v>
      </c>
      <c r="AB62" s="81">
        <f t="shared" si="330"/>
        <v>591995322</v>
      </c>
      <c r="AC62" s="81">
        <f t="shared" si="330"/>
        <v>597309651</v>
      </c>
      <c r="AD62" s="81">
        <f t="shared" si="330"/>
        <v>591787732</v>
      </c>
      <c r="AE62" s="81">
        <f t="shared" si="330"/>
        <v>706111391</v>
      </c>
      <c r="AF62" s="81">
        <f t="shared" si="330"/>
        <v>750019857</v>
      </c>
      <c r="AG62" s="81">
        <f t="shared" si="330"/>
        <v>709167976</v>
      </c>
      <c r="AH62" s="81">
        <f t="shared" si="330"/>
        <v>721543630</v>
      </c>
      <c r="AI62" s="81">
        <f t="shared" si="330"/>
        <v>655717182</v>
      </c>
      <c r="AJ62" s="81">
        <f t="shared" si="330"/>
        <v>583325592</v>
      </c>
      <c r="AK62" s="81">
        <f t="shared" si="330"/>
        <v>635010680</v>
      </c>
      <c r="AL62" s="81">
        <f t="shared" si="330"/>
        <v>645753087</v>
      </c>
      <c r="AM62" s="81">
        <f t="shared" si="330"/>
        <v>624256369</v>
      </c>
      <c r="AN62" s="81">
        <f t="shared" si="330"/>
        <v>599641261</v>
      </c>
      <c r="AO62" s="81">
        <f t="shared" si="330"/>
        <v>546450417</v>
      </c>
      <c r="AP62" s="81">
        <f t="shared" si="330"/>
        <v>548775486</v>
      </c>
      <c r="AQ62" s="81">
        <f t="shared" si="330"/>
        <v>609609142</v>
      </c>
      <c r="AR62" s="81">
        <f t="shared" si="330"/>
        <v>656813642</v>
      </c>
      <c r="AS62" s="81">
        <f t="shared" si="330"/>
        <v>671886437</v>
      </c>
      <c r="AT62" s="81">
        <f t="shared" si="330"/>
        <v>678219627</v>
      </c>
      <c r="AU62" s="81">
        <f t="shared" si="330"/>
        <v>622550219</v>
      </c>
      <c r="AV62" s="81">
        <f t="shared" si="330"/>
        <v>549600433</v>
      </c>
      <c r="AW62" s="81">
        <f t="shared" si="330"/>
        <v>596432225</v>
      </c>
      <c r="AX62" s="81">
        <f t="shared" ref="AX62:AY62" si="331">+AX25</f>
        <v>616923082</v>
      </c>
      <c r="AY62" s="81">
        <f t="shared" si="331"/>
        <v>599527620</v>
      </c>
      <c r="AZ62" s="81">
        <f t="shared" ref="AZ62:BA62" si="332">+AZ25</f>
        <v>566693954</v>
      </c>
      <c r="BA62" s="81">
        <f t="shared" si="332"/>
        <v>483801855</v>
      </c>
      <c r="BB62" s="81">
        <f t="shared" ref="BB62:BC62" si="333">+BB25</f>
        <v>451939609</v>
      </c>
      <c r="BC62" s="81">
        <f t="shared" si="333"/>
        <v>534583835</v>
      </c>
      <c r="BD62" s="81">
        <f t="shared" ref="BD62:BE62" si="334">+BD25</f>
        <v>624356693</v>
      </c>
      <c r="BE62" s="81">
        <f t="shared" si="334"/>
        <v>621885740</v>
      </c>
      <c r="BF62" s="81">
        <f t="shared" ref="BF62:BG62" si="335">+BF25</f>
        <v>619148163</v>
      </c>
      <c r="BG62" s="81">
        <f t="shared" si="335"/>
        <v>528448107.69999999</v>
      </c>
      <c r="BH62" s="81">
        <f t="shared" ref="BH62:BI62" si="336">+BH25</f>
        <v>514648084</v>
      </c>
      <c r="BI62" s="81">
        <f t="shared" si="336"/>
        <v>553120787</v>
      </c>
      <c r="BJ62" s="81">
        <f t="shared" ref="BJ62:BK62" si="337">+BJ25</f>
        <v>592823385</v>
      </c>
      <c r="BK62" s="81">
        <f t="shared" si="337"/>
        <v>585712392</v>
      </c>
      <c r="BL62" s="81">
        <f t="shared" ref="BL62:BM62" si="338">+BL25</f>
        <v>543642088</v>
      </c>
      <c r="BM62" s="81">
        <f t="shared" si="338"/>
        <v>483262229</v>
      </c>
      <c r="BN62" s="81">
        <f t="shared" ref="BN62:BO62" si="339">+BN25</f>
        <v>492375125.19999999</v>
      </c>
      <c r="BO62" s="81">
        <f t="shared" si="339"/>
        <v>586671915</v>
      </c>
      <c r="BP62" s="81">
        <f t="shared" ref="BP62:BQ62" si="340">+BP25</f>
        <v>641235470</v>
      </c>
      <c r="BQ62" s="81">
        <f t="shared" si="340"/>
        <v>634777638</v>
      </c>
      <c r="BR62" s="81">
        <f t="shared" ref="BR62:BS62" si="341">+BR25</f>
        <v>647017474</v>
      </c>
      <c r="BS62" s="81">
        <f t="shared" si="341"/>
        <v>568724491</v>
      </c>
      <c r="BT62" s="81">
        <f t="shared" ref="BT62:BU62" si="342">+BT25</f>
        <v>505304455</v>
      </c>
      <c r="BU62" s="81">
        <f t="shared" si="342"/>
        <v>555282313.60000002</v>
      </c>
      <c r="BV62" s="81">
        <f t="shared" ref="BV62:BW62" si="343">+BV25</f>
        <v>590675076</v>
      </c>
      <c r="BW62" s="81">
        <f t="shared" si="343"/>
        <v>582248455</v>
      </c>
      <c r="BX62" s="81">
        <f t="shared" ref="BX62:BY62" si="344">+BX25</f>
        <v>534070902</v>
      </c>
      <c r="BY62" s="81">
        <f t="shared" si="344"/>
        <v>506459043</v>
      </c>
      <c r="BZ62" s="81">
        <f t="shared" ref="BZ62:CA62" si="345">+BZ25</f>
        <v>516003997</v>
      </c>
      <c r="CA62" s="81">
        <f t="shared" si="345"/>
        <v>579943536</v>
      </c>
      <c r="CB62" s="81">
        <f t="shared" ref="CB62:CC62" si="346">+CB25</f>
        <v>650768443</v>
      </c>
      <c r="CC62" s="81">
        <f t="shared" si="346"/>
        <v>645110540</v>
      </c>
      <c r="CD62" s="81">
        <f t="shared" ref="CD62:CE62" si="347">+CD25</f>
        <v>617464584</v>
      </c>
      <c r="CE62" s="81">
        <f t="shared" si="347"/>
        <v>530232061</v>
      </c>
      <c r="CF62" s="81">
        <f t="shared" ref="CF62:CG62" si="348">+CF25</f>
        <v>516180366</v>
      </c>
      <c r="CG62" s="81">
        <f t="shared" si="348"/>
        <v>573339069</v>
      </c>
      <c r="CH62" s="81">
        <f t="shared" ref="CH62:CI62" si="349">+CH25</f>
        <v>603008465</v>
      </c>
      <c r="CI62" s="81">
        <f t="shared" si="349"/>
        <v>535848689</v>
      </c>
      <c r="CJ62" s="81">
        <f t="shared" ref="CJ62:CK62" si="350">+CJ25</f>
        <v>513226736</v>
      </c>
      <c r="CK62" s="81">
        <f t="shared" si="350"/>
        <v>490211820</v>
      </c>
      <c r="CL62" s="81">
        <f t="shared" ref="CL62:CM62" si="351">+CL25</f>
        <v>487205076</v>
      </c>
      <c r="CM62" s="81">
        <f t="shared" si="351"/>
        <v>550130655</v>
      </c>
      <c r="CN62" s="81">
        <f t="shared" ref="CN62:CO62" si="352">+CN25</f>
        <v>592309179</v>
      </c>
      <c r="CO62" s="81">
        <f t="shared" si="352"/>
        <v>613854730</v>
      </c>
      <c r="CP62" s="81">
        <f t="shared" ref="CP62:CQ62" si="353">+CP25</f>
        <v>614247424</v>
      </c>
      <c r="CQ62" s="81">
        <f t="shared" si="353"/>
        <v>540155873</v>
      </c>
      <c r="CR62" s="81">
        <f t="shared" ref="CR62:CS62" si="354">+CR25</f>
        <v>496155566</v>
      </c>
      <c r="CS62" s="81">
        <f t="shared" si="354"/>
        <v>533840032</v>
      </c>
      <c r="CT62" s="81">
        <f t="shared" ref="CT62" si="355">+CT25</f>
        <v>585074116</v>
      </c>
    </row>
    <row r="63" spans="1:98" x14ac:dyDescent="0.25">
      <c r="A63" t="s">
        <v>36</v>
      </c>
      <c r="B63" s="37"/>
      <c r="C63" s="37"/>
      <c r="D63" s="81">
        <f t="shared" ref="D63:AW63" si="356">+D26</f>
        <v>247441789</v>
      </c>
      <c r="E63" s="81">
        <f t="shared" si="356"/>
        <v>263524459</v>
      </c>
      <c r="F63" s="81">
        <f t="shared" si="356"/>
        <v>273810149</v>
      </c>
      <c r="G63" s="81">
        <f t="shared" si="356"/>
        <v>281099842</v>
      </c>
      <c r="H63" s="81">
        <f t="shared" si="356"/>
        <v>312186695</v>
      </c>
      <c r="I63" s="81">
        <f t="shared" si="356"/>
        <v>304162315</v>
      </c>
      <c r="J63" s="81">
        <f t="shared" si="356"/>
        <v>330143172</v>
      </c>
      <c r="K63" s="81">
        <f t="shared" si="356"/>
        <v>280092260</v>
      </c>
      <c r="L63" s="81">
        <f t="shared" si="356"/>
        <v>268855946</v>
      </c>
      <c r="M63" s="81">
        <f t="shared" si="356"/>
        <v>269553572</v>
      </c>
      <c r="N63" s="81">
        <f t="shared" si="356"/>
        <v>287482958</v>
      </c>
      <c r="O63" s="81">
        <f t="shared" si="356"/>
        <v>284042474</v>
      </c>
      <c r="P63" s="81">
        <f t="shared" si="356"/>
        <v>243773343</v>
      </c>
      <c r="Q63" s="81">
        <f t="shared" si="356"/>
        <v>262317859</v>
      </c>
      <c r="R63" s="81">
        <f t="shared" si="356"/>
        <v>265729533</v>
      </c>
      <c r="S63" s="81">
        <f t="shared" si="356"/>
        <v>305383990</v>
      </c>
      <c r="T63" s="81">
        <f t="shared" si="356"/>
        <v>299141306</v>
      </c>
      <c r="U63" s="81">
        <f t="shared" si="356"/>
        <v>315582091</v>
      </c>
      <c r="V63" s="81">
        <f t="shared" si="356"/>
        <v>303646750</v>
      </c>
      <c r="W63" s="81">
        <f t="shared" si="356"/>
        <v>297206861</v>
      </c>
      <c r="X63" s="81">
        <f t="shared" si="356"/>
        <v>267769856</v>
      </c>
      <c r="Y63" s="81">
        <f t="shared" si="356"/>
        <v>280403761</v>
      </c>
      <c r="Z63" s="81">
        <f t="shared" si="356"/>
        <v>308993823</v>
      </c>
      <c r="AA63" s="81">
        <f t="shared" si="356"/>
        <v>274104685</v>
      </c>
      <c r="AB63" s="81">
        <f t="shared" si="356"/>
        <v>272372147</v>
      </c>
      <c r="AC63" s="81">
        <f t="shared" si="356"/>
        <v>251417733</v>
      </c>
      <c r="AD63" s="81">
        <f t="shared" si="356"/>
        <v>289575324</v>
      </c>
      <c r="AE63" s="81">
        <f t="shared" si="356"/>
        <v>314032531</v>
      </c>
      <c r="AF63" s="81">
        <f t="shared" si="356"/>
        <v>325203026</v>
      </c>
      <c r="AG63" s="81">
        <f t="shared" si="356"/>
        <v>319660753</v>
      </c>
      <c r="AH63" s="81">
        <f t="shared" si="356"/>
        <v>311095874</v>
      </c>
      <c r="AI63" s="81">
        <f t="shared" si="356"/>
        <v>289535965</v>
      </c>
      <c r="AJ63" s="81">
        <f t="shared" si="356"/>
        <v>271491896</v>
      </c>
      <c r="AK63" s="81">
        <f t="shared" si="356"/>
        <v>291933586</v>
      </c>
      <c r="AL63" s="81">
        <f t="shared" si="356"/>
        <v>252980562</v>
      </c>
      <c r="AM63" s="81">
        <f t="shared" si="356"/>
        <v>248710812</v>
      </c>
      <c r="AN63" s="81">
        <f t="shared" si="356"/>
        <v>242499726</v>
      </c>
      <c r="AO63" s="81">
        <f t="shared" si="356"/>
        <v>232539680</v>
      </c>
      <c r="AP63" s="81">
        <f t="shared" si="356"/>
        <v>229224298</v>
      </c>
      <c r="AQ63" s="81">
        <f t="shared" si="356"/>
        <v>266349220</v>
      </c>
      <c r="AR63" s="81">
        <f t="shared" si="356"/>
        <v>267674678</v>
      </c>
      <c r="AS63" s="81">
        <f t="shared" si="356"/>
        <v>281003685</v>
      </c>
      <c r="AT63" s="81">
        <f t="shared" si="356"/>
        <v>279302255</v>
      </c>
      <c r="AU63" s="81">
        <f t="shared" si="356"/>
        <v>258807768</v>
      </c>
      <c r="AV63" s="81">
        <f t="shared" si="356"/>
        <v>239334214</v>
      </c>
      <c r="AW63" s="81">
        <f t="shared" si="356"/>
        <v>241025466</v>
      </c>
      <c r="AX63" s="81">
        <f t="shared" ref="AX63:AY63" si="357">+AX26</f>
        <v>247898204</v>
      </c>
      <c r="AY63" s="81">
        <f t="shared" si="357"/>
        <v>255420215</v>
      </c>
      <c r="AZ63" s="81">
        <f t="shared" ref="AZ63:BA63" si="358">+AZ26</f>
        <v>225135566</v>
      </c>
      <c r="BA63" s="81">
        <f t="shared" si="358"/>
        <v>219961316</v>
      </c>
      <c r="BB63" s="81">
        <f t="shared" ref="BB63:BC63" si="359">+BB26</f>
        <v>207074154</v>
      </c>
      <c r="BC63" s="81">
        <f t="shared" si="359"/>
        <v>241165089</v>
      </c>
      <c r="BD63" s="81">
        <f t="shared" ref="BD63:BE63" si="360">+BD26</f>
        <v>253833450</v>
      </c>
      <c r="BE63" s="81">
        <f t="shared" si="360"/>
        <v>266058831</v>
      </c>
      <c r="BF63" s="81">
        <f t="shared" ref="BF63:BG63" si="361">+BF26</f>
        <v>266126792</v>
      </c>
      <c r="BG63" s="81">
        <f t="shared" si="361"/>
        <v>236673642.40000001</v>
      </c>
      <c r="BH63" s="81">
        <f t="shared" ref="BH63:BI63" si="362">+BH26</f>
        <v>234876378</v>
      </c>
      <c r="BI63" s="81">
        <f t="shared" si="362"/>
        <v>245759481</v>
      </c>
      <c r="BJ63" s="81">
        <f t="shared" ref="BJ63:BK63" si="363">+BJ26</f>
        <v>241302585</v>
      </c>
      <c r="BK63" s="81">
        <f t="shared" si="363"/>
        <v>254211213</v>
      </c>
      <c r="BL63" s="81">
        <f t="shared" ref="BL63:BM63" si="364">+BL26</f>
        <v>216207694</v>
      </c>
      <c r="BM63" s="81">
        <f t="shared" si="364"/>
        <v>214809052</v>
      </c>
      <c r="BN63" s="81">
        <f t="shared" ref="BN63:BO63" si="365">+BN26</f>
        <v>221576502.5</v>
      </c>
      <c r="BO63" s="81">
        <f t="shared" si="365"/>
        <v>232417188</v>
      </c>
      <c r="BP63" s="81">
        <f t="shared" ref="BP63:BQ63" si="366">+BP26</f>
        <v>286577542</v>
      </c>
      <c r="BQ63" s="81">
        <f t="shared" si="366"/>
        <v>263115351</v>
      </c>
      <c r="BR63" s="81">
        <f t="shared" ref="BR63:BS63" si="367">+BR26</f>
        <v>266455046</v>
      </c>
      <c r="BS63" s="81">
        <f t="shared" si="367"/>
        <v>230080105</v>
      </c>
      <c r="BT63" s="81">
        <f t="shared" ref="BT63:BU63" si="368">+BT26</f>
        <v>200697530</v>
      </c>
      <c r="BU63" s="81">
        <f t="shared" si="368"/>
        <v>269908616.5</v>
      </c>
      <c r="BV63" s="81">
        <f t="shared" ref="BV63:BW63" si="369">+BV26</f>
        <v>254759231</v>
      </c>
      <c r="BW63" s="81">
        <f t="shared" si="369"/>
        <v>236605471</v>
      </c>
      <c r="BX63" s="81">
        <f t="shared" ref="BX63:BY63" si="370">+BX26</f>
        <v>220600472</v>
      </c>
      <c r="BY63" s="81">
        <f t="shared" si="370"/>
        <v>227017145</v>
      </c>
      <c r="BZ63" s="81">
        <f t="shared" ref="BZ63:CA63" si="371">+BZ26</f>
        <v>225997805</v>
      </c>
      <c r="CA63" s="81">
        <f t="shared" si="371"/>
        <v>251076328</v>
      </c>
      <c r="CB63" s="81">
        <f t="shared" ref="CB63:CC63" si="372">+CB26</f>
        <v>267504084</v>
      </c>
      <c r="CC63" s="81">
        <f t="shared" si="372"/>
        <v>272015339</v>
      </c>
      <c r="CD63" s="81">
        <f t="shared" ref="CD63:CE63" si="373">+CD26</f>
        <v>258297228</v>
      </c>
      <c r="CE63" s="81">
        <f t="shared" si="373"/>
        <v>229178636</v>
      </c>
      <c r="CF63" s="81">
        <f t="shared" ref="CF63:CG63" si="374">+CF26</f>
        <v>231438770</v>
      </c>
      <c r="CG63" s="81">
        <f t="shared" si="374"/>
        <v>241377872</v>
      </c>
      <c r="CH63" s="81">
        <f t="shared" ref="CH63:CI63" si="375">+CH26</f>
        <v>231408894</v>
      </c>
      <c r="CI63" s="81">
        <f t="shared" si="375"/>
        <v>221649717</v>
      </c>
      <c r="CJ63" s="81">
        <f t="shared" ref="CJ63:CK63" si="376">+CJ26</f>
        <v>205003755</v>
      </c>
      <c r="CK63" s="81">
        <f t="shared" si="376"/>
        <v>219436038</v>
      </c>
      <c r="CL63" s="81">
        <f t="shared" ref="CL63:CM63" si="377">+CL26</f>
        <v>219271209</v>
      </c>
      <c r="CM63" s="81">
        <f t="shared" si="377"/>
        <v>232550715</v>
      </c>
      <c r="CN63" s="81">
        <f t="shared" ref="CN63:CO63" si="378">+CN26</f>
        <v>235130742</v>
      </c>
      <c r="CO63" s="81">
        <f t="shared" si="378"/>
        <v>262292552</v>
      </c>
      <c r="CP63" s="81">
        <f t="shared" ref="CP63:CQ63" si="379">+CP26</f>
        <v>254203699</v>
      </c>
      <c r="CQ63" s="81">
        <f t="shared" si="379"/>
        <v>220702925</v>
      </c>
      <c r="CR63" s="81">
        <f t="shared" ref="CR63:CS63" si="380">+CR26</f>
        <v>219441539</v>
      </c>
      <c r="CS63" s="81">
        <f t="shared" si="380"/>
        <v>218534163</v>
      </c>
      <c r="CT63" s="81">
        <f t="shared" ref="CT63" si="381">+CT26</f>
        <v>232541184</v>
      </c>
    </row>
    <row r="64" spans="1:98" x14ac:dyDescent="0.25">
      <c r="A64" t="s">
        <v>37</v>
      </c>
      <c r="B64" s="37"/>
      <c r="C64" s="37"/>
      <c r="D64" s="81">
        <f t="shared" ref="D64:AW64" si="382">+D27</f>
        <v>127273740</v>
      </c>
      <c r="E64" s="81">
        <f t="shared" si="382"/>
        <v>133415922</v>
      </c>
      <c r="F64" s="81">
        <f t="shared" si="382"/>
        <v>133920097</v>
      </c>
      <c r="G64" s="81">
        <f t="shared" si="382"/>
        <v>151320401</v>
      </c>
      <c r="H64" s="81">
        <f t="shared" si="382"/>
        <v>158812387</v>
      </c>
      <c r="I64" s="81">
        <f t="shared" si="382"/>
        <v>160367769</v>
      </c>
      <c r="J64" s="81">
        <f t="shared" si="382"/>
        <v>176194341</v>
      </c>
      <c r="K64" s="81">
        <f t="shared" si="382"/>
        <v>154604539</v>
      </c>
      <c r="L64" s="81">
        <f t="shared" si="382"/>
        <v>142536252</v>
      </c>
      <c r="M64" s="81">
        <f t="shared" si="382"/>
        <v>134004611</v>
      </c>
      <c r="N64" s="81">
        <f t="shared" si="382"/>
        <v>132646039</v>
      </c>
      <c r="O64" s="81">
        <f t="shared" si="382"/>
        <v>136324918</v>
      </c>
      <c r="P64" s="81">
        <f t="shared" si="382"/>
        <v>118000396</v>
      </c>
      <c r="Q64" s="81">
        <f t="shared" si="382"/>
        <v>130771713</v>
      </c>
      <c r="R64" s="81">
        <f t="shared" si="382"/>
        <v>133006544</v>
      </c>
      <c r="S64" s="81">
        <f t="shared" si="382"/>
        <v>158813593</v>
      </c>
      <c r="T64" s="81">
        <f t="shared" si="382"/>
        <v>150211763</v>
      </c>
      <c r="U64" s="81">
        <f t="shared" si="382"/>
        <v>166478792</v>
      </c>
      <c r="V64" s="81">
        <f t="shared" si="382"/>
        <v>158634223</v>
      </c>
      <c r="W64" s="81">
        <f t="shared" si="382"/>
        <v>151247524</v>
      </c>
      <c r="X64" s="81">
        <f t="shared" si="382"/>
        <v>147830606</v>
      </c>
      <c r="Y64" s="81">
        <f t="shared" si="382"/>
        <v>132139915</v>
      </c>
      <c r="Z64" s="81">
        <f t="shared" si="382"/>
        <v>134787267</v>
      </c>
      <c r="AA64" s="81">
        <f t="shared" si="382"/>
        <v>125603697</v>
      </c>
      <c r="AB64" s="81">
        <f t="shared" si="382"/>
        <v>125857767</v>
      </c>
      <c r="AC64" s="81">
        <f t="shared" si="382"/>
        <v>119174583</v>
      </c>
      <c r="AD64" s="81">
        <f t="shared" si="382"/>
        <v>136766539</v>
      </c>
      <c r="AE64" s="81">
        <f t="shared" si="382"/>
        <v>151258088</v>
      </c>
      <c r="AF64" s="81">
        <f t="shared" si="382"/>
        <v>155948179</v>
      </c>
      <c r="AG64" s="81">
        <f t="shared" si="382"/>
        <v>160224923</v>
      </c>
      <c r="AH64" s="81">
        <f t="shared" si="382"/>
        <v>150480926</v>
      </c>
      <c r="AI64" s="81">
        <f t="shared" si="382"/>
        <v>148580162</v>
      </c>
      <c r="AJ64" s="81">
        <f t="shared" si="382"/>
        <v>139627995</v>
      </c>
      <c r="AK64" s="81">
        <f t="shared" si="382"/>
        <v>135972391</v>
      </c>
      <c r="AL64" s="81">
        <f t="shared" si="382"/>
        <v>101960146</v>
      </c>
      <c r="AM64" s="81">
        <f t="shared" si="382"/>
        <v>96075286</v>
      </c>
      <c r="AN64" s="81">
        <f t="shared" si="382"/>
        <v>99309923</v>
      </c>
      <c r="AO64" s="81">
        <f t="shared" si="382"/>
        <v>98876748</v>
      </c>
      <c r="AP64" s="81">
        <f t="shared" si="382"/>
        <v>96480454</v>
      </c>
      <c r="AQ64" s="81">
        <f t="shared" si="382"/>
        <v>121526151</v>
      </c>
      <c r="AR64" s="81">
        <f t="shared" si="382"/>
        <v>113123855</v>
      </c>
      <c r="AS64" s="81">
        <f t="shared" si="382"/>
        <v>125262874</v>
      </c>
      <c r="AT64" s="81">
        <f t="shared" si="382"/>
        <v>126945040</v>
      </c>
      <c r="AU64" s="81">
        <f t="shared" si="382"/>
        <v>119752379</v>
      </c>
      <c r="AV64" s="81">
        <f t="shared" si="382"/>
        <v>106348532</v>
      </c>
      <c r="AW64" s="81">
        <f t="shared" si="382"/>
        <v>100067076</v>
      </c>
      <c r="AX64" s="81">
        <f t="shared" ref="AX64:AY64" si="383">+AX27</f>
        <v>105899561</v>
      </c>
      <c r="AY64" s="81">
        <f t="shared" si="383"/>
        <v>111203176</v>
      </c>
      <c r="AZ64" s="81">
        <f t="shared" ref="AZ64:BA64" si="384">+AZ27</f>
        <v>86704807</v>
      </c>
      <c r="BA64" s="81">
        <f t="shared" si="384"/>
        <v>92097434</v>
      </c>
      <c r="BB64" s="81">
        <f t="shared" ref="BB64:BC64" si="385">+BB27</f>
        <v>93506334</v>
      </c>
      <c r="BC64" s="81">
        <f t="shared" si="385"/>
        <v>92139707</v>
      </c>
      <c r="BD64" s="81">
        <f t="shared" ref="BD64:BE64" si="386">+BD27</f>
        <v>105110654</v>
      </c>
      <c r="BE64" s="81">
        <f t="shared" si="386"/>
        <v>108265948</v>
      </c>
      <c r="BF64" s="81">
        <f t="shared" ref="BF64:BG64" si="387">+BF27</f>
        <v>109806573</v>
      </c>
      <c r="BG64" s="81">
        <f t="shared" si="387"/>
        <v>96724322.099999994</v>
      </c>
      <c r="BH64" s="81">
        <f t="shared" ref="BH64:BI64" si="388">+BH27</f>
        <v>94866307</v>
      </c>
      <c r="BI64" s="81">
        <f t="shared" si="388"/>
        <v>96874394</v>
      </c>
      <c r="BJ64" s="81">
        <f t="shared" ref="BJ64:BK64" si="389">+BJ27</f>
        <v>84244327</v>
      </c>
      <c r="BK64" s="81">
        <f t="shared" si="389"/>
        <v>112346620</v>
      </c>
      <c r="BL64" s="81">
        <f t="shared" ref="BL64:BM64" si="390">+BL27</f>
        <v>50801494</v>
      </c>
      <c r="BM64" s="81">
        <f t="shared" si="390"/>
        <v>85186767</v>
      </c>
      <c r="BN64" s="81">
        <f t="shared" ref="BN64:BO64" si="391">+BN27</f>
        <v>94290468.700000003</v>
      </c>
      <c r="BO64" s="81">
        <f t="shared" si="391"/>
        <v>96665030</v>
      </c>
      <c r="BP64" s="81">
        <f t="shared" ref="BP64:BQ64" si="392">+BP27</f>
        <v>111403127</v>
      </c>
      <c r="BQ64" s="81">
        <f t="shared" si="392"/>
        <v>106051211</v>
      </c>
      <c r="BR64" s="81">
        <f t="shared" ref="BR64:BS64" si="393">+BR27</f>
        <v>114673513</v>
      </c>
      <c r="BS64" s="81">
        <f t="shared" si="393"/>
        <v>105106440</v>
      </c>
      <c r="BT64" s="81">
        <f t="shared" ref="BT64:BU64" si="394">+BT27</f>
        <v>69778498</v>
      </c>
      <c r="BU64" s="81">
        <f t="shared" si="394"/>
        <v>120928612.40000001</v>
      </c>
      <c r="BV64" s="81">
        <f t="shared" ref="BV64:BW64" si="395">+BV27</f>
        <v>91160220</v>
      </c>
      <c r="BW64" s="81">
        <f t="shared" si="395"/>
        <v>84926008</v>
      </c>
      <c r="BX64" s="81">
        <f t="shared" ref="BX64:BY64" si="396">+BX27</f>
        <v>81012090</v>
      </c>
      <c r="BY64" s="81">
        <f t="shared" si="396"/>
        <v>85726323</v>
      </c>
      <c r="BZ64" s="81">
        <f t="shared" ref="BZ64:CA64" si="397">+BZ27</f>
        <v>71350428</v>
      </c>
      <c r="CA64" s="81">
        <f t="shared" si="397"/>
        <v>86976917</v>
      </c>
      <c r="CB64" s="81">
        <f t="shared" ref="CB64:CC64" si="398">+CB27</f>
        <v>99783323</v>
      </c>
      <c r="CC64" s="81">
        <f t="shared" si="398"/>
        <v>98663196</v>
      </c>
      <c r="CD64" s="81">
        <f t="shared" ref="CD64:CE64" si="399">+CD27</f>
        <v>102858299</v>
      </c>
      <c r="CE64" s="81">
        <f t="shared" si="399"/>
        <v>88364839</v>
      </c>
      <c r="CF64" s="81">
        <f t="shared" ref="CF64:CG64" si="400">+CF27</f>
        <v>88263402</v>
      </c>
      <c r="CG64" s="81">
        <f t="shared" si="400"/>
        <v>86648705</v>
      </c>
      <c r="CH64" s="81">
        <f t="shared" ref="CH64:CI64" si="401">+CH27</f>
        <v>77135409</v>
      </c>
      <c r="CI64" s="81">
        <f t="shared" si="401"/>
        <v>74737407</v>
      </c>
      <c r="CJ64" s="81">
        <f t="shared" ref="CJ64:CK64" si="402">+CJ27</f>
        <v>64517924</v>
      </c>
      <c r="CK64" s="81">
        <f t="shared" si="402"/>
        <v>64659611</v>
      </c>
      <c r="CL64" s="81">
        <f t="shared" ref="CL64:CM64" si="403">+CL27</f>
        <v>67634326</v>
      </c>
      <c r="CM64" s="81">
        <f t="shared" si="403"/>
        <v>81350810</v>
      </c>
      <c r="CN64" s="81">
        <f t="shared" ref="CN64:CO64" si="404">+CN27</f>
        <v>76194105</v>
      </c>
      <c r="CO64" s="81">
        <f t="shared" si="404"/>
        <v>87357832</v>
      </c>
      <c r="CP64" s="81">
        <f t="shared" ref="CP64:CQ64" si="405">+CP27</f>
        <v>95274398</v>
      </c>
      <c r="CQ64" s="81">
        <f t="shared" si="405"/>
        <v>96078281</v>
      </c>
      <c r="CR64" s="81">
        <f t="shared" ref="CR64:CS64" si="406">+CR27</f>
        <v>85657578</v>
      </c>
      <c r="CS64" s="81">
        <f t="shared" si="406"/>
        <v>96441503</v>
      </c>
      <c r="CT64" s="81">
        <f t="shared" ref="CT64" si="407">+CT27</f>
        <v>86731223</v>
      </c>
    </row>
    <row r="65" spans="1:98" x14ac:dyDescent="0.25">
      <c r="A65" s="33" t="s">
        <v>31</v>
      </c>
      <c r="B65" s="31"/>
      <c r="C65" s="31"/>
      <c r="D65" s="34">
        <f>SUM(D60:D64)</f>
        <v>2224928177</v>
      </c>
      <c r="E65" s="34">
        <f t="shared" ref="E65:AW65" si="408">SUM(E60:E64)</f>
        <v>2018953973</v>
      </c>
      <c r="F65" s="34">
        <f t="shared" si="408"/>
        <v>1913045208</v>
      </c>
      <c r="G65" s="34">
        <f t="shared" si="408"/>
        <v>2404751671</v>
      </c>
      <c r="H65" s="34">
        <f t="shared" si="408"/>
        <v>2933402953</v>
      </c>
      <c r="I65" s="34">
        <f t="shared" si="408"/>
        <v>2932474198</v>
      </c>
      <c r="J65" s="34">
        <f t="shared" si="408"/>
        <v>2831280502</v>
      </c>
      <c r="K65" s="34">
        <f t="shared" si="408"/>
        <v>2260945939</v>
      </c>
      <c r="L65" s="34">
        <f t="shared" si="408"/>
        <v>1987278765</v>
      </c>
      <c r="M65" s="34">
        <f t="shared" si="408"/>
        <v>2444837540</v>
      </c>
      <c r="N65" s="34">
        <f t="shared" si="408"/>
        <v>2931370494</v>
      </c>
      <c r="O65" s="34">
        <f t="shared" si="408"/>
        <v>2420851513</v>
      </c>
      <c r="P65" s="34">
        <f t="shared" si="408"/>
        <v>2078601028</v>
      </c>
      <c r="Q65" s="34">
        <f t="shared" si="408"/>
        <v>1972320246</v>
      </c>
      <c r="R65" s="34">
        <f t="shared" si="408"/>
        <v>1950848493</v>
      </c>
      <c r="S65" s="34">
        <f t="shared" si="408"/>
        <v>2390636192</v>
      </c>
      <c r="T65" s="34">
        <f t="shared" si="408"/>
        <v>2806893058</v>
      </c>
      <c r="U65" s="34">
        <f t="shared" si="408"/>
        <v>2872808685</v>
      </c>
      <c r="V65" s="34">
        <f t="shared" si="408"/>
        <v>2497438120</v>
      </c>
      <c r="W65" s="34">
        <f t="shared" si="408"/>
        <v>2311823120</v>
      </c>
      <c r="X65" s="34">
        <f t="shared" si="408"/>
        <v>2068964968</v>
      </c>
      <c r="Y65" s="34">
        <f t="shared" si="408"/>
        <v>2356325141</v>
      </c>
      <c r="Z65" s="34">
        <f t="shared" si="408"/>
        <v>3162862275</v>
      </c>
      <c r="AA65" s="34">
        <f t="shared" si="408"/>
        <v>2671692622</v>
      </c>
      <c r="AB65" s="34">
        <f t="shared" si="408"/>
        <v>2329112642</v>
      </c>
      <c r="AC65" s="34">
        <f t="shared" si="408"/>
        <v>2266678111</v>
      </c>
      <c r="AD65" s="34">
        <f t="shared" si="408"/>
        <v>2094580257</v>
      </c>
      <c r="AE65" s="34">
        <f t="shared" si="408"/>
        <v>2709831507</v>
      </c>
      <c r="AF65" s="34">
        <f t="shared" si="408"/>
        <v>3013965337</v>
      </c>
      <c r="AG65" s="34">
        <f t="shared" si="408"/>
        <v>2799018250</v>
      </c>
      <c r="AH65" s="34">
        <f t="shared" si="408"/>
        <v>2737680017</v>
      </c>
      <c r="AI65" s="34">
        <f t="shared" si="408"/>
        <v>2332546940</v>
      </c>
      <c r="AJ65" s="34">
        <f t="shared" si="408"/>
        <v>2142583793</v>
      </c>
      <c r="AK65" s="34">
        <f t="shared" si="408"/>
        <v>2618348050</v>
      </c>
      <c r="AL65" s="34">
        <f t="shared" si="408"/>
        <v>2704334881</v>
      </c>
      <c r="AM65" s="34">
        <f t="shared" si="408"/>
        <v>2684641305</v>
      </c>
      <c r="AN65" s="34">
        <f t="shared" si="408"/>
        <v>2499758324</v>
      </c>
      <c r="AO65" s="34">
        <f t="shared" si="408"/>
        <v>1985896392</v>
      </c>
      <c r="AP65" s="34">
        <f t="shared" si="408"/>
        <v>1834449295</v>
      </c>
      <c r="AQ65" s="34">
        <f t="shared" si="408"/>
        <v>2235195660</v>
      </c>
      <c r="AR65" s="34">
        <f t="shared" si="408"/>
        <v>2577497445</v>
      </c>
      <c r="AS65" s="34">
        <f t="shared" si="408"/>
        <v>2692344190</v>
      </c>
      <c r="AT65" s="34">
        <f t="shared" si="408"/>
        <v>2586049727</v>
      </c>
      <c r="AU65" s="34">
        <f t="shared" si="408"/>
        <v>2259393157</v>
      </c>
      <c r="AV65" s="34">
        <f t="shared" si="408"/>
        <v>2029584453</v>
      </c>
      <c r="AW65" s="34">
        <f t="shared" si="408"/>
        <v>2424244506</v>
      </c>
      <c r="AX65" s="34">
        <f t="shared" ref="AX65:AY65" si="409">SUM(AX60:AX64)</f>
        <v>2601956425</v>
      </c>
      <c r="AY65" s="34">
        <f t="shared" si="409"/>
        <v>2559780622</v>
      </c>
      <c r="AZ65" s="34">
        <f t="shared" ref="AZ65:BA65" si="410">SUM(AZ60:AZ64)</f>
        <v>2267199627</v>
      </c>
      <c r="BA65" s="34">
        <f t="shared" si="410"/>
        <v>1885945876</v>
      </c>
      <c r="BB65" s="34">
        <f t="shared" ref="BB65:BC65" si="411">SUM(BB60:BB64)</f>
        <v>1727181444</v>
      </c>
      <c r="BC65" s="34">
        <f t="shared" si="411"/>
        <v>2140133354</v>
      </c>
      <c r="BD65" s="34">
        <f t="shared" ref="BD65:BE65" si="412">SUM(BD60:BD64)</f>
        <v>2668776772</v>
      </c>
      <c r="BE65" s="34">
        <f t="shared" si="412"/>
        <v>2588323933</v>
      </c>
      <c r="BF65" s="34">
        <f t="shared" ref="BF65:BG65" si="413">SUM(BF60:BF64)</f>
        <v>2539356884</v>
      </c>
      <c r="BG65" s="34">
        <f t="shared" si="413"/>
        <v>1880855467.2</v>
      </c>
      <c r="BH65" s="34">
        <f t="shared" ref="BH65:BI65" si="414">SUM(BH60:BH64)</f>
        <v>1919414791</v>
      </c>
      <c r="BI65" s="34">
        <f t="shared" si="414"/>
        <v>2285505311</v>
      </c>
      <c r="BJ65" s="34">
        <f t="shared" ref="BJ65:BK65" si="415">SUM(BJ60:BJ64)</f>
        <v>2701293080</v>
      </c>
      <c r="BK65" s="34">
        <f t="shared" si="415"/>
        <v>2762895596</v>
      </c>
      <c r="BL65" s="34">
        <f t="shared" ref="BL65:BM65" si="416">SUM(BL60:BL64)</f>
        <v>2269212350</v>
      </c>
      <c r="BM65" s="34">
        <f t="shared" si="416"/>
        <v>1797926430</v>
      </c>
      <c r="BN65" s="34">
        <f t="shared" ref="BN65:BO65" si="417">SUM(BN60:BN64)</f>
        <v>1767390312.4000001</v>
      </c>
      <c r="BO65" s="34">
        <f t="shared" si="417"/>
        <v>2241761426</v>
      </c>
      <c r="BP65" s="34">
        <f t="shared" ref="BP65:BQ65" si="418">SUM(BP60:BP64)</f>
        <v>2630416326</v>
      </c>
      <c r="BQ65" s="34">
        <f t="shared" si="418"/>
        <v>2620993183</v>
      </c>
      <c r="BR65" s="34">
        <f t="shared" ref="BR65:BS65" si="419">SUM(BR60:BR64)</f>
        <v>2624842936</v>
      </c>
      <c r="BS65" s="34">
        <f t="shared" si="419"/>
        <v>2051802732</v>
      </c>
      <c r="BT65" s="34">
        <f t="shared" ref="BT65:BU65" si="420">SUM(BT60:BT64)</f>
        <v>1844617502</v>
      </c>
      <c r="BU65" s="34">
        <f t="shared" si="420"/>
        <v>2260152185.5</v>
      </c>
      <c r="BV65" s="34">
        <f t="shared" ref="BV65:BW65" si="421">SUM(BV60:BV64)</f>
        <v>2604429573</v>
      </c>
      <c r="BW65" s="34">
        <f t="shared" si="421"/>
        <v>2650772070</v>
      </c>
      <c r="BX65" s="34">
        <f t="shared" ref="BX65:BY65" si="422">SUM(BX60:BX64)</f>
        <v>2252800721</v>
      </c>
      <c r="BY65" s="34">
        <f t="shared" si="422"/>
        <v>1950515267</v>
      </c>
      <c r="BZ65" s="34">
        <f t="shared" ref="BZ65:CA65" si="423">SUM(BZ60:BZ64)</f>
        <v>1874510202</v>
      </c>
      <c r="CA65" s="34">
        <f t="shared" si="423"/>
        <v>2238886497</v>
      </c>
      <c r="CB65" s="34">
        <f t="shared" ref="CB65:CC65" si="424">SUM(CB60:CB64)</f>
        <v>2787735127</v>
      </c>
      <c r="CC65" s="34">
        <f t="shared" si="424"/>
        <v>2711689501</v>
      </c>
      <c r="CD65" s="34">
        <f t="shared" ref="CD65:CE65" si="425">SUM(CD60:CD64)</f>
        <v>2418184647</v>
      </c>
      <c r="CE65" s="34">
        <f t="shared" si="425"/>
        <v>1914968383</v>
      </c>
      <c r="CF65" s="34">
        <f t="shared" ref="CF65:CG65" si="426">SUM(CF60:CF64)</f>
        <v>1850644365</v>
      </c>
      <c r="CG65" s="34">
        <f t="shared" si="426"/>
        <v>2231741671.4688997</v>
      </c>
      <c r="CH65" s="34">
        <f t="shared" ref="CH65:CI65" si="427">SUM(CH60:CH64)</f>
        <v>2690422268</v>
      </c>
      <c r="CI65" s="34">
        <f t="shared" si="427"/>
        <v>2359295932</v>
      </c>
      <c r="CJ65" s="34">
        <f t="shared" ref="CJ65:CK65" si="428">SUM(CJ60:CJ64)</f>
        <v>2063654396</v>
      </c>
      <c r="CK65" s="34">
        <f t="shared" si="428"/>
        <v>1890769057</v>
      </c>
      <c r="CL65" s="34">
        <f t="shared" ref="CL65:CM65" si="429">SUM(CL60:CL64)</f>
        <v>1741264804</v>
      </c>
      <c r="CM65" s="34">
        <f t="shared" si="429"/>
        <v>2092627990</v>
      </c>
      <c r="CN65" s="34">
        <f t="shared" ref="CN65:CO65" si="430">SUM(CN60:CN64)</f>
        <v>2473094997</v>
      </c>
      <c r="CO65" s="34">
        <f t="shared" si="430"/>
        <v>2579826523</v>
      </c>
      <c r="CP65" s="34">
        <f t="shared" ref="CP65:CQ65" si="431">SUM(CP60:CP64)</f>
        <v>2474502491</v>
      </c>
      <c r="CQ65" s="34">
        <f t="shared" si="431"/>
        <v>1988431085</v>
      </c>
      <c r="CR65" s="34">
        <f t="shared" ref="CR65:CS65" si="432">SUM(CR60:CR64)</f>
        <v>1804090215.424</v>
      </c>
      <c r="CS65" s="34">
        <f t="shared" si="432"/>
        <v>2193574286</v>
      </c>
      <c r="CT65" s="34">
        <f t="shared" ref="CT65" si="433">SUM(CT60:CT64)</f>
        <v>2637850374</v>
      </c>
    </row>
    <row r="66" spans="1:98" x14ac:dyDescent="0.25">
      <c r="B66" s="37"/>
      <c r="C66" s="37"/>
      <c r="O66" s="56"/>
    </row>
    <row r="67" spans="1:98" x14ac:dyDescent="0.25">
      <c r="A67" s="27" t="s">
        <v>62</v>
      </c>
      <c r="B67" s="37"/>
      <c r="C67" s="37"/>
      <c r="D67" s="56"/>
    </row>
    <row r="68" spans="1:98" x14ac:dyDescent="0.25">
      <c r="A68" t="s">
        <v>33</v>
      </c>
      <c r="B68" s="37"/>
      <c r="C68" s="37"/>
      <c r="D68" s="45">
        <f>+(D50-D57)+(D57*D60/D65)</f>
        <v>0</v>
      </c>
      <c r="E68" s="45">
        <f t="shared" ref="E68:P68" si="434">+(E50-E57)+(E57*E60/E65)</f>
        <v>0</v>
      </c>
      <c r="F68" s="45">
        <f t="shared" si="434"/>
        <v>0</v>
      </c>
      <c r="G68" s="45">
        <f t="shared" si="434"/>
        <v>0</v>
      </c>
      <c r="H68" s="45">
        <f t="shared" si="434"/>
        <v>0</v>
      </c>
      <c r="I68" s="45">
        <f t="shared" si="434"/>
        <v>0</v>
      </c>
      <c r="J68" s="45">
        <f t="shared" si="434"/>
        <v>0</v>
      </c>
      <c r="K68" s="45">
        <f t="shared" si="434"/>
        <v>0</v>
      </c>
      <c r="L68" s="45">
        <f t="shared" si="434"/>
        <v>0</v>
      </c>
      <c r="M68" s="45">
        <f t="shared" si="434"/>
        <v>0</v>
      </c>
      <c r="N68" s="45">
        <f t="shared" si="434"/>
        <v>0</v>
      </c>
      <c r="O68" s="45">
        <f>+(O50-O57)+(O57*O60/O65)</f>
        <v>0</v>
      </c>
      <c r="P68" s="45">
        <f t="shared" si="434"/>
        <v>0</v>
      </c>
      <c r="Q68" s="45">
        <f>IF(Q50="","",+(Q50-Q57)+(Q57*Q60/Q65))</f>
        <v>983976.8055998187</v>
      </c>
      <c r="R68" s="45">
        <f>IF(R50="","",+(R50-R57)+(R57*R60/R65))</f>
        <v>936126.67058040295</v>
      </c>
      <c r="S68" s="45">
        <f>IF(S50="","",+(S50-S57)+(S57*S60/S65))</f>
        <v>1254886.244789884</v>
      </c>
      <c r="T68" s="45">
        <f t="shared" ref="T68:AW68" si="435">IF(T50="","",+(T50-T57)+(T57*T60/T65))</f>
        <v>1666724.2213379955</v>
      </c>
      <c r="U68" s="45">
        <f t="shared" si="435"/>
        <v>1687867.967739454</v>
      </c>
      <c r="V68" s="45">
        <f t="shared" si="435"/>
        <v>1336984.8118306769</v>
      </c>
      <c r="W68" s="45">
        <f t="shared" si="435"/>
        <v>1174985.3507627479</v>
      </c>
      <c r="X68" s="45">
        <f t="shared" si="435"/>
        <v>1029531.6444714632</v>
      </c>
      <c r="Y68" s="45">
        <f t="shared" si="435"/>
        <v>1326453.2350570641</v>
      </c>
      <c r="Z68" s="45">
        <f t="shared" si="435"/>
        <v>2030661.7411402338</v>
      </c>
      <c r="AA68" s="88">
        <f>ROUND(IF(AA50="","",+(AA50-AA57)+(AA57*AA60/AA65)),2)</f>
        <v>1388250.35</v>
      </c>
      <c r="AB68" s="45">
        <f t="shared" si="435"/>
        <v>1120654.6531242458</v>
      </c>
      <c r="AC68" s="45">
        <f>IF(AC50="","",+(AC50-AC57)+(AC57*AC60/AC65))</f>
        <v>1082451.6725849968</v>
      </c>
      <c r="AD68" s="45">
        <f t="shared" si="435"/>
        <v>880251.85351460415</v>
      </c>
      <c r="AE68" s="45">
        <f t="shared" si="435"/>
        <v>1301284.1891339927</v>
      </c>
      <c r="AF68" s="45">
        <f t="shared" si="435"/>
        <v>1524704.8572049867</v>
      </c>
      <c r="AG68" s="45">
        <f t="shared" si="435"/>
        <v>1366723.6950669868</v>
      </c>
      <c r="AH68" s="45">
        <f t="shared" si="435"/>
        <v>1314605.108458352</v>
      </c>
      <c r="AI68" s="45">
        <f t="shared" si="435"/>
        <v>1020432.9529194708</v>
      </c>
      <c r="AJ68" s="45">
        <f t="shared" si="435"/>
        <v>950195.40735321853</v>
      </c>
      <c r="AK68" s="45">
        <f t="shared" si="435"/>
        <v>1320371.9817385538</v>
      </c>
      <c r="AL68" s="45">
        <f t="shared" si="435"/>
        <v>1462433.5546846255</v>
      </c>
      <c r="AM68" s="45">
        <f t="shared" si="435"/>
        <v>1529137.4028414818</v>
      </c>
      <c r="AN68" s="45">
        <f t="shared" si="435"/>
        <v>1378360.7270812315</v>
      </c>
      <c r="AO68" s="45">
        <f t="shared" si="435"/>
        <v>951160.98963883938</v>
      </c>
      <c r="AP68" s="45">
        <f t="shared" si="435"/>
        <v>807723.67786616471</v>
      </c>
      <c r="AQ68" s="45">
        <f t="shared" si="435"/>
        <v>1071830.4459348798</v>
      </c>
      <c r="AR68" s="45">
        <f t="shared" si="435"/>
        <v>1361027.792333117</v>
      </c>
      <c r="AS68" s="45">
        <f t="shared" si="435"/>
        <v>1432733.48651519</v>
      </c>
      <c r="AT68" s="45">
        <f t="shared" si="435"/>
        <v>1322179.2642833882</v>
      </c>
      <c r="AU68" s="45">
        <f t="shared" si="435"/>
        <v>1087865.4265500808</v>
      </c>
      <c r="AV68" s="45">
        <f t="shared" si="435"/>
        <v>979499.93887924904</v>
      </c>
      <c r="AW68" s="45">
        <f t="shared" si="435"/>
        <v>1315854.6359199637</v>
      </c>
      <c r="AX68" s="45">
        <f t="shared" ref="AX68:AY68" si="436">IF(AX50="","",+(AX50-AX57)+(AX57*AX60/AX65))</f>
        <v>1452342.8430098211</v>
      </c>
      <c r="AY68" s="45">
        <f t="shared" si="436"/>
        <v>852786.52127385803</v>
      </c>
      <c r="AZ68" s="45">
        <f t="shared" ref="AZ68" si="437">IF(AZ50="","",+(AZ50-AZ57)+(AZ57*AZ60/AZ65))</f>
        <v>125873.38282544476</v>
      </c>
      <c r="BA68" s="45">
        <f t="shared" ref="BA68:BF68" si="438">IF(BA50="","",+(BA50-BA57)+(BA57*BA60/BA65))</f>
        <v>94402.787188311384</v>
      </c>
      <c r="BB68" s="45">
        <f t="shared" si="438"/>
        <v>84175.513069788271</v>
      </c>
      <c r="BC68" s="45">
        <f t="shared" si="438"/>
        <v>111088.05405709325</v>
      </c>
      <c r="BD68" s="45">
        <f t="shared" si="438"/>
        <v>148912.4914773225</v>
      </c>
      <c r="BE68" s="45">
        <f t="shared" si="438"/>
        <v>139614.44094102815</v>
      </c>
      <c r="BF68" s="45">
        <f t="shared" si="438"/>
        <v>125976.71022904465</v>
      </c>
      <c r="BG68" s="45">
        <f t="shared" ref="BG68:BH68" si="439">IF(BG50="","",+(BG50-BG57)+(BG57*BG60/BG65))</f>
        <v>85433.845861912778</v>
      </c>
      <c r="BH68" s="45">
        <f t="shared" si="439"/>
        <v>91258.917890257697</v>
      </c>
      <c r="BI68" s="45">
        <f t="shared" ref="BI68:BJ68" si="440">IF(BI50="","",+(BI50-BI57)+(BI57*BI60/BI65))</f>
        <v>120857.06275512144</v>
      </c>
      <c r="BJ68" s="45">
        <f t="shared" si="440"/>
        <v>157131.76386056477</v>
      </c>
      <c r="BK68" s="45">
        <f t="shared" ref="BK68:BL68" si="441">IF(BK50="","",+(BK50-BK57)+(BK57*BK60/BK65))</f>
        <v>-115197.03218943029</v>
      </c>
      <c r="BL68" s="45">
        <f t="shared" si="441"/>
        <v>-330846.44785598782</v>
      </c>
      <c r="BM68" s="45">
        <f t="shared" ref="BM68:BN68" si="442">IF(BM50="","",+(BM50-BM57)+(BM57*BM60/BM65))</f>
        <v>-223865.36362995688</v>
      </c>
      <c r="BN68" s="45">
        <f t="shared" si="442"/>
        <v>-210176.78057078717</v>
      </c>
      <c r="BO68" s="45">
        <f t="shared" ref="BO68:BP68" si="443">IF(BO50="","",+(BO50-BO57)+(BO57*BO60/BO65))</f>
        <v>-274664.86631310626</v>
      </c>
      <c r="BP68" s="45">
        <f t="shared" si="443"/>
        <v>-362529.15554440091</v>
      </c>
      <c r="BQ68" s="45">
        <f t="shared" ref="BQ68:BR68" si="444">IF(BQ50="","",+(BQ50-BQ57)+(BQ57*BQ60/BQ65))</f>
        <v>-369792.94310600177</v>
      </c>
      <c r="BR68" s="45">
        <f t="shared" si="444"/>
        <v>-363385.55298456381</v>
      </c>
      <c r="BS68" s="45">
        <f t="shared" ref="BS68:BT68" si="445">IF(BS50="","",+(BS50-BS57)+(BS57*BS60/BS65))</f>
        <v>-252118.8064792598</v>
      </c>
      <c r="BT68" s="45">
        <f t="shared" si="445"/>
        <v>-236659.87723249063</v>
      </c>
      <c r="BU68" s="45">
        <f t="shared" ref="BU68:BV68" si="446">IF(BU50="","",+(BU50-BU57)+(BU57*BU60/BU65))</f>
        <v>-296177.30566513271</v>
      </c>
      <c r="BV68" s="45">
        <f t="shared" si="446"/>
        <v>-381804.14898688439</v>
      </c>
      <c r="BW68" s="45">
        <f t="shared" ref="BW68:BX68" si="447">IF(BW50="","",+(BW50-BW57)+(BW57*BW60/BW65))</f>
        <v>-246708.5763060193</v>
      </c>
      <c r="BX68" s="45">
        <f t="shared" si="447"/>
        <v>-14067.704131906468</v>
      </c>
      <c r="BY68" s="45">
        <f t="shared" ref="BY68:BZ68" si="448">IF(BY50="","",+(BY50-BY57)+(BY57*BY60/BY65))</f>
        <v>-8075.3701007850805</v>
      </c>
      <c r="BZ68" s="45">
        <f t="shared" si="448"/>
        <v>-8069.5010685150701</v>
      </c>
      <c r="CA68" s="45">
        <f t="shared" ref="CA68:CB68" si="449">IF(CA50="","",+(CA50-CA57)+(CA57*CA60/CA65))</f>
        <v>-10523.960092720119</v>
      </c>
      <c r="CB68" s="45">
        <f t="shared" si="449"/>
        <v>-14468.941204805698</v>
      </c>
      <c r="CC68" s="45">
        <f t="shared" ref="CC68:CD68" si="450">IF(CC50="","",+(CC50-CC57)+(CC57*CC60/CC65))</f>
        <v>-13654.530108070918</v>
      </c>
      <c r="CD68" s="45">
        <f t="shared" si="450"/>
        <v>-11445.528735503302</v>
      </c>
      <c r="CE68" s="45">
        <f t="shared" ref="CE68:CF68" si="451">IF(CE50="","",+(CE50-CE57)+(CE57*CE60/CE65))</f>
        <v>-8161.2905921701886</v>
      </c>
      <c r="CF68" s="45">
        <f t="shared" si="451"/>
        <v>-7466.1740536377019</v>
      </c>
      <c r="CG68" s="45">
        <f t="shared" ref="CG68:CH68" si="452">IF(CG50="","",+(CG50-CG57)+(CG57*CG60/CG65))</f>
        <v>-11799.60123590958</v>
      </c>
      <c r="CH68" s="45">
        <f t="shared" si="452"/>
        <v>-14218.800814047187</v>
      </c>
      <c r="CI68" s="45">
        <f t="shared" ref="CI68:CJ68" si="453">IF(CI50="","",+(CI50-CI57)+(CI57*CI60/CI65))</f>
        <v>1128.7472916282129</v>
      </c>
      <c r="CJ68" s="45">
        <f t="shared" si="453"/>
        <v>17063.412176146543</v>
      </c>
      <c r="CK68" s="45">
        <f t="shared" ref="CK68:CL68" si="454">IF(CK50="","",+(CK50-CK57)+(CK57*CK60/CK65))</f>
        <v>14834.032673913982</v>
      </c>
      <c r="CL68" s="45">
        <f t="shared" si="454"/>
        <v>12618.250319023464</v>
      </c>
      <c r="CM68" s="45">
        <f t="shared" ref="CM68:CN68" si="455">IF(CM50="","",+(CM50-CM57)+(CM57*CM60/CM65))</f>
        <v>16278.292305872981</v>
      </c>
      <c r="CN68" s="45">
        <f t="shared" si="455"/>
        <v>21270.90679048586</v>
      </c>
      <c r="CO68" s="45">
        <f t="shared" ref="CO68:CP68" si="456">IF(CO50="","",+(CO50-CO57)+(CO57*CO60/CO65))</f>
        <v>21946.695895800647</v>
      </c>
      <c r="CP68" s="45">
        <f t="shared" si="456"/>
        <v>20318.680329761581</v>
      </c>
      <c r="CQ68" s="45">
        <f t="shared" ref="CQ68:CR68" si="457">IF(CQ50="","",+(CQ50-CQ57)+(CQ57*CQ60/CQ65))</f>
        <v>14782.334123161956</v>
      </c>
      <c r="CR68" s="45">
        <f t="shared" si="457"/>
        <v>12971.488360059222</v>
      </c>
      <c r="CS68" s="45">
        <f t="shared" ref="CS68:CT68" si="458">IF(CS50="","",+(CS50-CS57)+(CS57*CS60/CS65))</f>
        <v>18052.481850703134</v>
      </c>
      <c r="CT68" s="45">
        <f t="shared" si="458"/>
        <v>23582.012689071704</v>
      </c>
    </row>
    <row r="69" spans="1:98" x14ac:dyDescent="0.25">
      <c r="A69" t="s">
        <v>34</v>
      </c>
      <c r="B69" s="37"/>
      <c r="C69" s="37"/>
      <c r="D69" s="45">
        <f>+D51+(D57*D61/D65)</f>
        <v>0</v>
      </c>
      <c r="E69" s="45">
        <f t="shared" ref="E69:P69" si="459">+E51+(E57*E61/E65)</f>
        <v>0</v>
      </c>
      <c r="F69" s="45">
        <f t="shared" si="459"/>
        <v>0</v>
      </c>
      <c r="G69" s="45">
        <f t="shared" si="459"/>
        <v>0</v>
      </c>
      <c r="H69" s="45">
        <f t="shared" si="459"/>
        <v>0</v>
      </c>
      <c r="I69" s="45">
        <f t="shared" si="459"/>
        <v>0</v>
      </c>
      <c r="J69" s="45">
        <f t="shared" si="459"/>
        <v>0</v>
      </c>
      <c r="K69" s="45">
        <f t="shared" si="459"/>
        <v>0</v>
      </c>
      <c r="L69" s="45">
        <f t="shared" si="459"/>
        <v>0</v>
      </c>
      <c r="M69" s="45">
        <f t="shared" si="459"/>
        <v>0</v>
      </c>
      <c r="N69" s="45">
        <f t="shared" si="459"/>
        <v>0</v>
      </c>
      <c r="O69" s="45">
        <f t="shared" si="459"/>
        <v>0</v>
      </c>
      <c r="P69" s="45">
        <f t="shared" si="459"/>
        <v>0</v>
      </c>
      <c r="Q69" s="45">
        <f>IF(Q51="","",+Q51+(Q57*Q61/Q65))</f>
        <v>117754.86766427531</v>
      </c>
      <c r="R69" s="45">
        <f t="shared" ref="R69:AW69" si="460">IF(R51="","",+R51+(R57*R61/R65))</f>
        <v>117111.78358657917</v>
      </c>
      <c r="S69" s="45">
        <f t="shared" si="460"/>
        <v>139211.1271761941</v>
      </c>
      <c r="T69" s="45">
        <f t="shared" si="460"/>
        <v>160900.46992761682</v>
      </c>
      <c r="U69" s="45">
        <f t="shared" si="460"/>
        <v>162415.72720926077</v>
      </c>
      <c r="V69" s="45">
        <f t="shared" si="460"/>
        <v>145481.1603029698</v>
      </c>
      <c r="W69" s="45">
        <f t="shared" si="460"/>
        <v>137867.15538119225</v>
      </c>
      <c r="X69" s="45">
        <f t="shared" si="460"/>
        <v>122671.59779667509</v>
      </c>
      <c r="Y69" s="45">
        <f t="shared" si="460"/>
        <v>134648.09810155624</v>
      </c>
      <c r="Z69" s="45">
        <f t="shared" si="460"/>
        <v>193970.45230344273</v>
      </c>
      <c r="AA69" s="45">
        <f>ROUND(IF(AA51="","",+AA51+(AA57*AA61/AA65)),2)</f>
        <v>337014.49</v>
      </c>
      <c r="AB69" s="45">
        <f t="shared" si="460"/>
        <v>295708.57620644657</v>
      </c>
      <c r="AC69" s="45">
        <f t="shared" si="460"/>
        <v>291406.59328999976</v>
      </c>
      <c r="AD69" s="45">
        <f t="shared" si="460"/>
        <v>264923.25566753082</v>
      </c>
      <c r="AE69" s="45">
        <f t="shared" si="460"/>
        <v>333657.21503767214</v>
      </c>
      <c r="AF69" s="45">
        <f t="shared" si="460"/>
        <v>367915.86365673423</v>
      </c>
      <c r="AG69" s="45">
        <f t="shared" si="460"/>
        <v>344001.06732957577</v>
      </c>
      <c r="AH69" s="45">
        <f>IF(AH51="","",+AH51+(AH57*AH61/AH65))</f>
        <v>338126.29031171976</v>
      </c>
      <c r="AI69" s="45">
        <f t="shared" si="460"/>
        <v>297845.76900715684</v>
      </c>
      <c r="AJ69" s="45">
        <f t="shared" si="460"/>
        <v>267618.62093979405</v>
      </c>
      <c r="AK69" s="45">
        <f t="shared" si="460"/>
        <v>322555.10705520917</v>
      </c>
      <c r="AL69" s="45">
        <f t="shared" si="460"/>
        <v>371341.16797562933</v>
      </c>
      <c r="AM69" s="45">
        <f t="shared" si="460"/>
        <v>701136.2388481237</v>
      </c>
      <c r="AN69" s="45">
        <f t="shared" si="460"/>
        <v>660367.02395744435</v>
      </c>
      <c r="AO69" s="45">
        <f t="shared" si="460"/>
        <v>536256.50994038768</v>
      </c>
      <c r="AP69" s="45">
        <f t="shared" si="460"/>
        <v>506299.41162084811</v>
      </c>
      <c r="AQ69" s="45">
        <f t="shared" si="460"/>
        <v>591277.49932374491</v>
      </c>
      <c r="AR69" s="45">
        <f t="shared" si="460"/>
        <v>676039.62753147213</v>
      </c>
      <c r="AS69" s="45">
        <f t="shared" si="460"/>
        <v>694696.60025960801</v>
      </c>
      <c r="AT69" s="45">
        <f t="shared" si="460"/>
        <v>670877.10139883822</v>
      </c>
      <c r="AU69" s="45">
        <f t="shared" si="460"/>
        <v>604713.02387172775</v>
      </c>
      <c r="AV69" s="45">
        <f t="shared" si="460"/>
        <v>541098.36747130833</v>
      </c>
      <c r="AW69" s="45">
        <f t="shared" si="460"/>
        <v>635047.56064080668</v>
      </c>
      <c r="AX69" s="45">
        <f t="shared" ref="AX69:AY69" si="461">IF(AX51="","",+AX51+(AX57*AX61/AX65))</f>
        <v>677042.48835283797</v>
      </c>
      <c r="AY69" s="45">
        <f t="shared" si="461"/>
        <v>415381.06618172349</v>
      </c>
      <c r="AZ69" s="45">
        <f t="shared" ref="AZ69:BA69" si="462">IF(AZ51="","",+AZ51+(AZ57*AZ61/AZ65))</f>
        <v>87488.365088698483</v>
      </c>
      <c r="BA69" s="45">
        <f t="shared" si="462"/>
        <v>64808.481988010986</v>
      </c>
      <c r="BB69" s="45">
        <f t="shared" ref="BB69:BC69" si="463">IF(BB51="","",+BB51+(BB57*BB61/BB65))</f>
        <v>59023.185490174175</v>
      </c>
      <c r="BC69" s="45">
        <f t="shared" si="463"/>
        <v>73834.949720540346</v>
      </c>
      <c r="BD69" s="45">
        <f t="shared" ref="BD69:BE69" si="464">IF(BD51="","",+BD51+(BD57*BD61/BD65))</f>
        <v>92018.552084119583</v>
      </c>
      <c r="BE69" s="45">
        <f t="shared" si="464"/>
        <v>90580.739582948823</v>
      </c>
      <c r="BF69" s="45">
        <f t="shared" ref="BF69:BG69" si="465">IF(BF51="","",+BF51+(BF57*BF61/BF65))</f>
        <v>86046.105340623792</v>
      </c>
      <c r="BG69" s="45">
        <f t="shared" si="465"/>
        <v>69862.512633552527</v>
      </c>
      <c r="BH69" s="45">
        <f t="shared" ref="BH69:BI69" si="466">IF(BH51="","",+BH51+(BH57*BH61/BH65))</f>
        <v>69704.10872407959</v>
      </c>
      <c r="BI69" s="45">
        <f t="shared" si="466"/>
        <v>80360.687024982573</v>
      </c>
      <c r="BJ69" s="45">
        <f t="shared" ref="BJ69:BK69" si="467">IF(BJ51="","",+BJ51+(BJ57*BJ61/BJ65))</f>
        <v>95761.440926806667</v>
      </c>
      <c r="BK69" s="45">
        <f t="shared" si="467"/>
        <v>-1907.9937762007746</v>
      </c>
      <c r="BL69" s="45">
        <f t="shared" ref="BL69:BM69" si="468">IF(BL51="","",+BL51+(BL57*BL61/BL65))</f>
        <v>-102362.10040602235</v>
      </c>
      <c r="BM69" s="45">
        <f t="shared" si="468"/>
        <v>-81659.759942022312</v>
      </c>
      <c r="BN69" s="45">
        <f t="shared" ref="BN69:BO69" si="469">IF(BN51="","",+BN51+(BN57*BN61/BN65))</f>
        <v>-80583.41964173934</v>
      </c>
      <c r="BO69" s="45">
        <f t="shared" si="469"/>
        <v>-95520.020947600293</v>
      </c>
      <c r="BP69" s="45">
        <f t="shared" ref="BP69:BQ69" si="470">IF(BP51="","",+BP51+(BP57*BP61/BP65))</f>
        <v>-112468.59809397052</v>
      </c>
      <c r="BQ69" s="45">
        <f t="shared" si="470"/>
        <v>-112970.29647430769</v>
      </c>
      <c r="BR69" s="45">
        <f t="shared" ref="BR69:BS69" si="471">IF(BR51="","",+BR51+(BR57*BR61/BR65))</f>
        <v>-114176.56432782451</v>
      </c>
      <c r="BS69" s="45">
        <f t="shared" si="471"/>
        <v>-95359.199900074542</v>
      </c>
      <c r="BT69" s="45">
        <f t="shared" ref="BT69:BU69" si="472">IF(BT51="","",+BT51+(BT57*BT61/BT65))</f>
        <v>-85048.337899656035</v>
      </c>
      <c r="BU69" s="45">
        <f t="shared" si="472"/>
        <v>-96923.929909834478</v>
      </c>
      <c r="BV69" s="45">
        <f t="shared" ref="BV69:BW69" si="473">IF(BV51="","",+BV51+(BV57*BV61/BV65))</f>
        <v>-114316.61954150567</v>
      </c>
      <c r="BW69" s="45">
        <f t="shared" si="473"/>
        <v>-70347.05152582172</v>
      </c>
      <c r="BX69" s="45">
        <f t="shared" ref="BX69:BY69" si="474">IF(BX51="","",+BX51+(BX57*BX61/BX65))</f>
        <v>-3800.9561632831483</v>
      </c>
      <c r="BY69" s="45">
        <f t="shared" si="474"/>
        <v>-3430.8126987825262</v>
      </c>
      <c r="BZ69" s="45">
        <f t="shared" ref="BZ69:CA69" si="475">IF(BZ51="","",+BZ51+(BZ57*BZ61/BZ65))</f>
        <v>-3159.8932354852132</v>
      </c>
      <c r="CA69" s="45">
        <f t="shared" si="475"/>
        <v>-3581.5162113053066</v>
      </c>
      <c r="CB69" s="45">
        <f t="shared" ref="CB69:CC69" si="476">IF(CB51="","",+CB51+(CB57*CB61/CB65))</f>
        <v>-4119.5944291965261</v>
      </c>
      <c r="CC69" s="45">
        <f t="shared" si="476"/>
        <v>-4322.0730845019007</v>
      </c>
      <c r="CD69" s="45">
        <f t="shared" ref="CD69:CE69" si="477">IF(CD51="","",+CD51+(CD57*CD61/CD65))</f>
        <v>-3929.9254185913205</v>
      </c>
      <c r="CE69" s="45">
        <f t="shared" si="477"/>
        <v>-3276.9745441742421</v>
      </c>
      <c r="CF69" s="45">
        <f t="shared" ref="CF69:CG69" si="478">IF(CF51="","",+CF51+(CF57*CF61/CF65))</f>
        <v>-3126.7202336261671</v>
      </c>
      <c r="CG69" s="45">
        <f t="shared" si="478"/>
        <v>-3790.1875290561552</v>
      </c>
      <c r="CH69" s="45">
        <f t="shared" ref="CH69:CI69" si="479">IF(CH51="","",+CH51+(CH57*CH61/CH65))</f>
        <v>-4362.528537781639</v>
      </c>
      <c r="CI69" s="45">
        <f t="shared" si="479"/>
        <v>-59.450608927867215</v>
      </c>
      <c r="CJ69" s="45">
        <f t="shared" ref="CJ69:CK69" si="480">IF(CJ51="","",+CJ51+(CJ57*CJ61/CJ65))</f>
        <v>4524.2006448409011</v>
      </c>
      <c r="CK69" s="45">
        <f t="shared" si="480"/>
        <v>4143.0276488103909</v>
      </c>
      <c r="CL69" s="45">
        <f t="shared" ref="CL69:CM69" si="481">IF(CL51="","",+CL51+(CL57*CL61/CL65))</f>
        <v>3845.7337142260185</v>
      </c>
      <c r="CM69" s="45">
        <f t="shared" si="481"/>
        <v>4680.4644940813678</v>
      </c>
      <c r="CN69" s="45">
        <f t="shared" ref="CN69:CO69" si="482">IF(CN51="","",+CN51+(CN57*CN61/CN65))</f>
        <v>5373.591493144434</v>
      </c>
      <c r="CO69" s="45">
        <f t="shared" si="482"/>
        <v>5513.3199284737602</v>
      </c>
      <c r="CP69" s="45">
        <f t="shared" ref="CP69:CQ69" si="483">IF(CP51="","",+CP51+(CP57*CP61/CP65))</f>
        <v>5569.4194265403466</v>
      </c>
      <c r="CQ69" s="45">
        <f t="shared" si="483"/>
        <v>4526.9681321419803</v>
      </c>
      <c r="CR69" s="45">
        <f t="shared" ref="CR69:CS69" si="484">IF(CR51="","",+CR51+(CR57*CR61/CR65))</f>
        <v>4148.9419096512729</v>
      </c>
      <c r="CS69" s="45">
        <f t="shared" si="484"/>
        <v>4775.904287314298</v>
      </c>
      <c r="CT69" s="45">
        <f t="shared" ref="CT69" si="485">IF(CT51="","",+CT51+(CT57*CT61/CT65))</f>
        <v>5756.9554438203631</v>
      </c>
    </row>
    <row r="70" spans="1:98" x14ac:dyDescent="0.25">
      <c r="A70" t="s">
        <v>35</v>
      </c>
      <c r="B70" s="37"/>
      <c r="C70" s="37"/>
      <c r="D70" s="45">
        <f>+D52+(D57*D62/D65)</f>
        <v>0</v>
      </c>
      <c r="E70" s="45">
        <f t="shared" ref="E70:P70" si="486">+E52+(E57*E62/E65)</f>
        <v>0</v>
      </c>
      <c r="F70" s="45">
        <f t="shared" si="486"/>
        <v>0</v>
      </c>
      <c r="G70" s="45">
        <f t="shared" si="486"/>
        <v>0</v>
      </c>
      <c r="H70" s="45">
        <f t="shared" si="486"/>
        <v>0</v>
      </c>
      <c r="I70" s="45">
        <f t="shared" si="486"/>
        <v>0</v>
      </c>
      <c r="J70" s="45">
        <f t="shared" si="486"/>
        <v>0</v>
      </c>
      <c r="K70" s="45">
        <f t="shared" si="486"/>
        <v>0</v>
      </c>
      <c r="L70" s="45">
        <f t="shared" si="486"/>
        <v>0</v>
      </c>
      <c r="M70" s="45">
        <f t="shared" si="486"/>
        <v>0</v>
      </c>
      <c r="N70" s="45">
        <f t="shared" si="486"/>
        <v>0</v>
      </c>
      <c r="O70" s="45">
        <f t="shared" si="486"/>
        <v>0</v>
      </c>
      <c r="P70" s="45">
        <f t="shared" si="486"/>
        <v>0</v>
      </c>
      <c r="Q70" s="45">
        <f>IF(Q52="","",+Q52+(Q57*Q62/Q65))</f>
        <v>297067.25661237026</v>
      </c>
      <c r="R70" s="45">
        <f t="shared" ref="R70:AW70" si="487">IF(R52="","",+R52+(R57*R62/R65))</f>
        <v>306858.76704664429</v>
      </c>
      <c r="S70" s="45">
        <f t="shared" si="487"/>
        <v>347930.82125503593</v>
      </c>
      <c r="T70" s="45">
        <f t="shared" si="487"/>
        <v>377801.41744412482</v>
      </c>
      <c r="U70" s="45">
        <f t="shared" si="487"/>
        <v>384838.10767902108</v>
      </c>
      <c r="V70" s="45">
        <f t="shared" si="487"/>
        <v>363327.24534638016</v>
      </c>
      <c r="W70" s="45">
        <f t="shared" si="487"/>
        <v>349151.70540680212</v>
      </c>
      <c r="X70" s="45">
        <f t="shared" si="487"/>
        <v>312029.63241835893</v>
      </c>
      <c r="Y70" s="45">
        <f t="shared" si="487"/>
        <v>324930.27431740938</v>
      </c>
      <c r="Z70" s="45">
        <f t="shared" si="487"/>
        <v>389339.8693849984</v>
      </c>
      <c r="AA70" s="45">
        <f>ROUND(IF(AA52="","",+AA52+(AA57*AA62/AA65)),2)</f>
        <v>556625.86</v>
      </c>
      <c r="AB70" s="45">
        <f t="shared" si="487"/>
        <v>519727.84944586566</v>
      </c>
      <c r="AC70" s="45">
        <f t="shared" si="487"/>
        <v>524323.57207482436</v>
      </c>
      <c r="AD70" s="45">
        <f t="shared" si="487"/>
        <v>522730.47478252684</v>
      </c>
      <c r="AE70" s="45">
        <f t="shared" si="487"/>
        <v>623624.8655420111</v>
      </c>
      <c r="AF70" s="45">
        <f t="shared" si="487"/>
        <v>661725.50586693978</v>
      </c>
      <c r="AG70" s="45">
        <f t="shared" si="487"/>
        <v>626757.48216571088</v>
      </c>
      <c r="AH70" s="45">
        <f t="shared" si="487"/>
        <v>638007.84216665139</v>
      </c>
      <c r="AI70" s="45">
        <f t="shared" si="487"/>
        <v>579490.47761485481</v>
      </c>
      <c r="AJ70" s="45">
        <f t="shared" si="487"/>
        <v>513641.84877388977</v>
      </c>
      <c r="AK70" s="45">
        <f t="shared" si="487"/>
        <v>557457.11362508603</v>
      </c>
      <c r="AL70" s="45">
        <f t="shared" si="487"/>
        <v>608808.22123092401</v>
      </c>
      <c r="AM70" s="45">
        <f t="shared" si="487"/>
        <v>1107018.1450648431</v>
      </c>
      <c r="AN70" s="45">
        <f t="shared" si="487"/>
        <v>1050923.1514029966</v>
      </c>
      <c r="AO70" s="45">
        <f t="shared" si="487"/>
        <v>946394.49189445085</v>
      </c>
      <c r="AP70" s="45">
        <f t="shared" si="487"/>
        <v>980269.66694109701</v>
      </c>
      <c r="AQ70" s="45">
        <f t="shared" si="487"/>
        <v>1091122.5576982794</v>
      </c>
      <c r="AR70" s="45">
        <f t="shared" si="487"/>
        <v>1173345.4165751</v>
      </c>
      <c r="AS70" s="45">
        <f t="shared" si="487"/>
        <v>1200301.9882335844</v>
      </c>
      <c r="AT70" s="45">
        <f t="shared" si="487"/>
        <v>1212308.9277305761</v>
      </c>
      <c r="AU70" s="45">
        <f t="shared" si="487"/>
        <v>1113467.1918631792</v>
      </c>
      <c r="AV70" s="45">
        <f t="shared" si="487"/>
        <v>981117.22422696999</v>
      </c>
      <c r="AW70" s="45">
        <f t="shared" si="487"/>
        <v>1062930.0447087046</v>
      </c>
      <c r="AX70" s="45">
        <f t="shared" ref="AX70:AY70" si="488">IF(AX52="","",+AX52+(AX57*AX62/AX65))</f>
        <v>1099098.7608177634</v>
      </c>
      <c r="AY70" s="45">
        <f t="shared" si="488"/>
        <v>764411.39598139795</v>
      </c>
      <c r="AZ70" s="45">
        <f t="shared" ref="AZ70:BA70" si="489">IF(AZ52="","",+AZ52+(AZ57*AZ62/AZ65))</f>
        <v>318623.73714683513</v>
      </c>
      <c r="BA70" s="45">
        <f t="shared" si="489"/>
        <v>268197.12227908301</v>
      </c>
      <c r="BB70" s="45">
        <f t="shared" ref="BB70:BC70" si="490">IF(BB52="","",+BB52+(BB57*BB62/BB65))</f>
        <v>249075.16076692482</v>
      </c>
      <c r="BC70" s="45">
        <f t="shared" si="490"/>
        <v>296551.86746010336</v>
      </c>
      <c r="BD70" s="45">
        <f t="shared" ref="BD70:BE70" si="491">IF(BD52="","",+BD52+(BD57*BD62/BD65))</f>
        <v>346227.00320999854</v>
      </c>
      <c r="BE70" s="45">
        <f t="shared" si="491"/>
        <v>344571.98080537363</v>
      </c>
      <c r="BF70" s="45">
        <f t="shared" ref="BF70:BG70" si="492">IF(BF52="","",+BF52+(BF57*BF62/BF65))</f>
        <v>343418.65957003599</v>
      </c>
      <c r="BG70" s="45">
        <f t="shared" si="492"/>
        <v>293034.59528354992</v>
      </c>
      <c r="BH70" s="45">
        <f t="shared" ref="BH70:BI70" si="493">IF(BH52="","",+BH52+(BH57*BH62/BH65))</f>
        <v>285307.32387214003</v>
      </c>
      <c r="BI70" s="45">
        <f t="shared" si="493"/>
        <v>306551.46210147406</v>
      </c>
      <c r="BJ70" s="45">
        <f t="shared" ref="BJ70:BK70" si="494">IF(BJ52="","",+BJ52+(BJ57*BJ62/BJ65))</f>
        <v>328395.30665898882</v>
      </c>
      <c r="BK70" s="45">
        <f t="shared" si="494"/>
        <v>129041.97894362173</v>
      </c>
      <c r="BL70" s="45">
        <f t="shared" ref="BL70:BM70" si="495">IF(BL52="","",+BL52+(BL57*BL62/BL65))</f>
        <v>-116248.37555983226</v>
      </c>
      <c r="BM70" s="45">
        <f t="shared" si="495"/>
        <v>-104613.38045356744</v>
      </c>
      <c r="BN70" s="45">
        <f t="shared" ref="BN70:BO70" si="496">IF(BN52="","",+BN52+(BN57*BN62/BN65))</f>
        <v>-106758.31587632833</v>
      </c>
      <c r="BO70" s="45">
        <f t="shared" si="496"/>
        <v>-119183.41184852651</v>
      </c>
      <c r="BP70" s="45">
        <f t="shared" ref="BP70:BQ70" si="497">IF(BP52="","",+BP52+(BP57*BP62/BP65))</f>
        <v>-138596.39079341319</v>
      </c>
      <c r="BQ70" s="45">
        <f t="shared" si="497"/>
        <v>-137793.28735156739</v>
      </c>
      <c r="BR70" s="45">
        <f t="shared" ref="BR70:BS70" si="498">IF(BR52="","",+BR52+(BR57*BR62/BR65))</f>
        <v>-140452.99254978076</v>
      </c>
      <c r="BS70" s="45">
        <f t="shared" si="498"/>
        <v>-123659.88827741763</v>
      </c>
      <c r="BT70" s="45">
        <f t="shared" ref="BT70:BU70" si="499">IF(BT52="","",+BT52+(BT57*BT62/BT65))</f>
        <v>-109523.64277962862</v>
      </c>
      <c r="BU70" s="45">
        <f t="shared" si="499"/>
        <v>-119570.42005814648</v>
      </c>
      <c r="BV70" s="45">
        <f t="shared" ref="BV70:BW70" si="500">IF(BV52="","",+BV52+(BV57*BV62/BV65))</f>
        <v>-127589.09913487616</v>
      </c>
      <c r="BW70" s="45">
        <f t="shared" si="500"/>
        <v>-90032.567630487814</v>
      </c>
      <c r="BX70" s="45">
        <f t="shared" ref="BX70:BY70" si="501">IF(BX52="","",+BX52+(BX57*BX62/BX65))</f>
        <v>-29850.366428408659</v>
      </c>
      <c r="BY70" s="45">
        <f t="shared" si="501"/>
        <v>-27677.731835119779</v>
      </c>
      <c r="BZ70" s="45">
        <f t="shared" ref="BZ70:CA70" si="502">IF(BZ52="","",+BZ52+(BZ57*BZ62/BZ65))</f>
        <v>-28367.49080792554</v>
      </c>
      <c r="CA70" s="45">
        <f t="shared" si="502"/>
        <v>-31712.240190643679</v>
      </c>
      <c r="CB70" s="45">
        <f t="shared" ref="CB70:CC70" si="503">IF(CB52="","",+CB52+(CB57*CB62/CB65))</f>
        <v>-36266.351017925241</v>
      </c>
      <c r="CC70" s="45">
        <f t="shared" si="503"/>
        <v>-35382.790747787352</v>
      </c>
      <c r="CD70" s="45">
        <f t="shared" ref="CD70:CE70" si="504">IF(CD52="","",+CD52+(CD57*CD62/CD65))</f>
        <v>-33777.721147319782</v>
      </c>
      <c r="CE70" s="45">
        <f t="shared" si="504"/>
        <v>-29077.038685363284</v>
      </c>
      <c r="CF70" s="45">
        <f t="shared" ref="CF70:CG70" si="505">IF(CF52="","",+CF52+(CF57*CF62/CF65))</f>
        <v>-27430.212146395083</v>
      </c>
      <c r="CG70" s="45">
        <f t="shared" si="505"/>
        <v>-31670.308000207406</v>
      </c>
      <c r="CH70" s="45">
        <f t="shared" ref="CH70:CI70" si="506">IF(CH52="","",+CH52+(CH57*CH62/CH65))</f>
        <v>-32611.705138027606</v>
      </c>
      <c r="CI70" s="45">
        <f t="shared" si="506"/>
        <v>-16555.481068991823</v>
      </c>
      <c r="CJ70" s="45">
        <f t="shared" ref="CJ70:CK70" si="507">IF(CJ52="","",+CJ52+(CJ57*CJ62/CJ65))</f>
        <v>3230.8735523843402</v>
      </c>
      <c r="CK70" s="45">
        <f t="shared" si="507"/>
        <v>3208.5524523745844</v>
      </c>
      <c r="CL70" s="45">
        <f t="shared" ref="CL70:CM70" si="508">IF(CL52="","",+CL52+(CL57*CL62/CL65))</f>
        <v>3375.7446884847041</v>
      </c>
      <c r="CM70" s="45">
        <f t="shared" si="508"/>
        <v>3694.4912721367164</v>
      </c>
      <c r="CN70" s="45">
        <f t="shared" ref="CN70:CO70" si="509">IF(CN52="","",+CN52+(CN57*CN62/CN65))</f>
        <v>3963.639586443905</v>
      </c>
      <c r="CO70" s="45">
        <f t="shared" si="509"/>
        <v>4066.5380749420337</v>
      </c>
      <c r="CP70" s="45">
        <f t="shared" ref="CP70:CQ70" si="510">IF(CP52="","",+CP52+(CP57*CP62/CP65))</f>
        <v>4093.357048655002</v>
      </c>
      <c r="CQ70" s="45">
        <f t="shared" si="510"/>
        <v>3620.366461183919</v>
      </c>
      <c r="CR70" s="45">
        <f t="shared" ref="CR70:CS70" si="511">IF(CR52="","",+CR52+(CR57*CR62/CR65))</f>
        <v>3330.5779273524163</v>
      </c>
      <c r="CS70" s="45">
        <f t="shared" si="511"/>
        <v>3253.6495836108102</v>
      </c>
      <c r="CT70" s="45">
        <f t="shared" ref="CT70" si="512">IF(CT52="","",+CT52+(CT57*CT62/CT65))</f>
        <v>3857.7983746408054</v>
      </c>
    </row>
    <row r="71" spans="1:98" x14ac:dyDescent="0.25">
      <c r="A71" t="s">
        <v>36</v>
      </c>
      <c r="B71" s="37"/>
      <c r="C71" s="37"/>
      <c r="D71" s="45">
        <f>+D53+(D57*D63/D65)</f>
        <v>0</v>
      </c>
      <c r="E71" s="45">
        <f t="shared" ref="E71:P71" si="513">+E53+(E57*E63/E65)</f>
        <v>0</v>
      </c>
      <c r="F71" s="45">
        <f t="shared" si="513"/>
        <v>0</v>
      </c>
      <c r="G71" s="45">
        <f t="shared" si="513"/>
        <v>0</v>
      </c>
      <c r="H71" s="45">
        <f t="shared" si="513"/>
        <v>0</v>
      </c>
      <c r="I71" s="45">
        <f t="shared" si="513"/>
        <v>0</v>
      </c>
      <c r="J71" s="45">
        <f t="shared" si="513"/>
        <v>0</v>
      </c>
      <c r="K71" s="45">
        <f t="shared" si="513"/>
        <v>0</v>
      </c>
      <c r="L71" s="45">
        <f t="shared" si="513"/>
        <v>0</v>
      </c>
      <c r="M71" s="45">
        <f t="shared" si="513"/>
        <v>0</v>
      </c>
      <c r="N71" s="45">
        <f t="shared" si="513"/>
        <v>0</v>
      </c>
      <c r="O71" s="45">
        <f t="shared" si="513"/>
        <v>0</v>
      </c>
      <c r="P71" s="45">
        <f t="shared" si="513"/>
        <v>0</v>
      </c>
      <c r="Q71" s="45">
        <f>IF(Q53="","",+Q53+(Q57*Q63/Q65))</f>
        <v>283136.40886630391</v>
      </c>
      <c r="R71" s="45">
        <f t="shared" ref="R71:AW71" si="514">IF(R53="","",+R53+(R57*R63/R65))</f>
        <v>287460.81327816768</v>
      </c>
      <c r="S71" s="45">
        <f t="shared" si="514"/>
        <v>330409.77575572423</v>
      </c>
      <c r="T71" s="45">
        <f t="shared" si="514"/>
        <v>323201.37525993661</v>
      </c>
      <c r="U71" s="45">
        <f t="shared" si="514"/>
        <v>340944.20704658219</v>
      </c>
      <c r="V71" s="45">
        <f t="shared" si="514"/>
        <v>328289.08781066153</v>
      </c>
      <c r="W71" s="45">
        <f t="shared" si="514"/>
        <v>321452.90171375725</v>
      </c>
      <c r="X71" s="45">
        <f t="shared" si="514"/>
        <v>288778.65587559086</v>
      </c>
      <c r="Y71" s="45">
        <f t="shared" si="514"/>
        <v>301751.31193612184</v>
      </c>
      <c r="Z71" s="45">
        <f t="shared" si="514"/>
        <v>332299.53125242464</v>
      </c>
      <c r="AA71" s="89">
        <f>ROUND(IF(AA53="","",+AA53+(AA57*AA63/AA65)),2)-0.01</f>
        <v>302428.95</v>
      </c>
      <c r="AB71" s="45">
        <f t="shared" si="514"/>
        <v>301943.60981245001</v>
      </c>
      <c r="AC71" s="45">
        <f t="shared" si="514"/>
        <v>278699.7057611302</v>
      </c>
      <c r="AD71" s="45">
        <f t="shared" si="514"/>
        <v>322370.88601313852</v>
      </c>
      <c r="AE71" s="45">
        <f t="shared" si="514"/>
        <v>349751.02773569047</v>
      </c>
      <c r="AF71" s="45">
        <f t="shared" si="514"/>
        <v>361975.97928185289</v>
      </c>
      <c r="AG71" s="45">
        <f t="shared" si="514"/>
        <v>356032.65352996916</v>
      </c>
      <c r="AH71" s="45">
        <f t="shared" si="514"/>
        <v>346604.60421828728</v>
      </c>
      <c r="AI71" s="45">
        <f t="shared" si="514"/>
        <v>324956.79952393915</v>
      </c>
      <c r="AJ71" s="45">
        <f t="shared" si="514"/>
        <v>301584.85459624138</v>
      </c>
      <c r="AK71" s="45">
        <f t="shared" si="514"/>
        <v>323402.5858220082</v>
      </c>
      <c r="AL71" s="45">
        <f t="shared" si="514"/>
        <v>296745.40272335312</v>
      </c>
      <c r="AM71" s="45">
        <f t="shared" si="514"/>
        <v>355667.68860749144</v>
      </c>
      <c r="AN71" s="45">
        <f t="shared" si="514"/>
        <v>352302.39917248994</v>
      </c>
      <c r="AO71" s="45">
        <f t="shared" si="514"/>
        <v>338612.44673821039</v>
      </c>
      <c r="AP71" s="45">
        <f t="shared" si="514"/>
        <v>338607.64249172056</v>
      </c>
      <c r="AQ71" s="45">
        <f t="shared" si="514"/>
        <v>393628.70516997529</v>
      </c>
      <c r="AR71" s="45">
        <f t="shared" si="514"/>
        <v>395351.293050832</v>
      </c>
      <c r="AS71" s="45">
        <f t="shared" si="514"/>
        <v>414954.8489846529</v>
      </c>
      <c r="AT71" s="45">
        <f t="shared" si="514"/>
        <v>412666.27260449337</v>
      </c>
      <c r="AU71" s="45">
        <f t="shared" si="514"/>
        <v>382499.83186560834</v>
      </c>
      <c r="AV71" s="45">
        <f t="shared" si="514"/>
        <v>352969.01405759109</v>
      </c>
      <c r="AW71" s="45">
        <f t="shared" si="514"/>
        <v>354749.07044000481</v>
      </c>
      <c r="AX71" s="45">
        <f t="shared" ref="AX71:AY71" si="515">IF(AX53="","",+AX53+(AX57*AX63/AX65))</f>
        <v>364800.86761435715</v>
      </c>
      <c r="AY71" s="45">
        <f t="shared" si="515"/>
        <v>290547.34153219213</v>
      </c>
      <c r="AZ71" s="45">
        <f t="shared" ref="AZ71:BA71" si="516">IF(AZ53="","",+AZ53+(AZ57*AZ63/AZ65))</f>
        <v>123016.66955581112</v>
      </c>
      <c r="BA71" s="45">
        <f t="shared" si="516"/>
        <v>118618.96587713738</v>
      </c>
      <c r="BB71" s="45">
        <f t="shared" ref="BB71:BC71" si="517">IF(BB53="","",+BB53+(BB57*BB63/BB65))</f>
        <v>111705.70022132192</v>
      </c>
      <c r="BC71" s="45">
        <f t="shared" si="517"/>
        <v>130125.71091968814</v>
      </c>
      <c r="BD71" s="45">
        <f t="shared" ref="BD71:BE71" si="518">IF(BD53="","",+BD53+(BD57*BD63/BD65))</f>
        <v>136950.86579751672</v>
      </c>
      <c r="BE71" s="45">
        <f t="shared" si="518"/>
        <v>143566.43039610708</v>
      </c>
      <c r="BF71" s="45">
        <f t="shared" ref="BF71:BG71" si="519">IF(BF53="","",+BF53+(BF57*BF63/BF65))</f>
        <v>143625.78644107448</v>
      </c>
      <c r="BG71" s="45">
        <f t="shared" si="519"/>
        <v>127662.31996824293</v>
      </c>
      <c r="BH71" s="45">
        <f t="shared" ref="BH71:BI71" si="520">IF(BH53="","",+BH53+(BH57*BH63/BH65))</f>
        <v>126708.68055025722</v>
      </c>
      <c r="BI71" s="45">
        <f t="shared" si="520"/>
        <v>132518.9610920955</v>
      </c>
      <c r="BJ71" s="45">
        <f t="shared" ref="BJ71:BK71" si="521">IF(BJ53="","",+BJ53+(BJ57*BJ63/BJ65))</f>
        <v>130056.06716620013</v>
      </c>
      <c r="BK71" s="45">
        <f t="shared" si="521"/>
        <v>73469.336246691571</v>
      </c>
      <c r="BL71" s="45">
        <f t="shared" ref="BL71:BM71" si="522">IF(BL53="","",+BL53+(BL57*BL63/BL65))</f>
        <v>-22612.659176541922</v>
      </c>
      <c r="BM71" s="45">
        <f t="shared" si="522"/>
        <v>-24415.905916675132</v>
      </c>
      <c r="BN71" s="45">
        <f t="shared" ref="BN71:BO71" si="523">IF(BN53="","",+BN53+(BN57*BN63/BN65))</f>
        <v>-26227.136477870259</v>
      </c>
      <c r="BO71" s="45">
        <f t="shared" si="523"/>
        <v>-23636.693041994658</v>
      </c>
      <c r="BP71" s="45">
        <f t="shared" ref="BP71:BQ71" si="524">IF(BP53="","",+BP53+(BP57*BP63/BP65))</f>
        <v>-32709.066060894642</v>
      </c>
      <c r="BQ71" s="45">
        <f t="shared" si="524"/>
        <v>-30007.954013018152</v>
      </c>
      <c r="BR71" s="45">
        <f t="shared" ref="BR71:BS71" si="525">IF(BR53="","",+BR53+(BR57*BR63/BR65))</f>
        <v>-30398.556259296256</v>
      </c>
      <c r="BS71" s="45">
        <f t="shared" si="525"/>
        <v>-26335.111362820855</v>
      </c>
      <c r="BT71" s="45">
        <f t="shared" ref="BT71:BU71" si="526">IF(BT53="","",+BT53+(BT57*BT63/BT65))</f>
        <v>-22828.889630809208</v>
      </c>
      <c r="BU71" s="45">
        <f t="shared" si="526"/>
        <v>-29924.142514541847</v>
      </c>
      <c r="BV71" s="45">
        <f t="shared" ref="BV71:BW71" si="527">IF(BV53="","",+BV53+(BV57*BV63/BV65))</f>
        <v>-28848.082586273878</v>
      </c>
      <c r="BW71" s="45">
        <f t="shared" si="527"/>
        <v>-20936.748032217365</v>
      </c>
      <c r="BX71" s="45">
        <f t="shared" ref="BX71:BY71" si="528">IF(BX53="","",+BX53+(BX57*BX63/BX65))</f>
        <v>-9363.3583204824445</v>
      </c>
      <c r="BY71" s="45">
        <f t="shared" si="528"/>
        <v>-9437.0051141241493</v>
      </c>
      <c r="BZ71" s="45">
        <f t="shared" ref="BZ71:CA71" si="529">IF(BZ53="","",+BZ53+(BZ57*BZ63/BZ65))</f>
        <v>-9234.9091119732129</v>
      </c>
      <c r="CA71" s="45">
        <f t="shared" si="529"/>
        <v>-10506.965502226194</v>
      </c>
      <c r="CB71" s="45">
        <f t="shared" ref="CB71:CC71" si="530">IF(CB53="","",+CB53+(CB57*CB63/CB65))</f>
        <v>-10928.084351774703</v>
      </c>
      <c r="CC71" s="45">
        <f t="shared" si="530"/>
        <v>-10838.193004551051</v>
      </c>
      <c r="CD71" s="45">
        <f t="shared" ref="CD71:CE71" si="531">IF(CD53="","",+CD53+(CD57*CD63/CD65))</f>
        <v>-10559.893442002107</v>
      </c>
      <c r="CE71" s="45">
        <f t="shared" si="531"/>
        <v>-9362.8553505780201</v>
      </c>
      <c r="CF71" s="45">
        <f t="shared" ref="CF71:CG71" si="532">IF(CF53="","",+CF53+(CF57*CF63/CF65))</f>
        <v>-9452.1264699535604</v>
      </c>
      <c r="CG71" s="45">
        <f t="shared" si="532"/>
        <v>-9797.8820407188032</v>
      </c>
      <c r="CH71" s="45">
        <f t="shared" ref="CH71:CI71" si="533">IF(CH53="","",+CH53+(CH57*CH63/CH65))</f>
        <v>-9326.6664870361237</v>
      </c>
      <c r="CI71" s="45">
        <f t="shared" si="533"/>
        <v>-6080.9078580485339</v>
      </c>
      <c r="CJ71" s="45">
        <f t="shared" ref="CJ71:CK71" si="534">IF(CJ53="","",+CJ53+(CJ57*CJ63/CJ65))</f>
        <v>593.75085601537899</v>
      </c>
      <c r="CK71" s="45">
        <f t="shared" si="534"/>
        <v>803.2809951605052</v>
      </c>
      <c r="CL71" s="45">
        <f t="shared" ref="CL71:CM71" si="535">IF(CL53="","",+CL53+(CL57*CL63/CL65))</f>
        <v>814.06279964630232</v>
      </c>
      <c r="CM71" s="45">
        <f t="shared" si="535"/>
        <v>851.34967874686606</v>
      </c>
      <c r="CN71" s="45">
        <f t="shared" ref="CN71:CO71" si="536">IF(CN53="","",+CN53+(CN57*CN63/CN65))</f>
        <v>868.7312652382152</v>
      </c>
      <c r="CO71" s="45">
        <f t="shared" si="536"/>
        <v>981.25994646426079</v>
      </c>
      <c r="CP71" s="45">
        <f t="shared" ref="CP71:CQ71" si="537">IF(CP53="","",+CP53+(CP57*CP63/CP65))</f>
        <v>939.27443482392925</v>
      </c>
      <c r="CQ71" s="45">
        <f t="shared" si="537"/>
        <v>817.13074883847435</v>
      </c>
      <c r="CR71" s="45">
        <f t="shared" ref="CR71:CS71" si="538">IF(CR53="","",+CR53+(CR57*CR63/CR65))</f>
        <v>820.74162828052283</v>
      </c>
      <c r="CS71" s="45">
        <f t="shared" si="538"/>
        <v>791.96940377308931</v>
      </c>
      <c r="CT71" s="45">
        <f t="shared" ref="CT71" si="539">IF(CT53="","",+CT53+(CT57*CT63/CT65))</f>
        <v>828.6673994533171</v>
      </c>
    </row>
    <row r="72" spans="1:98" x14ac:dyDescent="0.25">
      <c r="A72" t="s">
        <v>37</v>
      </c>
      <c r="B72" s="37"/>
      <c r="C72" s="37"/>
      <c r="D72" s="45">
        <f>+D54+(D57*D64/D65)</f>
        <v>0</v>
      </c>
      <c r="E72" s="45">
        <f t="shared" ref="E72:P72" si="540">+E54+(E57*E64/E65)</f>
        <v>0</v>
      </c>
      <c r="F72" s="45">
        <f t="shared" si="540"/>
        <v>0</v>
      </c>
      <c r="G72" s="45">
        <f t="shared" si="540"/>
        <v>0</v>
      </c>
      <c r="H72" s="45">
        <f t="shared" si="540"/>
        <v>0</v>
      </c>
      <c r="I72" s="45">
        <f t="shared" si="540"/>
        <v>0</v>
      </c>
      <c r="J72" s="45">
        <f t="shared" si="540"/>
        <v>0</v>
      </c>
      <c r="K72" s="45">
        <f t="shared" si="540"/>
        <v>0</v>
      </c>
      <c r="L72" s="45">
        <f t="shared" si="540"/>
        <v>0</v>
      </c>
      <c r="M72" s="45">
        <f t="shared" si="540"/>
        <v>0</v>
      </c>
      <c r="N72" s="45">
        <f t="shared" si="540"/>
        <v>0</v>
      </c>
      <c r="O72" s="45">
        <f t="shared" si="540"/>
        <v>0</v>
      </c>
      <c r="P72" s="45">
        <f t="shared" si="540"/>
        <v>0</v>
      </c>
      <c r="Q72" s="45">
        <f>IF(Q54="","",+Q54+(Q57*Q64/Q65))</f>
        <v>183651.06125723169</v>
      </c>
      <c r="R72" s="45">
        <f t="shared" ref="R72:AW72" si="541">IF(R54="","",+R54+(R57*R64/R65))</f>
        <v>187110.90550820582</v>
      </c>
      <c r="S72" s="45">
        <f t="shared" si="541"/>
        <v>223442.58102316182</v>
      </c>
      <c r="T72" s="45">
        <f t="shared" si="541"/>
        <v>211112.22603032622</v>
      </c>
      <c r="U72" s="45">
        <f t="shared" si="541"/>
        <v>233963.66032568182</v>
      </c>
      <c r="V72" s="45">
        <f t="shared" si="541"/>
        <v>223064.28470931173</v>
      </c>
      <c r="W72" s="45">
        <f t="shared" si="541"/>
        <v>212741.63673550039</v>
      </c>
      <c r="X72" s="45">
        <f t="shared" si="541"/>
        <v>202298.65943791193</v>
      </c>
      <c r="Y72" s="45">
        <f t="shared" si="541"/>
        <v>185145.40058784836</v>
      </c>
      <c r="Z72" s="45">
        <f t="shared" si="541"/>
        <v>187242.02591890033</v>
      </c>
      <c r="AA72" s="45">
        <f>ROUND(IF(AA54="","",+AA54+(AA57*AA64/AA65)),2)</f>
        <v>102199.67</v>
      </c>
      <c r="AB72" s="45">
        <f t="shared" si="541"/>
        <v>15774.991410991883</v>
      </c>
      <c r="AC72" s="45">
        <f t="shared" si="541"/>
        <v>14999.076289049191</v>
      </c>
      <c r="AD72" s="45">
        <f t="shared" si="541"/>
        <v>17802.440022199695</v>
      </c>
      <c r="AE72" s="45">
        <f t="shared" si="541"/>
        <v>19775.612550633668</v>
      </c>
      <c r="AF72" s="45">
        <f t="shared" si="541"/>
        <v>11062.273989486501</v>
      </c>
      <c r="AG72" s="45">
        <f t="shared" si="541"/>
        <v>20313.771907757455</v>
      </c>
      <c r="AH72" s="45">
        <f t="shared" si="541"/>
        <v>19132.25484498954</v>
      </c>
      <c r="AI72" s="45">
        <f t="shared" si="541"/>
        <v>18842.570934578442</v>
      </c>
      <c r="AJ72" s="45">
        <f t="shared" si="541"/>
        <v>17291.908336856264</v>
      </c>
      <c r="AK72" s="45">
        <f t="shared" si="541"/>
        <v>16424.771759142779</v>
      </c>
      <c r="AL72" s="45">
        <f t="shared" si="541"/>
        <v>19194.293385468092</v>
      </c>
      <c r="AM72" s="45">
        <f t="shared" si="541"/>
        <v>38886.814638059877</v>
      </c>
      <c r="AN72" s="45">
        <f t="shared" si="541"/>
        <v>62163.30838583759</v>
      </c>
      <c r="AO72" s="45">
        <f t="shared" si="541"/>
        <v>62277.891788111709</v>
      </c>
      <c r="AP72" s="45">
        <f t="shared" si="541"/>
        <v>61090.351080169654</v>
      </c>
      <c r="AQ72" s="45">
        <f t="shared" si="541"/>
        <v>77031.361873120681</v>
      </c>
      <c r="AR72" s="45">
        <f t="shared" si="541"/>
        <v>71605.590509478847</v>
      </c>
      <c r="AS72" s="45">
        <f t="shared" si="541"/>
        <v>79252.326006964737</v>
      </c>
      <c r="AT72" s="45">
        <f t="shared" si="541"/>
        <v>80418.423982704393</v>
      </c>
      <c r="AU72" s="45">
        <f t="shared" si="541"/>
        <v>75914.605849404077</v>
      </c>
      <c r="AV72" s="45">
        <f t="shared" si="541"/>
        <v>67084.185364881603</v>
      </c>
      <c r="AW72" s="45">
        <f t="shared" si="541"/>
        <v>62856.748290520285</v>
      </c>
      <c r="AX72" s="45">
        <f t="shared" ref="AX72:AY72" si="542">IF(AX54="","",+AX54+(AX57*AX64/AX65))</f>
        <v>66459.230205220156</v>
      </c>
      <c r="AY72" s="45">
        <f t="shared" si="542"/>
        <v>66430.245030828315</v>
      </c>
      <c r="AZ72" s="45">
        <f t="shared" ref="AZ72:BA72" si="543">IF(AZ54="","",+AZ54+(AZ57*AZ64/AZ65))</f>
        <v>38508.585383210528</v>
      </c>
      <c r="BA72" s="45">
        <f t="shared" si="543"/>
        <v>44139.712667457272</v>
      </c>
      <c r="BB72" s="45">
        <f t="shared" ref="BB72:BC72" si="544">IF(BB54="","",+BB54+(BB57*BB64/BB65))</f>
        <v>44831.320451790816</v>
      </c>
      <c r="BC72" s="45">
        <f t="shared" si="544"/>
        <v>11299.677842574871</v>
      </c>
      <c r="BD72" s="45">
        <f t="shared" ref="BD72:BE72" si="545">IF(BD54="","",+BD54+(BD57*BD64/BD65))</f>
        <v>50403.777431042647</v>
      </c>
      <c r="BE72" s="45">
        <f t="shared" si="545"/>
        <v>51924.778274542303</v>
      </c>
      <c r="BF72" s="45">
        <f t="shared" ref="BF72:BG72" si="546">IF(BF54="","",+BF54+(BF57*BF64/BF65))</f>
        <v>52673.048419221035</v>
      </c>
      <c r="BG72" s="45">
        <f t="shared" si="546"/>
        <v>46395.596252741838</v>
      </c>
      <c r="BH72" s="45">
        <f t="shared" ref="BH72:BI72" si="547">IF(BH54="","",+BH54+(BH57*BH64/BH65))</f>
        <v>45485.528963265475</v>
      </c>
      <c r="BI72" s="45">
        <f t="shared" si="547"/>
        <v>46424.397026326449</v>
      </c>
      <c r="BJ72" s="45">
        <f t="shared" ref="BJ72:BK72" si="548">IF(BJ54="","",+BJ54+(BJ57*BJ64/BJ65))</f>
        <v>42444.211387439616</v>
      </c>
      <c r="BK72" s="45">
        <f t="shared" si="548"/>
        <v>37845.94077531778</v>
      </c>
      <c r="BL72" s="45">
        <f t="shared" ref="BL72:BM72" si="549">IF(BL54="","",+BL54+(BL57*BL64/BL65))</f>
        <v>-731.33700161567504</v>
      </c>
      <c r="BM72" s="45">
        <f t="shared" si="549"/>
        <v>1437.7999422217736</v>
      </c>
      <c r="BN72" s="45">
        <f t="shared" ref="BN72:BO72" si="550">IF(BN54="","",+BN54+(BN57*BN64/BN65))</f>
        <v>1448.8425667251033</v>
      </c>
      <c r="BO72" s="45">
        <f t="shared" si="550"/>
        <v>1380.7821512277105</v>
      </c>
      <c r="BP72" s="45">
        <f t="shared" ref="BP72:BQ72" si="551">IF(BP54="","",+BP54+(BP57*BP64/BP65))</f>
        <v>1767.2604926793401</v>
      </c>
      <c r="BQ72" s="45">
        <f t="shared" si="551"/>
        <v>1691.5909448949833</v>
      </c>
      <c r="BR72" s="45">
        <f t="shared" ref="BR72:BS72" si="552">IF(BR54="","",+BR54+(BR57*BR64/BR65))</f>
        <v>1824.9961214654177</v>
      </c>
      <c r="BS72" s="45">
        <f t="shared" si="552"/>
        <v>1633.3060195728406</v>
      </c>
      <c r="BT72" s="45">
        <f t="shared" ref="BT72:BU72" si="553">IF(BT54="","",+BT54+(BT57*BT64/BT65))</f>
        <v>1134.0675425845006</v>
      </c>
      <c r="BU72" s="45">
        <f t="shared" si="553"/>
        <v>1713.7681476555249</v>
      </c>
      <c r="BV72" s="45">
        <f t="shared" ref="BV72:BW72" si="554">IF(BV54="","",+BV54+(BV57*BV64/BV65))</f>
        <v>1528.2002495401016</v>
      </c>
      <c r="BW72" s="45">
        <f t="shared" si="554"/>
        <v>880.06349454617578</v>
      </c>
      <c r="BX72" s="45">
        <f t="shared" ref="BX72:BY72" si="555">IF(BX54="","",+BX54+(BX57*BX64/BX65))</f>
        <v>-2097.7749559192816</v>
      </c>
      <c r="BY72" s="45">
        <f t="shared" si="555"/>
        <v>-9941.5602511884663</v>
      </c>
      <c r="BZ72" s="45">
        <f t="shared" ref="BZ72:CA72" si="556">IF(BZ54="","",+BZ54+(BZ57*BZ64/BZ65))</f>
        <v>-1916.6757761009615</v>
      </c>
      <c r="CA72" s="45">
        <f t="shared" si="556"/>
        <v>-2336.6180031047011</v>
      </c>
      <c r="CB72" s="45">
        <f t="shared" ref="CB72:CC72" si="557">IF(CB54="","",+CB54+(CB57*CB64/CB65))</f>
        <v>-2679.3289962978324</v>
      </c>
      <c r="CC72" s="45">
        <f t="shared" si="557"/>
        <v>-2648.8730550887763</v>
      </c>
      <c r="CD72" s="45">
        <f t="shared" ref="CD72:CE72" si="558">IF(CD54="","",+CD54+(CD57*CD64/CD65))</f>
        <v>-2762.0412565834886</v>
      </c>
      <c r="CE72" s="45">
        <f t="shared" si="558"/>
        <v>-2372.9708277142608</v>
      </c>
      <c r="CF72" s="45">
        <f t="shared" ref="CF72:CG72" si="559">IF(CF54="","",+CF54+(CF57*CF64/CF65))</f>
        <v>-2369.0270963874896</v>
      </c>
      <c r="CG72" s="45">
        <f t="shared" si="559"/>
        <v>-2320.8511941080565</v>
      </c>
      <c r="CH72" s="45">
        <f t="shared" ref="CH72:CI72" si="560">IF(CH54="","",+CH54+(CH57*CH64/CH65))</f>
        <v>-1958.1190231074463</v>
      </c>
      <c r="CI72" s="45">
        <f t="shared" si="560"/>
        <v>-1623.9777556599881</v>
      </c>
      <c r="CJ72" s="45">
        <f t="shared" ref="CJ72:CK72" si="561">IF(CJ54="","",+CJ54+(CJ57*CJ64/CJ65))</f>
        <v>-31.727229387163341</v>
      </c>
      <c r="CK72" s="45">
        <f t="shared" si="561"/>
        <v>-21.913770259463259</v>
      </c>
      <c r="CL72" s="45">
        <f t="shared" ref="CL72:CM72" si="562">IF(CL54="","",+CL54+(CL57*CL64/CL65))</f>
        <v>-19.431521380489585</v>
      </c>
      <c r="CM72" s="45">
        <f t="shared" si="562"/>
        <v>-23.007750837930821</v>
      </c>
      <c r="CN72" s="45">
        <f t="shared" ref="CN72:CO72" si="563">IF(CN54="","",+CN54+(CN57*CN64/CN65))</f>
        <v>-23.519135312415173</v>
      </c>
      <c r="CO72" s="45">
        <f t="shared" si="563"/>
        <v>-27.323845680704316</v>
      </c>
      <c r="CP72" s="45">
        <f t="shared" ref="CP72:CQ72" si="564">IF(CP54="","",+CP54+(CP57*CP64/CP65))</f>
        <v>-29.041239780857424</v>
      </c>
      <c r="CQ72" s="45">
        <f t="shared" si="564"/>
        <v>-28.609465326327861</v>
      </c>
      <c r="CR72" s="45">
        <f t="shared" ref="CR72:CS72" si="565">IF(CR54="","",+CR54+(CR57*CR64/CR65))</f>
        <v>-26.659825343432857</v>
      </c>
      <c r="CS72" s="45">
        <f t="shared" si="565"/>
        <v>-36.245125401328671</v>
      </c>
      <c r="CT72" s="45">
        <f t="shared" ref="CT72" si="566">IF(CT54="","",+CT54+(CT57*CT64/CT65))</f>
        <v>-35.313906986189053</v>
      </c>
    </row>
    <row r="73" spans="1:98" x14ac:dyDescent="0.25">
      <c r="A73" s="33" t="s">
        <v>31</v>
      </c>
      <c r="B73" s="31"/>
      <c r="C73" s="31"/>
      <c r="D73" s="44">
        <f>SUM(D68:D72)</f>
        <v>0</v>
      </c>
      <c r="E73" s="44">
        <f t="shared" ref="E73:AW73" si="567">SUM(E68:E72)</f>
        <v>0</v>
      </c>
      <c r="F73" s="44">
        <f t="shared" si="567"/>
        <v>0</v>
      </c>
      <c r="G73" s="44">
        <f t="shared" si="567"/>
        <v>0</v>
      </c>
      <c r="H73" s="44">
        <f t="shared" si="567"/>
        <v>0</v>
      </c>
      <c r="I73" s="44">
        <f t="shared" si="567"/>
        <v>0</v>
      </c>
      <c r="J73" s="44">
        <f t="shared" si="567"/>
        <v>0</v>
      </c>
      <c r="K73" s="44">
        <f t="shared" si="567"/>
        <v>0</v>
      </c>
      <c r="L73" s="44">
        <f t="shared" si="567"/>
        <v>0</v>
      </c>
      <c r="M73" s="44">
        <f t="shared" si="567"/>
        <v>0</v>
      </c>
      <c r="N73" s="44">
        <f t="shared" si="567"/>
        <v>0</v>
      </c>
      <c r="O73" s="44">
        <f t="shared" si="567"/>
        <v>0</v>
      </c>
      <c r="P73" s="44">
        <f t="shared" si="567"/>
        <v>0</v>
      </c>
      <c r="Q73" s="44">
        <f t="shared" si="567"/>
        <v>1865586.4</v>
      </c>
      <c r="R73" s="44">
        <f t="shared" si="567"/>
        <v>1834668.94</v>
      </c>
      <c r="S73" s="44">
        <f t="shared" si="567"/>
        <v>2295880.5499999998</v>
      </c>
      <c r="T73" s="44">
        <f t="shared" si="567"/>
        <v>2739739.71</v>
      </c>
      <c r="U73" s="44">
        <f t="shared" si="567"/>
        <v>2810029.67</v>
      </c>
      <c r="V73" s="44">
        <f t="shared" si="567"/>
        <v>2397146.59</v>
      </c>
      <c r="W73" s="44">
        <f t="shared" si="567"/>
        <v>2196198.75</v>
      </c>
      <c r="X73" s="44">
        <f t="shared" si="567"/>
        <v>1955310.19</v>
      </c>
      <c r="Y73" s="44">
        <f t="shared" si="567"/>
        <v>2272928.3199999998</v>
      </c>
      <c r="Z73" s="44">
        <f t="shared" si="567"/>
        <v>3133513.62</v>
      </c>
      <c r="AA73" s="44">
        <f t="shared" si="567"/>
        <v>2686519.3200000003</v>
      </c>
      <c r="AB73" s="44">
        <f t="shared" si="567"/>
        <v>2253809.6800000002</v>
      </c>
      <c r="AC73" s="44">
        <f t="shared" si="567"/>
        <v>2191880.62</v>
      </c>
      <c r="AD73" s="44">
        <f t="shared" si="567"/>
        <v>2008078.91</v>
      </c>
      <c r="AE73" s="44">
        <f t="shared" si="567"/>
        <v>2628092.9099999997</v>
      </c>
      <c r="AF73" s="44">
        <f t="shared" si="567"/>
        <v>2927384.48</v>
      </c>
      <c r="AG73" s="44">
        <f t="shared" si="567"/>
        <v>2713828.67</v>
      </c>
      <c r="AH73" s="44">
        <f t="shared" si="567"/>
        <v>2656476.1</v>
      </c>
      <c r="AI73" s="44">
        <f t="shared" si="567"/>
        <v>2241568.5699999998</v>
      </c>
      <c r="AJ73" s="44">
        <f t="shared" si="567"/>
        <v>2050332.64</v>
      </c>
      <c r="AK73" s="44">
        <f t="shared" si="567"/>
        <v>2540211.5599999996</v>
      </c>
      <c r="AL73" s="44">
        <f t="shared" si="567"/>
        <v>2758522.64</v>
      </c>
      <c r="AM73" s="44">
        <f t="shared" si="567"/>
        <v>3731846.2900000005</v>
      </c>
      <c r="AN73" s="44">
        <f t="shared" si="567"/>
        <v>3504116.6100000003</v>
      </c>
      <c r="AO73" s="44">
        <f t="shared" si="567"/>
        <v>2834702.33</v>
      </c>
      <c r="AP73" s="44">
        <f t="shared" si="567"/>
        <v>2693990.75</v>
      </c>
      <c r="AQ73" s="44">
        <f t="shared" si="567"/>
        <v>3224890.5700000003</v>
      </c>
      <c r="AR73" s="44">
        <f t="shared" si="567"/>
        <v>3677369.72</v>
      </c>
      <c r="AS73" s="44">
        <f t="shared" si="567"/>
        <v>3821939.25</v>
      </c>
      <c r="AT73" s="44">
        <f t="shared" si="567"/>
        <v>3698449.9900000007</v>
      </c>
      <c r="AU73" s="44">
        <f t="shared" si="567"/>
        <v>3264460.0799999996</v>
      </c>
      <c r="AV73" s="44">
        <f t="shared" si="567"/>
        <v>2921768.73</v>
      </c>
      <c r="AW73" s="44">
        <f t="shared" si="567"/>
        <v>3431438.0599999996</v>
      </c>
      <c r="AX73" s="44">
        <f t="shared" ref="AX73:AY73" si="568">SUM(AX68:AX72)</f>
        <v>3659744.19</v>
      </c>
      <c r="AY73" s="44">
        <f t="shared" si="568"/>
        <v>2389556.5699999998</v>
      </c>
      <c r="AZ73" s="44">
        <f t="shared" ref="AZ73:BA73" si="569">SUM(AZ68:AZ72)</f>
        <v>693510.74000000011</v>
      </c>
      <c r="BA73" s="44">
        <f t="shared" si="569"/>
        <v>590167.07000000007</v>
      </c>
      <c r="BB73" s="44">
        <f t="shared" ref="BB73:BC73" si="570">SUM(BB68:BB72)</f>
        <v>548810.88</v>
      </c>
      <c r="BC73" s="44">
        <f t="shared" si="570"/>
        <v>622900.26</v>
      </c>
      <c r="BD73" s="44">
        <f t="shared" ref="BD73:BE73" si="571">SUM(BD68:BD72)</f>
        <v>774512.69</v>
      </c>
      <c r="BE73" s="44">
        <f t="shared" si="571"/>
        <v>770258.37</v>
      </c>
      <c r="BF73" s="44">
        <f t="shared" ref="BF73:BG73" si="572">SUM(BF68:BF72)</f>
        <v>751740.30999999994</v>
      </c>
      <c r="BG73" s="44">
        <f t="shared" si="572"/>
        <v>622388.87</v>
      </c>
      <c r="BH73" s="44">
        <f t="shared" ref="BH73:BI73" si="573">SUM(BH68:BH72)</f>
        <v>618464.56000000006</v>
      </c>
      <c r="BI73" s="44">
        <f t="shared" si="573"/>
        <v>686712.57000000007</v>
      </c>
      <c r="BJ73" s="44">
        <f t="shared" ref="BJ73:BK73" si="574">SUM(BJ68:BJ72)</f>
        <v>753788.79</v>
      </c>
      <c r="BK73" s="44">
        <f t="shared" si="574"/>
        <v>123252.23000000001</v>
      </c>
      <c r="BL73" s="44">
        <f t="shared" ref="BL73:BM73" si="575">SUM(BL68:BL72)</f>
        <v>-572800.92000000004</v>
      </c>
      <c r="BM73" s="44">
        <f t="shared" si="575"/>
        <v>-433116.60999999993</v>
      </c>
      <c r="BN73" s="44">
        <f t="shared" ref="BN73:BO73" si="576">SUM(BN68:BN72)</f>
        <v>-422296.81</v>
      </c>
      <c r="BO73" s="44">
        <f t="shared" si="576"/>
        <v>-511624.21</v>
      </c>
      <c r="BP73" s="44">
        <f t="shared" ref="BP73:BQ73" si="577">SUM(BP68:BP72)</f>
        <v>-644535.94999999995</v>
      </c>
      <c r="BQ73" s="44">
        <f t="shared" si="577"/>
        <v>-648872.89000000013</v>
      </c>
      <c r="BR73" s="44">
        <f t="shared" ref="BR73:BS73" si="578">SUM(BR68:BR72)</f>
        <v>-646588.66999999981</v>
      </c>
      <c r="BS73" s="44">
        <f t="shared" si="578"/>
        <v>-495839.7</v>
      </c>
      <c r="BT73" s="44">
        <f t="shared" ref="BT73:BU73" si="579">SUM(BT68:BT72)</f>
        <v>-452926.68</v>
      </c>
      <c r="BU73" s="44">
        <f t="shared" si="579"/>
        <v>-540882.02999999991</v>
      </c>
      <c r="BV73" s="44">
        <f t="shared" ref="BV73:BW73" si="580">SUM(BV68:BV72)</f>
        <v>-651029.75</v>
      </c>
      <c r="BW73" s="44">
        <f t="shared" si="580"/>
        <v>-427144.88000000006</v>
      </c>
      <c r="BX73" s="44">
        <f t="shared" ref="BX73:BY73" si="581">SUM(BX68:BX72)</f>
        <v>-59180.160000000003</v>
      </c>
      <c r="BY73" s="44">
        <f t="shared" si="581"/>
        <v>-58562.48</v>
      </c>
      <c r="BZ73" s="44">
        <f t="shared" ref="BZ73:CA73" si="582">SUM(BZ68:BZ72)</f>
        <v>-50748.47</v>
      </c>
      <c r="CA73" s="44">
        <f t="shared" si="582"/>
        <v>-58661.3</v>
      </c>
      <c r="CB73" s="44">
        <f t="shared" ref="CB73:CC73" si="583">SUM(CB68:CB72)</f>
        <v>-68462.3</v>
      </c>
      <c r="CC73" s="44">
        <f t="shared" si="583"/>
        <v>-66846.459999999992</v>
      </c>
      <c r="CD73" s="44">
        <f t="shared" ref="CD73:CE73" si="584">SUM(CD68:CD72)</f>
        <v>-62475.11</v>
      </c>
      <c r="CE73" s="44">
        <f t="shared" si="584"/>
        <v>-52251.13</v>
      </c>
      <c r="CF73" s="44">
        <f t="shared" ref="CF73:CG73" si="585">SUM(CF68:CF72)</f>
        <v>-49844.259999999995</v>
      </c>
      <c r="CG73" s="44">
        <f t="shared" si="585"/>
        <v>-59378.83</v>
      </c>
      <c r="CH73" s="44">
        <f t="shared" ref="CH73:CI73" si="586">SUM(CH68:CH72)</f>
        <v>-62477.820000000007</v>
      </c>
      <c r="CI73" s="44">
        <f t="shared" si="586"/>
        <v>-23191.07</v>
      </c>
      <c r="CJ73" s="44">
        <f t="shared" ref="CJ73:CK73" si="587">SUM(CJ68:CJ72)</f>
        <v>25380.51</v>
      </c>
      <c r="CK73" s="44">
        <f t="shared" si="587"/>
        <v>22966.98</v>
      </c>
      <c r="CL73" s="44">
        <f t="shared" ref="CL73:CM73" si="588">SUM(CL68:CL72)</f>
        <v>20634.359999999997</v>
      </c>
      <c r="CM73" s="44">
        <f t="shared" si="588"/>
        <v>25481.590000000004</v>
      </c>
      <c r="CN73" s="44">
        <f t="shared" ref="CN73:CO73" si="589">SUM(CN68:CN72)</f>
        <v>31453.350000000002</v>
      </c>
      <c r="CO73" s="44">
        <f t="shared" si="589"/>
        <v>32480.489999999994</v>
      </c>
      <c r="CP73" s="44">
        <f t="shared" ref="CP73:CQ73" si="590">SUM(CP68:CP72)</f>
        <v>30891.69</v>
      </c>
      <c r="CQ73" s="44">
        <f t="shared" si="590"/>
        <v>23718.190000000002</v>
      </c>
      <c r="CR73" s="44">
        <f t="shared" ref="CR73:CS73" si="591">SUM(CR68:CR72)</f>
        <v>21245.090000000004</v>
      </c>
      <c r="CS73" s="44">
        <f t="shared" si="591"/>
        <v>26837.760000000002</v>
      </c>
      <c r="CT73" s="44">
        <f t="shared" ref="CT73" si="592">SUM(CT68:CT72)</f>
        <v>33990.120000000003</v>
      </c>
    </row>
  </sheetData>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2:CI38"/>
  <sheetViews>
    <sheetView workbookViewId="0">
      <pane xSplit="2" ySplit="2" topLeftCell="BU3" activePane="bottomRight" state="frozen"/>
      <selection activeCell="CW24" sqref="CW24"/>
      <selection pane="topRight" activeCell="CW24" sqref="CW24"/>
      <selection pane="bottomLeft" activeCell="CW24" sqref="CW24"/>
      <selection pane="bottomRight" activeCell="CJ1" sqref="CJ1:CJ1048576"/>
    </sheetView>
  </sheetViews>
  <sheetFormatPr defaultRowHeight="15" x14ac:dyDescent="0.25"/>
  <cols>
    <col min="2" max="2" width="29.140625" customWidth="1"/>
    <col min="3" max="3" width="11.5703125" bestFit="1" customWidth="1"/>
    <col min="4" max="5" width="13.28515625" bestFit="1" customWidth="1"/>
    <col min="6" max="6" width="12.140625" bestFit="1" customWidth="1"/>
    <col min="7" max="7" width="11.5703125" bestFit="1" customWidth="1"/>
    <col min="8" max="14" width="13.28515625" bestFit="1" customWidth="1"/>
    <col min="15" max="15" width="13.85546875" bestFit="1" customWidth="1"/>
    <col min="16" max="18" width="13.28515625" bestFit="1" customWidth="1"/>
    <col min="19" max="19" width="11.5703125" bestFit="1" customWidth="1"/>
    <col min="20" max="24" width="13.28515625" bestFit="1" customWidth="1"/>
    <col min="25" max="25" width="11.5703125" bestFit="1" customWidth="1"/>
    <col min="26" max="29" width="13.28515625" bestFit="1" customWidth="1"/>
    <col min="30" max="31" width="12.85546875" bestFit="1" customWidth="1"/>
    <col min="32" max="36" width="13.28515625" bestFit="1" customWidth="1"/>
    <col min="37" max="37" width="12.85546875" bestFit="1" customWidth="1"/>
    <col min="38" max="87" width="13.28515625" bestFit="1" customWidth="1"/>
  </cols>
  <sheetData>
    <row r="2" spans="1:87" x14ac:dyDescent="0.25">
      <c r="C2" s="10">
        <v>42736</v>
      </c>
      <c r="D2" s="10">
        <v>42767</v>
      </c>
      <c r="E2" s="10">
        <v>42795</v>
      </c>
      <c r="F2" s="10">
        <v>42826</v>
      </c>
      <c r="G2" s="10">
        <v>42856</v>
      </c>
      <c r="H2" s="10">
        <v>42887</v>
      </c>
      <c r="I2" s="10">
        <v>42917</v>
      </c>
      <c r="J2" s="10">
        <v>42948</v>
      </c>
      <c r="K2" s="10">
        <v>42979</v>
      </c>
      <c r="L2" s="10">
        <v>43009</v>
      </c>
      <c r="M2" s="10">
        <v>43040</v>
      </c>
      <c r="N2" s="10">
        <v>43070</v>
      </c>
      <c r="O2" s="10">
        <v>43101</v>
      </c>
      <c r="P2" s="10">
        <v>43132</v>
      </c>
      <c r="Q2" s="10">
        <v>43160</v>
      </c>
      <c r="R2" s="10">
        <v>43191</v>
      </c>
      <c r="S2" s="10">
        <v>43221</v>
      </c>
      <c r="T2" s="10">
        <v>43252</v>
      </c>
      <c r="U2" s="10">
        <v>43282</v>
      </c>
      <c r="V2" s="10">
        <v>43313</v>
      </c>
      <c r="W2" s="10">
        <v>43344</v>
      </c>
      <c r="X2" s="10">
        <v>43374</v>
      </c>
      <c r="Y2" s="10">
        <v>43405</v>
      </c>
      <c r="Z2" s="10">
        <v>43435</v>
      </c>
      <c r="AA2" s="10">
        <v>43466</v>
      </c>
      <c r="AB2" s="10">
        <v>43497</v>
      </c>
      <c r="AC2" s="10">
        <v>43525</v>
      </c>
      <c r="AD2" s="10">
        <v>43556</v>
      </c>
      <c r="AE2" s="10">
        <v>43586</v>
      </c>
      <c r="AF2" s="10">
        <v>43617</v>
      </c>
      <c r="AG2" s="10">
        <v>43647</v>
      </c>
      <c r="AH2" s="10">
        <v>43678</v>
      </c>
      <c r="AI2" s="10">
        <v>43709</v>
      </c>
      <c r="AJ2" s="10">
        <v>43739</v>
      </c>
      <c r="AK2" s="10">
        <v>43770</v>
      </c>
      <c r="AL2" s="10">
        <v>43800</v>
      </c>
      <c r="AM2" s="10">
        <v>43831</v>
      </c>
      <c r="AN2" s="10">
        <v>43862</v>
      </c>
      <c r="AO2" s="10">
        <v>43891</v>
      </c>
      <c r="AP2" s="10">
        <v>43922</v>
      </c>
      <c r="AQ2" s="10">
        <v>43952</v>
      </c>
      <c r="AR2" s="10">
        <v>43983</v>
      </c>
      <c r="AS2" s="10">
        <v>44013</v>
      </c>
      <c r="AT2" s="10">
        <v>44044</v>
      </c>
      <c r="AU2" s="10">
        <v>44075</v>
      </c>
      <c r="AV2" s="10">
        <v>44105</v>
      </c>
      <c r="AW2" s="10">
        <v>44136</v>
      </c>
      <c r="AX2" s="10">
        <v>44166</v>
      </c>
      <c r="AY2" s="10">
        <v>44197</v>
      </c>
      <c r="AZ2" s="10">
        <v>44228</v>
      </c>
      <c r="BA2" s="10">
        <v>44256</v>
      </c>
      <c r="BB2" s="10">
        <v>44287</v>
      </c>
      <c r="BC2" s="10">
        <v>44317</v>
      </c>
      <c r="BD2" s="10">
        <v>44348</v>
      </c>
      <c r="BE2" s="10">
        <v>44378</v>
      </c>
      <c r="BF2" s="10">
        <v>44409</v>
      </c>
      <c r="BG2" s="10">
        <v>44440</v>
      </c>
      <c r="BH2" s="10">
        <v>44470</v>
      </c>
      <c r="BI2" s="10">
        <v>44501</v>
      </c>
      <c r="BJ2" s="10">
        <v>44531</v>
      </c>
      <c r="BK2" s="10">
        <v>44562</v>
      </c>
      <c r="BL2" s="10">
        <v>44593</v>
      </c>
      <c r="BM2" s="10">
        <v>44621</v>
      </c>
      <c r="BN2" s="10">
        <v>44652</v>
      </c>
      <c r="BO2" s="10">
        <v>44682</v>
      </c>
      <c r="BP2" s="10">
        <v>44713</v>
      </c>
      <c r="BQ2" s="10">
        <v>44743</v>
      </c>
      <c r="BR2" s="10">
        <v>44774</v>
      </c>
      <c r="BS2" s="10">
        <v>44805</v>
      </c>
      <c r="BT2" s="10">
        <v>44835</v>
      </c>
      <c r="BU2" s="10">
        <v>44866</v>
      </c>
      <c r="BV2" s="10">
        <v>44896</v>
      </c>
      <c r="BW2" s="10">
        <v>44927</v>
      </c>
      <c r="BX2" s="10">
        <v>44958</v>
      </c>
      <c r="BY2" s="10">
        <v>44986</v>
      </c>
      <c r="BZ2" s="10">
        <v>45017</v>
      </c>
      <c r="CA2" s="10">
        <v>45047</v>
      </c>
      <c r="CB2" s="10">
        <v>45078</v>
      </c>
      <c r="CC2" s="10">
        <v>45108</v>
      </c>
      <c r="CD2" s="10">
        <v>45139</v>
      </c>
      <c r="CE2" s="10">
        <v>45170</v>
      </c>
      <c r="CF2" s="10">
        <v>45200</v>
      </c>
      <c r="CG2" s="10">
        <v>45231</v>
      </c>
      <c r="CH2" s="10">
        <v>45261</v>
      </c>
      <c r="CI2" s="10">
        <v>45292</v>
      </c>
    </row>
    <row r="3" spans="1:87" x14ac:dyDescent="0.25">
      <c r="A3" s="305" t="s">
        <v>33</v>
      </c>
      <c r="B3" s="72" t="s">
        <v>53</v>
      </c>
      <c r="C3" s="63">
        <f>+'MEEIA 2 calcs'!O28</f>
        <v>406285.42</v>
      </c>
      <c r="D3" s="63">
        <f>+'MEEIA 2 calcs'!P28</f>
        <v>1369889.78</v>
      </c>
      <c r="E3" s="63">
        <f>+'MEEIA 2 calcs'!Q28</f>
        <v>1103029.06</v>
      </c>
      <c r="F3" s="63">
        <f>+'M2 Allocations - TD'!Q50</f>
        <v>964230.74</v>
      </c>
      <c r="G3" s="63">
        <f>IF(+'M2 Allocations - TD'!R50="","",'M2 Allocations - TD'!R50)</f>
        <v>918986.9</v>
      </c>
      <c r="H3" s="63">
        <f>IF(+'M2 Allocations - TD'!S50="","",'M2 Allocations - TD'!S50)</f>
        <v>1235335.3500000001</v>
      </c>
      <c r="I3" s="63">
        <f>IF(+'M2 Allocations - TD'!T50="","",'M2 Allocations - TD'!T50)</f>
        <v>1643710.03</v>
      </c>
      <c r="J3" s="63">
        <f>IF(+'M2 Allocations - TD'!U50="","",'M2 Allocations - TD'!U50)</f>
        <v>1663991.32</v>
      </c>
      <c r="K3" s="63">
        <f>IF(+'M2 Allocations - TD'!V50="","",'M2 Allocations - TD'!V50)</f>
        <v>1315722.52</v>
      </c>
      <c r="L3" s="63">
        <f>IF(+'M2 Allocations - TD'!W50="","",'M2 Allocations - TD'!W50)</f>
        <v>1155142.76</v>
      </c>
      <c r="M3" s="63">
        <f>IF(+'M2 Allocations - TD'!X50="","",'M2 Allocations - TD'!X50)</f>
        <v>1008647.72</v>
      </c>
      <c r="N3" s="63">
        <f>IF(+'M2 Allocations - TD'!Y50="","",'M2 Allocations - TD'!Y50)</f>
        <v>1300717.95</v>
      </c>
      <c r="O3" s="63">
        <f>IF(+'M2 Allocations - TD'!Z50="","",'M2 Allocations - TD'!Z50)</f>
        <v>1995202.44</v>
      </c>
      <c r="P3" s="63">
        <f>IF(+'M2 Allocations - TD'!AA50="","",'M2 Allocations - TD'!AA50)</f>
        <v>1361606.16</v>
      </c>
      <c r="Q3" s="63">
        <f>IF(+'M2 Allocations - TD'!AB50="","",'M2 Allocations - TD'!AB50)</f>
        <v>1097480.82</v>
      </c>
      <c r="R3" s="63">
        <f>IF(+'M2 Allocations - TD'!AC50="","",'M2 Allocations - TD'!AC50)</f>
        <v>1059578.1200000001</v>
      </c>
      <c r="S3" s="63">
        <f>IF(+'M2 Allocations - TD'!AD50="","",'M2 Allocations - TD'!AD50)</f>
        <v>862980.65</v>
      </c>
      <c r="T3" s="63">
        <f>IF(+'M2 Allocations - TD'!AE50="","",'M2 Allocations - TD'!AE50)</f>
        <v>1281774.72</v>
      </c>
      <c r="U3" s="63">
        <f>IF(+'M2 Allocations - TD'!AF50="","",'M2 Allocations - TD'!AF50)</f>
        <v>1502957.34</v>
      </c>
      <c r="V3" s="63">
        <f>IF(+'M2 Allocations - TD'!AG50="","",'M2 Allocations - TD'!AG50)</f>
        <v>1346919.46</v>
      </c>
      <c r="W3" s="63">
        <f>IF(+'M2 Allocations - TD'!AH50="","",'M2 Allocations - TD'!AH50)</f>
        <v>1295482.8999999999</v>
      </c>
      <c r="X3" s="63">
        <f>IF(+'M2 Allocations - TD'!AI50="","",'M2 Allocations - TD'!AI50)</f>
        <v>1002485.52</v>
      </c>
      <c r="Y3" s="63">
        <f>IF(+'M2 Allocations - TD'!AJ50="","",'M2 Allocations - TD'!AJ50)</f>
        <v>930228.6</v>
      </c>
      <c r="Z3" s="63">
        <f>IF(+'M2 Allocations - TD'!AK50="","",'M2 Allocations - TD'!AK50)</f>
        <v>1294357.3</v>
      </c>
      <c r="AA3" s="63">
        <f>IF(+'M2 Allocations - TD'!AL50="","",'M2 Allocations - TD'!AL50)</f>
        <v>1435395.83</v>
      </c>
      <c r="AB3" s="63">
        <f>IF(+'M2 Allocations - TD'!AM50="","",'M2 Allocations - TD'!AM50)</f>
        <v>1500360.52</v>
      </c>
      <c r="AC3" s="63">
        <f>IF(+'M2 Allocations - TD'!AN50="","",'M2 Allocations - TD'!AN50)</f>
        <v>1351205.92</v>
      </c>
      <c r="AD3" s="63">
        <f>IF(+'M2 Allocations - TD'!AO50="","",'M2 Allocations - TD'!AO50)</f>
        <v>930965.27</v>
      </c>
      <c r="AE3" s="63">
        <f>IF(+'M2 Allocations - TD'!AP50="","",'M2 Allocations - TD'!AP50)</f>
        <v>791487</v>
      </c>
      <c r="AF3" s="63">
        <f>IF(+'M2 Allocations - TD'!AQ50="","",'M2 Allocations - TD'!AQ50)</f>
        <v>1054075.57</v>
      </c>
      <c r="AG3" s="63">
        <f>IF(+'M2 Allocations - TD'!AR50="","",'M2 Allocations - TD'!AR50)</f>
        <v>1341002.6200000001</v>
      </c>
      <c r="AH3" s="63">
        <f>IF(+'M2 Allocations - TD'!AS50="","",'M2 Allocations - TD'!AS50)</f>
        <v>1411567.5</v>
      </c>
      <c r="AI3" s="63">
        <f>IF(+'M2 Allocations - TD'!AT50="","",'M2 Allocations - TD'!AT50)</f>
        <v>1302183.99</v>
      </c>
      <c r="AJ3" s="63">
        <f>IF(+'M2 Allocations - TD'!AU50="","",'M2 Allocations - TD'!AU50)</f>
        <v>1070055.19</v>
      </c>
      <c r="AK3" s="63">
        <f>IF(+'M2 Allocations - TD'!AV50="","",'M2 Allocations - TD'!AV50)</f>
        <v>960017.17</v>
      </c>
      <c r="AL3" s="63">
        <f>IF(+'M2 Allocations - TD'!AW50="","",'M2 Allocations - TD'!AW50)</f>
        <v>1291710.24</v>
      </c>
      <c r="AM3" s="63">
        <f>IF(+'M2 Allocations - TD'!AX50="","",'M2 Allocations - TD'!AX50)</f>
        <v>1426440.21</v>
      </c>
      <c r="AN3" s="63">
        <f>IF(+'M2 Allocations - TD'!AY50="","",'M2 Allocations - TD'!AY50)</f>
        <v>836821.82</v>
      </c>
      <c r="AO3" s="63">
        <f>IF(+'M2 Allocations - TD'!AZ50="","",'M2 Allocations - TD'!AZ50)</f>
        <v>123502.6</v>
      </c>
      <c r="AP3" s="63">
        <f>IF(+'M2 Allocations - TD'!BA50="","",'M2 Allocations - TD'!BA50)</f>
        <v>92675.74</v>
      </c>
      <c r="AQ3" s="63">
        <f>IF(+'M2 Allocations - TD'!BB50="","",'M2 Allocations - TD'!BB50)</f>
        <v>82719.98</v>
      </c>
      <c r="AR3" s="63">
        <f>IF(+'M2 Allocations - TD'!BC50="","",'M2 Allocations - TD'!BC50)</f>
        <v>109517.12</v>
      </c>
      <c r="AS3" s="63">
        <f>IF(+'M2 Allocations - TD'!BD50="","",'M2 Allocations - TD'!BD50)</f>
        <v>147043.66</v>
      </c>
      <c r="AT3" s="63">
        <f>IF(+'M2 Allocations - TD'!BE50="","",'M2 Allocations - TD'!BE50)</f>
        <v>137831</v>
      </c>
      <c r="AU3" s="63">
        <f>IF(+'M2 Allocations - TD'!BF50="","",'M2 Allocations - TD'!BF50)</f>
        <v>124319.87</v>
      </c>
      <c r="AV3" s="63">
        <f>IF(+'M2 Allocations - TD'!BG50="","",'M2 Allocations - TD'!BG50)</f>
        <v>84008.53</v>
      </c>
      <c r="AW3" s="63">
        <f>IF(+'M2 Allocations - TD'!BH50="","",'M2 Allocations - TD'!BH50)</f>
        <v>89633.18</v>
      </c>
      <c r="AX3" s="63">
        <f>IF(+'M2 Allocations - TD'!BI50="","",'M2 Allocations - TD'!BI50)</f>
        <v>118817.27</v>
      </c>
      <c r="AY3" s="63">
        <f>IF(+'M2 Allocations - TD'!BJ50="","",'M2 Allocations - TD'!BJ50)</f>
        <v>154664.07999999999</v>
      </c>
      <c r="AZ3" s="63">
        <f>IF(+'M2 Allocations - TD'!BK50="","",'M2 Allocations - TD'!BK50)</f>
        <v>-113458.01</v>
      </c>
      <c r="BA3" s="63">
        <f>IF(+'M2 Allocations - TD'!BL50="","",'M2 Allocations - TD'!BL50)</f>
        <v>-325175.89</v>
      </c>
      <c r="BB3" s="63">
        <f>IF(+'M2 Allocations - TD'!BM50="","",'M2 Allocations - TD'!BM50)</f>
        <v>-219552.89</v>
      </c>
      <c r="BC3" s="63">
        <f>IF(+'M2 Allocations - TD'!BN50="","",'M2 Allocations - TD'!BN50)</f>
        <v>-206267.22</v>
      </c>
      <c r="BD3" s="63">
        <f>IF(+'M2 Allocations - TD'!BO50="","",'M2 Allocations - TD'!BO50)</f>
        <v>-270595.87</v>
      </c>
      <c r="BE3" s="63">
        <f>IF(+'M2 Allocations - TD'!BP50="","",'M2 Allocations - TD'!BP50)</f>
        <v>-357386.66</v>
      </c>
      <c r="BF3" s="63">
        <f>IF(+'M2 Allocations - TD'!BQ50="","",'M2 Allocations - TD'!BQ50)</f>
        <v>-364675.44</v>
      </c>
      <c r="BG3" s="63">
        <f>IF(+'M2 Allocations - TD'!BR50="","",'M2 Allocations - TD'!BR50)</f>
        <v>-358208.47</v>
      </c>
      <c r="BH3" s="63">
        <f>IF(+'M2 Allocations - TD'!BS50="","",'M2 Allocations - TD'!BS50)</f>
        <v>-248050.58</v>
      </c>
      <c r="BI3" s="63">
        <f>IF(+'M2 Allocations - TD'!BT50="","",'M2 Allocations - TD'!BT50)</f>
        <v>-232427.07</v>
      </c>
      <c r="BJ3" s="63">
        <f>IF(+'M2 Allocations - TD'!BU50="","",'M2 Allocations - TD'!BU50)</f>
        <v>-290836.61</v>
      </c>
      <c r="BK3" s="63">
        <f>IF(+'M2 Allocations - TD'!BV50="","",'M2 Allocations - TD'!BV50)</f>
        <v>-375935.37</v>
      </c>
      <c r="BL3" s="63">
        <f>IF(+'M2 Allocations - TD'!BW50="","",'M2 Allocations - TD'!BW50)</f>
        <v>-242680.23</v>
      </c>
      <c r="BM3" s="63">
        <f>IF(+'M2 Allocations - TD'!BX50="","",'M2 Allocations - TD'!BX50)</f>
        <v>-13830.45</v>
      </c>
      <c r="BN3" s="63">
        <f>IF(+'M2 Allocations - TD'!BY50="","",'M2 Allocations - TD'!BY50)</f>
        <v>-7909.14</v>
      </c>
      <c r="BO3" s="63">
        <f>IF(+'M2 Allocations - TD'!BZ50="","",'M2 Allocations - TD'!BZ50)</f>
        <v>-7927.25</v>
      </c>
      <c r="BP3" s="63">
        <f>IF(+'M2 Allocations - TD'!CA50="","",'M2 Allocations - TD'!CA50)</f>
        <v>-10364.700000000001</v>
      </c>
      <c r="BQ3" s="63">
        <f>IF(+'M2 Allocations - TD'!CB50="","",'M2 Allocations - TD'!CB50)</f>
        <v>-14271.87</v>
      </c>
      <c r="BR3" s="63">
        <f>IF(+'M2 Allocations - TD'!CC50="","",'M2 Allocations - TD'!CC50)</f>
        <v>-13453.18</v>
      </c>
      <c r="BS3" s="63">
        <f>IF(+'M2 Allocations - TD'!CD50="","",'M2 Allocations - TD'!CD50)</f>
        <v>-11260.05</v>
      </c>
      <c r="BT3" s="63">
        <f>IF(+'M2 Allocations - TD'!CE50="","",'M2 Allocations - TD'!CE50)</f>
        <v>-8003.94</v>
      </c>
      <c r="BU3" s="63">
        <f>IF(+'M2 Allocations - TD'!CF50="","",'M2 Allocations - TD'!CF50)</f>
        <v>-7297.68</v>
      </c>
      <c r="BV3" s="63">
        <f>IF(+'M2 Allocations - TD'!CG50="","",'M2 Allocations - TD'!CG50)</f>
        <v>-11546.44</v>
      </c>
      <c r="BW3" s="63">
        <f>IF(+'M2 Allocations - TD'!CH50="","",'M2 Allocations - TD'!CH50)</f>
        <v>-13951.26</v>
      </c>
      <c r="BX3" s="63">
        <f>IF(+'M2 Allocations - TD'!CI50="","",'M2 Allocations - TD'!CI50)</f>
        <v>1126.4100000000001</v>
      </c>
      <c r="BY3" s="63">
        <f>IF(+'M2 Allocations - TD'!CJ50="","",'M2 Allocations - TD'!CJ50)</f>
        <v>16692.439999999999</v>
      </c>
      <c r="BZ3" s="63">
        <f>IF(+'M2 Allocations - TD'!CK50="","",'M2 Allocations - TD'!CK50)</f>
        <v>14494.89</v>
      </c>
      <c r="CA3" s="63">
        <f>IF(+'M2 Allocations - TD'!CL50="","",'M2 Allocations - TD'!CL50)</f>
        <v>12335.8</v>
      </c>
      <c r="CB3" s="63">
        <f>IF(+'M2 Allocations - TD'!CM50="","",'M2 Allocations - TD'!CM50)</f>
        <v>15962.84</v>
      </c>
      <c r="CC3" s="63">
        <f>IF(+'M2 Allocations - TD'!CN50="","",'M2 Allocations - TD'!CN50)</f>
        <v>20902.03</v>
      </c>
      <c r="CD3" s="63">
        <f>IF(+'M2 Allocations - TD'!CO50="","",'M2 Allocations - TD'!CO50)</f>
        <v>21552.2</v>
      </c>
      <c r="CE3" s="63">
        <f>IF(+'M2 Allocations - TD'!CP50="","",'M2 Allocations - TD'!CP50)</f>
        <v>19936.310000000001</v>
      </c>
      <c r="CF3" s="63">
        <f>IF(+'M2 Allocations - TD'!CQ50="","",'M2 Allocations - TD'!CQ50)</f>
        <v>14454.45</v>
      </c>
      <c r="CG3" s="63">
        <f>IF(+'M2 Allocations - TD'!CR50="","",'M2 Allocations - TD'!CR50)</f>
        <v>12652.24</v>
      </c>
      <c r="CH3" s="63">
        <f>IF(+'M2 Allocations - TD'!CS50="","",'M2 Allocations - TD'!CS50)</f>
        <v>17636.48</v>
      </c>
      <c r="CI3" s="63">
        <f>IF(+'M2 Allocations - TD'!CT50="","",'M2 Allocations - TD'!CT50)</f>
        <v>23087.03</v>
      </c>
    </row>
    <row r="4" spans="1:87" x14ac:dyDescent="0.25">
      <c r="A4" s="306"/>
      <c r="B4" s="73" t="s">
        <v>55</v>
      </c>
      <c r="C4" s="87">
        <v>1.9100000000000001E-4</v>
      </c>
      <c r="D4" s="87">
        <v>6.0999999999999997E-4</v>
      </c>
      <c r="E4" s="71">
        <f>+D4</f>
        <v>6.0999999999999997E-4</v>
      </c>
      <c r="F4" s="71">
        <f>IF(F3="","",E4)</f>
        <v>6.0999999999999997E-4</v>
      </c>
      <c r="G4" s="71">
        <f t="shared" ref="G4:Z4" si="0">IF(G3="","",F4)</f>
        <v>6.0999999999999997E-4</v>
      </c>
      <c r="H4" s="71">
        <f t="shared" si="0"/>
        <v>6.0999999999999997E-4</v>
      </c>
      <c r="I4" s="71">
        <f t="shared" si="0"/>
        <v>6.0999999999999997E-4</v>
      </c>
      <c r="J4" s="71">
        <f t="shared" si="0"/>
        <v>6.0999999999999997E-4</v>
      </c>
      <c r="K4" s="71">
        <f t="shared" si="0"/>
        <v>6.0999999999999997E-4</v>
      </c>
      <c r="L4" s="71">
        <f t="shared" si="0"/>
        <v>6.0999999999999997E-4</v>
      </c>
      <c r="M4" s="71">
        <f>IF(M3="","",L4)</f>
        <v>6.0999999999999997E-4</v>
      </c>
      <c r="N4" s="71">
        <f t="shared" si="0"/>
        <v>6.0999999999999997E-4</v>
      </c>
      <c r="O4" s="71">
        <f>IF(O3="","",N4)</f>
        <v>6.0999999999999997E-4</v>
      </c>
      <c r="P4" s="87">
        <v>1.1003580051866457E-3</v>
      </c>
      <c r="Q4" s="71">
        <f>IF(Q3="","",P4)</f>
        <v>1.1003580051866457E-3</v>
      </c>
      <c r="R4" s="90">
        <f t="shared" si="0"/>
        <v>1.1003580051866457E-3</v>
      </c>
      <c r="S4" s="90">
        <f t="shared" si="0"/>
        <v>1.1003580051866457E-3</v>
      </c>
      <c r="T4" s="90">
        <f t="shared" si="0"/>
        <v>1.1003580051866457E-3</v>
      </c>
      <c r="U4" s="90">
        <f t="shared" si="0"/>
        <v>1.1003580051866457E-3</v>
      </c>
      <c r="V4" s="90">
        <f t="shared" si="0"/>
        <v>1.1003580051866457E-3</v>
      </c>
      <c r="W4" s="90">
        <f t="shared" si="0"/>
        <v>1.1003580051866457E-3</v>
      </c>
      <c r="X4" s="90">
        <f t="shared" si="0"/>
        <v>1.1003580051866457E-3</v>
      </c>
      <c r="Y4" s="90">
        <f t="shared" si="0"/>
        <v>1.1003580051866457E-3</v>
      </c>
      <c r="Z4" s="90">
        <f t="shared" si="0"/>
        <v>1.1003580051866457E-3</v>
      </c>
      <c r="AA4" s="90">
        <f t="shared" ref="AA4" si="1">IF(AA3="","",Z4)</f>
        <v>1.1003580051866457E-3</v>
      </c>
      <c r="AB4" s="87">
        <v>1.2689610054905937E-3</v>
      </c>
      <c r="AC4" s="71">
        <f>IF(AC3="","",AB4)</f>
        <v>1.2689610054905937E-3</v>
      </c>
      <c r="AD4" s="71">
        <f t="shared" ref="AD4:AM4" si="2">IF(AD3="","",AC4)</f>
        <v>1.2689610054905937E-3</v>
      </c>
      <c r="AE4" s="71">
        <f t="shared" si="2"/>
        <v>1.2689610054905937E-3</v>
      </c>
      <c r="AF4" s="71">
        <f t="shared" si="2"/>
        <v>1.2689610054905937E-3</v>
      </c>
      <c r="AG4" s="71">
        <f t="shared" si="2"/>
        <v>1.2689610054905937E-3</v>
      </c>
      <c r="AH4" s="71">
        <f t="shared" si="2"/>
        <v>1.2689610054905937E-3</v>
      </c>
      <c r="AI4" s="71">
        <f t="shared" si="2"/>
        <v>1.2689610054905937E-3</v>
      </c>
      <c r="AJ4" s="71">
        <f t="shared" si="2"/>
        <v>1.2689610054905937E-3</v>
      </c>
      <c r="AK4" s="71">
        <f t="shared" si="2"/>
        <v>1.2689610054905937E-3</v>
      </c>
      <c r="AL4" s="71">
        <f t="shared" si="2"/>
        <v>1.2689610054905937E-3</v>
      </c>
      <c r="AM4" s="71">
        <f t="shared" si="2"/>
        <v>1.2689610054905937E-3</v>
      </c>
      <c r="AN4" s="119">
        <v>1.8414899018216353E-4</v>
      </c>
      <c r="AO4" s="71">
        <f t="shared" ref="AO4:BJ4" si="3">IF(AO3="","",AN4)</f>
        <v>1.8414899018216353E-4</v>
      </c>
      <c r="AP4" s="71">
        <f t="shared" si="3"/>
        <v>1.8414899018216353E-4</v>
      </c>
      <c r="AQ4" s="71">
        <f t="shared" si="3"/>
        <v>1.8414899018216353E-4</v>
      </c>
      <c r="AR4" s="71">
        <f t="shared" si="3"/>
        <v>1.8414899018216353E-4</v>
      </c>
      <c r="AS4" s="71">
        <f t="shared" si="3"/>
        <v>1.8414899018216353E-4</v>
      </c>
      <c r="AT4" s="71">
        <f t="shared" si="3"/>
        <v>1.8414899018216353E-4</v>
      </c>
      <c r="AU4" s="71">
        <f t="shared" si="3"/>
        <v>1.8414899018216353E-4</v>
      </c>
      <c r="AV4" s="71">
        <f t="shared" si="3"/>
        <v>1.8414899018216353E-4</v>
      </c>
      <c r="AW4" s="71">
        <f t="shared" si="3"/>
        <v>1.8414899018216353E-4</v>
      </c>
      <c r="AX4" s="71">
        <f t="shared" si="3"/>
        <v>1.8414899018216353E-4</v>
      </c>
      <c r="AY4" s="71">
        <f t="shared" si="3"/>
        <v>1.8414899018216353E-4</v>
      </c>
      <c r="AZ4" s="119">
        <v>0</v>
      </c>
      <c r="BA4" s="71">
        <f t="shared" si="3"/>
        <v>0</v>
      </c>
      <c r="BB4" s="71">
        <f t="shared" si="3"/>
        <v>0</v>
      </c>
      <c r="BC4" s="71">
        <f t="shared" si="3"/>
        <v>0</v>
      </c>
      <c r="BD4" s="71">
        <f t="shared" si="3"/>
        <v>0</v>
      </c>
      <c r="BE4" s="71">
        <f t="shared" si="3"/>
        <v>0</v>
      </c>
      <c r="BF4" s="71">
        <f t="shared" si="3"/>
        <v>0</v>
      </c>
      <c r="BG4" s="71">
        <f t="shared" si="3"/>
        <v>0</v>
      </c>
      <c r="BH4" s="71">
        <f t="shared" si="3"/>
        <v>0</v>
      </c>
      <c r="BI4" s="71">
        <f t="shared" si="3"/>
        <v>0</v>
      </c>
      <c r="BJ4" s="71">
        <f t="shared" si="3"/>
        <v>0</v>
      </c>
      <c r="BK4" s="71">
        <f>IF(BK3="","",BJ4)</f>
        <v>0</v>
      </c>
      <c r="BL4" s="119">
        <v>0</v>
      </c>
      <c r="BM4" s="71">
        <f t="shared" ref="BM4:CI4" si="4">IF(BM3="","",BL4)</f>
        <v>0</v>
      </c>
      <c r="BN4" s="71">
        <f t="shared" si="4"/>
        <v>0</v>
      </c>
      <c r="BO4" s="71">
        <f t="shared" si="4"/>
        <v>0</v>
      </c>
      <c r="BP4" s="71">
        <f t="shared" si="4"/>
        <v>0</v>
      </c>
      <c r="BQ4" s="71">
        <f t="shared" si="4"/>
        <v>0</v>
      </c>
      <c r="BR4" s="71">
        <f t="shared" si="4"/>
        <v>0</v>
      </c>
      <c r="BS4" s="71">
        <f t="shared" si="4"/>
        <v>0</v>
      </c>
      <c r="BT4" s="71">
        <f t="shared" si="4"/>
        <v>0</v>
      </c>
      <c r="BU4" s="71">
        <f t="shared" si="4"/>
        <v>0</v>
      </c>
      <c r="BV4" s="71">
        <f t="shared" si="4"/>
        <v>0</v>
      </c>
      <c r="BW4" s="71">
        <f t="shared" si="4"/>
        <v>0</v>
      </c>
      <c r="BX4" s="119">
        <v>0</v>
      </c>
      <c r="BY4" s="71">
        <f t="shared" si="4"/>
        <v>0</v>
      </c>
      <c r="BZ4" s="71">
        <f t="shared" si="4"/>
        <v>0</v>
      </c>
      <c r="CA4" s="71">
        <f t="shared" si="4"/>
        <v>0</v>
      </c>
      <c r="CB4" s="71">
        <f t="shared" si="4"/>
        <v>0</v>
      </c>
      <c r="CC4" s="71">
        <f t="shared" si="4"/>
        <v>0</v>
      </c>
      <c r="CD4" s="71">
        <f t="shared" si="4"/>
        <v>0</v>
      </c>
      <c r="CE4" s="71">
        <f t="shared" si="4"/>
        <v>0</v>
      </c>
      <c r="CF4" s="71">
        <f t="shared" si="4"/>
        <v>0</v>
      </c>
      <c r="CG4" s="71">
        <f t="shared" si="4"/>
        <v>0</v>
      </c>
      <c r="CH4" s="71">
        <f t="shared" si="4"/>
        <v>0</v>
      </c>
      <c r="CI4" s="71">
        <f t="shared" si="4"/>
        <v>0</v>
      </c>
    </row>
    <row r="5" spans="1:87" x14ac:dyDescent="0.25">
      <c r="A5" s="306"/>
      <c r="B5" s="73" t="s">
        <v>71</v>
      </c>
      <c r="C5" s="42">
        <v>0</v>
      </c>
      <c r="D5" s="87">
        <v>6.6E-4</v>
      </c>
      <c r="E5" s="71">
        <f>+D5</f>
        <v>6.6E-4</v>
      </c>
      <c r="F5" s="71">
        <f>IF(F3="","",E5)</f>
        <v>6.6E-4</v>
      </c>
      <c r="G5" s="71">
        <f t="shared" ref="G5:Z5" si="5">IF(G3="","",F5)</f>
        <v>6.6E-4</v>
      </c>
      <c r="H5" s="71">
        <f t="shared" si="5"/>
        <v>6.6E-4</v>
      </c>
      <c r="I5" s="71">
        <f t="shared" si="5"/>
        <v>6.6E-4</v>
      </c>
      <c r="J5" s="71">
        <f t="shared" si="5"/>
        <v>6.6E-4</v>
      </c>
      <c r="K5" s="71">
        <f t="shared" si="5"/>
        <v>6.6E-4</v>
      </c>
      <c r="L5" s="71">
        <f t="shared" si="5"/>
        <v>6.6E-4</v>
      </c>
      <c r="M5" s="71">
        <f t="shared" si="5"/>
        <v>6.6E-4</v>
      </c>
      <c r="N5" s="71">
        <f t="shared" si="5"/>
        <v>6.6E-4</v>
      </c>
      <c r="O5" s="71">
        <f t="shared" si="5"/>
        <v>6.6E-4</v>
      </c>
      <c r="P5" s="91">
        <v>-3.6489311277065175E-5</v>
      </c>
      <c r="Q5" s="90">
        <f t="shared" si="5"/>
        <v>-3.6489311277065175E-5</v>
      </c>
      <c r="R5" s="90">
        <f t="shared" si="5"/>
        <v>-3.6489311277065175E-5</v>
      </c>
      <c r="S5" s="90">
        <f t="shared" si="5"/>
        <v>-3.6489311277065175E-5</v>
      </c>
      <c r="T5" s="90">
        <f t="shared" si="5"/>
        <v>-3.6489311277065175E-5</v>
      </c>
      <c r="U5" s="90">
        <f t="shared" si="5"/>
        <v>-3.6489311277065175E-5</v>
      </c>
      <c r="V5" s="90">
        <f t="shared" si="5"/>
        <v>-3.6489311277065175E-5</v>
      </c>
      <c r="W5" s="90">
        <f t="shared" si="5"/>
        <v>-3.6489311277065175E-5</v>
      </c>
      <c r="X5" s="90">
        <f t="shared" si="5"/>
        <v>-3.6489311277065175E-5</v>
      </c>
      <c r="Y5" s="90">
        <f t="shared" si="5"/>
        <v>-3.6489311277065175E-5</v>
      </c>
      <c r="Z5" s="90">
        <f t="shared" si="5"/>
        <v>-3.6489311277065175E-5</v>
      </c>
      <c r="AA5" s="90">
        <f t="shared" ref="AA5" si="6">IF(AA3="","",Z5)</f>
        <v>-3.6489311277065175E-5</v>
      </c>
      <c r="AB5" s="91">
        <v>-1.5974223193033709E-4</v>
      </c>
      <c r="AC5" s="90">
        <f t="shared" ref="AC5" si="7">IF(AC3="","",AB5)</f>
        <v>-1.5974223193033709E-4</v>
      </c>
      <c r="AD5" s="90">
        <f t="shared" ref="AD5" si="8">IF(AD3="","",AC5)</f>
        <v>-1.5974223193033709E-4</v>
      </c>
      <c r="AE5" s="90">
        <f t="shared" ref="AE5" si="9">IF(AE3="","",AD5)</f>
        <v>-1.5974223193033709E-4</v>
      </c>
      <c r="AF5" s="90">
        <f t="shared" ref="AF5" si="10">IF(AF3="","",AE5)</f>
        <v>-1.5974223193033709E-4</v>
      </c>
      <c r="AG5" s="90">
        <f t="shared" ref="AG5" si="11">IF(AG3="","",AF5)</f>
        <v>-1.5974223193033709E-4</v>
      </c>
      <c r="AH5" s="90">
        <f t="shared" ref="AH5" si="12">IF(AH3="","",AG5)</f>
        <v>-1.5974223193033709E-4</v>
      </c>
      <c r="AI5" s="90">
        <f t="shared" ref="AI5" si="13">IF(AI3="","",AH5)</f>
        <v>-1.5974223193033709E-4</v>
      </c>
      <c r="AJ5" s="90">
        <f t="shared" ref="AJ5" si="14">IF(AJ3="","",AI5)</f>
        <v>-1.5974223193033709E-4</v>
      </c>
      <c r="AK5" s="90">
        <f t="shared" ref="AK5" si="15">IF(AK3="","",AJ5)</f>
        <v>-1.5974223193033709E-4</v>
      </c>
      <c r="AL5" s="90">
        <f t="shared" ref="AL5" si="16">IF(AL3="","",AK5)</f>
        <v>-1.5974223193033709E-4</v>
      </c>
      <c r="AM5" s="90">
        <f t="shared" ref="AM5" si="17">IF(AM3="","",AL5)</f>
        <v>-1.5974223193033709E-4</v>
      </c>
      <c r="AN5" s="120">
        <v>-7.6479563545008331E-5</v>
      </c>
      <c r="AO5" s="90">
        <f t="shared" ref="AO5:BJ5" si="18">IF(AO3="","",AN5)</f>
        <v>-7.6479563545008331E-5</v>
      </c>
      <c r="AP5" s="90">
        <f t="shared" si="18"/>
        <v>-7.6479563545008331E-5</v>
      </c>
      <c r="AQ5" s="90">
        <f t="shared" si="18"/>
        <v>-7.6479563545008331E-5</v>
      </c>
      <c r="AR5" s="90">
        <f t="shared" si="18"/>
        <v>-7.6479563545008331E-5</v>
      </c>
      <c r="AS5" s="90">
        <f t="shared" si="18"/>
        <v>-7.6479563545008331E-5</v>
      </c>
      <c r="AT5" s="90">
        <f t="shared" si="18"/>
        <v>-7.6479563545008331E-5</v>
      </c>
      <c r="AU5" s="90">
        <f t="shared" si="18"/>
        <v>-7.6479563545008331E-5</v>
      </c>
      <c r="AV5" s="90">
        <f t="shared" si="18"/>
        <v>-7.6479563545008331E-5</v>
      </c>
      <c r="AW5" s="90">
        <f t="shared" si="18"/>
        <v>-7.6479563545008331E-5</v>
      </c>
      <c r="AX5" s="90">
        <f t="shared" si="18"/>
        <v>-7.6479563545008331E-5</v>
      </c>
      <c r="AY5" s="90">
        <f t="shared" si="18"/>
        <v>-7.6479563545008331E-5</v>
      </c>
      <c r="AZ5" s="120">
        <v>-2.8339231336924818E-4</v>
      </c>
      <c r="BA5" s="90">
        <f t="shared" si="18"/>
        <v>-2.8339231336924818E-4</v>
      </c>
      <c r="BB5" s="90">
        <f t="shared" si="18"/>
        <v>-2.8339231336924818E-4</v>
      </c>
      <c r="BC5" s="90">
        <f t="shared" si="18"/>
        <v>-2.8339231336924818E-4</v>
      </c>
      <c r="BD5" s="90">
        <f t="shared" si="18"/>
        <v>-2.8339231336924818E-4</v>
      </c>
      <c r="BE5" s="90">
        <f t="shared" si="18"/>
        <v>-2.8339231336924818E-4</v>
      </c>
      <c r="BF5" s="90">
        <f t="shared" si="18"/>
        <v>-2.8339231336924818E-4</v>
      </c>
      <c r="BG5" s="90">
        <f t="shared" si="18"/>
        <v>-2.8339231336924818E-4</v>
      </c>
      <c r="BH5" s="90">
        <f t="shared" si="18"/>
        <v>-2.8339231336924818E-4</v>
      </c>
      <c r="BI5" s="90">
        <f t="shared" si="18"/>
        <v>-2.8339231336924818E-4</v>
      </c>
      <c r="BJ5" s="90">
        <f t="shared" si="18"/>
        <v>-2.8339231336924818E-4</v>
      </c>
      <c r="BK5" s="90">
        <f>IF(BK3="","",BJ5)</f>
        <v>-2.8339231336924818E-4</v>
      </c>
      <c r="BL5" s="120">
        <v>-9.9410400936806899E-6</v>
      </c>
      <c r="BM5" s="90">
        <f t="shared" ref="BM5:CI5" si="19">IF(BM3="","",BL5)</f>
        <v>-9.9410400936806899E-6</v>
      </c>
      <c r="BN5" s="90">
        <f t="shared" si="19"/>
        <v>-9.9410400936806899E-6</v>
      </c>
      <c r="BO5" s="90">
        <f t="shared" si="19"/>
        <v>-9.9410400936806899E-6</v>
      </c>
      <c r="BP5" s="90">
        <f t="shared" si="19"/>
        <v>-9.9410400936806899E-6</v>
      </c>
      <c r="BQ5" s="90">
        <f t="shared" si="19"/>
        <v>-9.9410400936806899E-6</v>
      </c>
      <c r="BR5" s="90">
        <f t="shared" si="19"/>
        <v>-9.9410400936806899E-6</v>
      </c>
      <c r="BS5" s="90">
        <f t="shared" si="19"/>
        <v>-9.9410400936806899E-6</v>
      </c>
      <c r="BT5" s="90">
        <f t="shared" si="19"/>
        <v>-9.9410400936806899E-6</v>
      </c>
      <c r="BU5" s="90">
        <f t="shared" si="19"/>
        <v>-9.9410400936806899E-6</v>
      </c>
      <c r="BV5" s="90">
        <f t="shared" si="19"/>
        <v>-9.9410400936806899E-6</v>
      </c>
      <c r="BW5" s="90">
        <f t="shared" si="19"/>
        <v>-9.9410400936806899E-6</v>
      </c>
      <c r="BX5" s="120">
        <v>1.7458435408319681E-5</v>
      </c>
      <c r="BY5" s="90">
        <f t="shared" si="19"/>
        <v>1.7458435408319681E-5</v>
      </c>
      <c r="BZ5" s="90">
        <f t="shared" si="19"/>
        <v>1.7458435408319681E-5</v>
      </c>
      <c r="CA5" s="90">
        <f t="shared" si="19"/>
        <v>1.7458435408319681E-5</v>
      </c>
      <c r="CB5" s="90">
        <f t="shared" si="19"/>
        <v>1.7458435408319681E-5</v>
      </c>
      <c r="CC5" s="90">
        <f t="shared" si="19"/>
        <v>1.7458435408319681E-5</v>
      </c>
      <c r="CD5" s="90">
        <f t="shared" si="19"/>
        <v>1.7458435408319681E-5</v>
      </c>
      <c r="CE5" s="90">
        <f t="shared" si="19"/>
        <v>1.7458435408319681E-5</v>
      </c>
      <c r="CF5" s="90">
        <f t="shared" si="19"/>
        <v>1.7458435408319681E-5</v>
      </c>
      <c r="CG5" s="90">
        <f t="shared" si="19"/>
        <v>1.7458435408319681E-5</v>
      </c>
      <c r="CH5" s="90">
        <f t="shared" si="19"/>
        <v>1.7458435408319681E-5</v>
      </c>
      <c r="CI5" s="90">
        <f t="shared" si="19"/>
        <v>1.7458435408319681E-5</v>
      </c>
    </row>
    <row r="6" spans="1:87" x14ac:dyDescent="0.25">
      <c r="A6" s="306"/>
      <c r="B6" s="73" t="s">
        <v>63</v>
      </c>
      <c r="C6" s="62">
        <f>SUM(C4:C5)</f>
        <v>1.9100000000000001E-4</v>
      </c>
      <c r="D6" s="62">
        <f>SUM(D4:D5)</f>
        <v>1.2699999999999999E-3</v>
      </c>
      <c r="E6" s="62">
        <f>SUM(E4:E5)</f>
        <v>1.2699999999999999E-3</v>
      </c>
      <c r="F6" s="62">
        <f>IF(F3="","",SUM(F4:F5))</f>
        <v>1.2699999999999999E-3</v>
      </c>
      <c r="G6" s="62">
        <f t="shared" ref="G6:Z6" si="20">IF(G3="","",SUM(G4:G5))</f>
        <v>1.2699999999999999E-3</v>
      </c>
      <c r="H6" s="62">
        <f t="shared" si="20"/>
        <v>1.2699999999999999E-3</v>
      </c>
      <c r="I6" s="62">
        <f t="shared" si="20"/>
        <v>1.2699999999999999E-3</v>
      </c>
      <c r="J6" s="62">
        <f t="shared" si="20"/>
        <v>1.2699999999999999E-3</v>
      </c>
      <c r="K6" s="62">
        <f t="shared" si="20"/>
        <v>1.2699999999999999E-3</v>
      </c>
      <c r="L6" s="62">
        <f t="shared" si="20"/>
        <v>1.2699999999999999E-3</v>
      </c>
      <c r="M6" s="62">
        <f t="shared" si="20"/>
        <v>1.2699999999999999E-3</v>
      </c>
      <c r="N6" s="62">
        <f t="shared" si="20"/>
        <v>1.2699999999999999E-3</v>
      </c>
      <c r="O6" s="62">
        <f t="shared" si="20"/>
        <v>1.2699999999999999E-3</v>
      </c>
      <c r="P6" s="62">
        <f t="shared" si="20"/>
        <v>1.0638686939095806E-3</v>
      </c>
      <c r="Q6" s="62">
        <f t="shared" si="20"/>
        <v>1.0638686939095806E-3</v>
      </c>
      <c r="R6" s="62">
        <f t="shared" si="20"/>
        <v>1.0638686939095806E-3</v>
      </c>
      <c r="S6" s="62">
        <f t="shared" si="20"/>
        <v>1.0638686939095806E-3</v>
      </c>
      <c r="T6" s="62">
        <f t="shared" si="20"/>
        <v>1.0638686939095806E-3</v>
      </c>
      <c r="U6" s="62">
        <f t="shared" si="20"/>
        <v>1.0638686939095806E-3</v>
      </c>
      <c r="V6" s="62">
        <f t="shared" si="20"/>
        <v>1.0638686939095806E-3</v>
      </c>
      <c r="W6" s="62">
        <f t="shared" si="20"/>
        <v>1.0638686939095806E-3</v>
      </c>
      <c r="X6" s="62">
        <f t="shared" si="20"/>
        <v>1.0638686939095806E-3</v>
      </c>
      <c r="Y6" s="62">
        <f t="shared" si="20"/>
        <v>1.0638686939095806E-3</v>
      </c>
      <c r="Z6" s="62">
        <f t="shared" si="20"/>
        <v>1.0638686939095806E-3</v>
      </c>
      <c r="AA6" s="62">
        <f t="shared" ref="AA6:AC6" si="21">IF(AA3="","",SUM(AA4:AA5))</f>
        <v>1.0638686939095806E-3</v>
      </c>
      <c r="AB6" s="62">
        <f t="shared" si="21"/>
        <v>1.1092187735602566E-3</v>
      </c>
      <c r="AC6" s="62">
        <f t="shared" si="21"/>
        <v>1.1092187735602566E-3</v>
      </c>
      <c r="AD6" s="62">
        <f t="shared" ref="AD6:AM6" si="22">IF(AD3="","",SUM(AD4:AD5))</f>
        <v>1.1092187735602566E-3</v>
      </c>
      <c r="AE6" s="62">
        <f t="shared" si="22"/>
        <v>1.1092187735602566E-3</v>
      </c>
      <c r="AF6" s="62">
        <f t="shared" si="22"/>
        <v>1.1092187735602566E-3</v>
      </c>
      <c r="AG6" s="62">
        <f t="shared" si="22"/>
        <v>1.1092187735602566E-3</v>
      </c>
      <c r="AH6" s="62">
        <f t="shared" si="22"/>
        <v>1.1092187735602566E-3</v>
      </c>
      <c r="AI6" s="62">
        <f t="shared" si="22"/>
        <v>1.1092187735602566E-3</v>
      </c>
      <c r="AJ6" s="62">
        <f t="shared" si="22"/>
        <v>1.1092187735602566E-3</v>
      </c>
      <c r="AK6" s="62">
        <f t="shared" si="22"/>
        <v>1.1092187735602566E-3</v>
      </c>
      <c r="AL6" s="62">
        <f t="shared" si="22"/>
        <v>1.1092187735602566E-3</v>
      </c>
      <c r="AM6" s="62">
        <f t="shared" si="22"/>
        <v>1.1092187735602566E-3</v>
      </c>
      <c r="AN6" s="62">
        <f t="shared" ref="AN6:AO6" si="23">IF(AN3="","",SUM(AN4:AN5))</f>
        <v>1.076694266371552E-4</v>
      </c>
      <c r="AO6" s="62">
        <f t="shared" si="23"/>
        <v>1.076694266371552E-4</v>
      </c>
      <c r="AP6" s="62">
        <f t="shared" ref="AP6:AU6" si="24">IF(AP3="","",SUM(AP4:AP5))</f>
        <v>1.076694266371552E-4</v>
      </c>
      <c r="AQ6" s="62">
        <f t="shared" si="24"/>
        <v>1.076694266371552E-4</v>
      </c>
      <c r="AR6" s="62">
        <f t="shared" si="24"/>
        <v>1.076694266371552E-4</v>
      </c>
      <c r="AS6" s="62">
        <f t="shared" si="24"/>
        <v>1.076694266371552E-4</v>
      </c>
      <c r="AT6" s="62">
        <f t="shared" si="24"/>
        <v>1.076694266371552E-4</v>
      </c>
      <c r="AU6" s="62">
        <f t="shared" si="24"/>
        <v>1.076694266371552E-4</v>
      </c>
      <c r="AV6" s="62">
        <f t="shared" ref="AV6:AW6" si="25">IF(AV3="","",SUM(AV4:AV5))</f>
        <v>1.076694266371552E-4</v>
      </c>
      <c r="AW6" s="62">
        <f t="shared" si="25"/>
        <v>1.076694266371552E-4</v>
      </c>
      <c r="AX6" s="62">
        <f t="shared" ref="AX6:AY6" si="26">IF(AX3="","",SUM(AX4:AX5))</f>
        <v>1.076694266371552E-4</v>
      </c>
      <c r="AY6" s="62">
        <f t="shared" si="26"/>
        <v>1.076694266371552E-4</v>
      </c>
      <c r="AZ6" s="62">
        <f t="shared" ref="AZ6:BA6" si="27">IF(AZ3="","",SUM(AZ4:AZ5))</f>
        <v>-2.8339231336924818E-4</v>
      </c>
      <c r="BA6" s="62">
        <f t="shared" si="27"/>
        <v>-2.8339231336924818E-4</v>
      </c>
      <c r="BB6" s="62">
        <f t="shared" ref="BB6:BC6" si="28">IF(BB3="","",SUM(BB4:BB5))</f>
        <v>-2.8339231336924818E-4</v>
      </c>
      <c r="BC6" s="62">
        <f t="shared" si="28"/>
        <v>-2.8339231336924818E-4</v>
      </c>
      <c r="BD6" s="62">
        <f t="shared" ref="BD6:BE6" si="29">IF(BD3="","",SUM(BD4:BD5))</f>
        <v>-2.8339231336924818E-4</v>
      </c>
      <c r="BE6" s="62">
        <f t="shared" si="29"/>
        <v>-2.8339231336924818E-4</v>
      </c>
      <c r="BF6" s="62">
        <f t="shared" ref="BF6:BG6" si="30">IF(BF3="","",SUM(BF4:BF5))</f>
        <v>-2.8339231336924818E-4</v>
      </c>
      <c r="BG6" s="62">
        <f t="shared" si="30"/>
        <v>-2.8339231336924818E-4</v>
      </c>
      <c r="BH6" s="62">
        <f t="shared" ref="BH6:BI6" si="31">IF(BH3="","",SUM(BH4:BH5))</f>
        <v>-2.8339231336924818E-4</v>
      </c>
      <c r="BI6" s="62">
        <f t="shared" si="31"/>
        <v>-2.8339231336924818E-4</v>
      </c>
      <c r="BJ6" s="62">
        <f t="shared" ref="BJ6:BK6" si="32">IF(BJ3="","",SUM(BJ4:BJ5))</f>
        <v>-2.8339231336924818E-4</v>
      </c>
      <c r="BK6" s="62">
        <f t="shared" si="32"/>
        <v>-2.8339231336924818E-4</v>
      </c>
      <c r="BL6" s="62">
        <f t="shared" ref="BL6:BM6" si="33">IF(BL3="","",SUM(BL4:BL5))</f>
        <v>-9.9410400936806899E-6</v>
      </c>
      <c r="BM6" s="62">
        <f t="shared" si="33"/>
        <v>-9.9410400936806899E-6</v>
      </c>
      <c r="BN6" s="62">
        <f t="shared" ref="BN6:BO6" si="34">IF(BN3="","",SUM(BN4:BN5))</f>
        <v>-9.9410400936806899E-6</v>
      </c>
      <c r="BO6" s="62">
        <f t="shared" si="34"/>
        <v>-9.9410400936806899E-6</v>
      </c>
      <c r="BP6" s="62">
        <f t="shared" ref="BP6:BQ6" si="35">IF(BP3="","",SUM(BP4:BP5))</f>
        <v>-9.9410400936806899E-6</v>
      </c>
      <c r="BQ6" s="62">
        <f t="shared" si="35"/>
        <v>-9.9410400936806899E-6</v>
      </c>
      <c r="BR6" s="62">
        <f t="shared" ref="BR6:BS6" si="36">IF(BR3="","",SUM(BR4:BR5))</f>
        <v>-9.9410400936806899E-6</v>
      </c>
      <c r="BS6" s="62">
        <f t="shared" si="36"/>
        <v>-9.9410400936806899E-6</v>
      </c>
      <c r="BT6" s="62">
        <f t="shared" ref="BT6:BU6" si="37">IF(BT3="","",SUM(BT4:BT5))</f>
        <v>-9.9410400936806899E-6</v>
      </c>
      <c r="BU6" s="62">
        <f t="shared" si="37"/>
        <v>-9.9410400936806899E-6</v>
      </c>
      <c r="BV6" s="62">
        <f t="shared" ref="BV6:BW6" si="38">IF(BV3="","",SUM(BV4:BV5))</f>
        <v>-9.9410400936806899E-6</v>
      </c>
      <c r="BW6" s="62">
        <f t="shared" si="38"/>
        <v>-9.9410400936806899E-6</v>
      </c>
      <c r="BX6" s="62">
        <f t="shared" ref="BX6:BY6" si="39">IF(BX3="","",SUM(BX4:BX5))</f>
        <v>1.7458435408319681E-5</v>
      </c>
      <c r="BY6" s="62">
        <f t="shared" si="39"/>
        <v>1.7458435408319681E-5</v>
      </c>
      <c r="BZ6" s="62">
        <f t="shared" ref="BZ6:CA6" si="40">IF(BZ3="","",SUM(BZ4:BZ5))</f>
        <v>1.7458435408319681E-5</v>
      </c>
      <c r="CA6" s="62">
        <f t="shared" si="40"/>
        <v>1.7458435408319681E-5</v>
      </c>
      <c r="CB6" s="62">
        <f t="shared" ref="CB6:CC6" si="41">IF(CB3="","",SUM(CB4:CB5))</f>
        <v>1.7458435408319681E-5</v>
      </c>
      <c r="CC6" s="62">
        <f t="shared" si="41"/>
        <v>1.7458435408319681E-5</v>
      </c>
      <c r="CD6" s="62">
        <f t="shared" ref="CD6:CE6" si="42">IF(CD3="","",SUM(CD4:CD5))</f>
        <v>1.7458435408319681E-5</v>
      </c>
      <c r="CE6" s="62">
        <f t="shared" si="42"/>
        <v>1.7458435408319681E-5</v>
      </c>
      <c r="CF6" s="62">
        <f t="shared" ref="CF6:CG6" si="43">IF(CF3="","",SUM(CF4:CF5))</f>
        <v>1.7458435408319681E-5</v>
      </c>
      <c r="CG6" s="62">
        <f t="shared" si="43"/>
        <v>1.7458435408319681E-5</v>
      </c>
      <c r="CH6" s="62">
        <f t="shared" ref="CH6:CI6" si="44">IF(CH3="","",SUM(CH4:CH5))</f>
        <v>1.7458435408319681E-5</v>
      </c>
      <c r="CI6" s="62">
        <f t="shared" si="44"/>
        <v>1.7458435408319681E-5</v>
      </c>
    </row>
    <row r="7" spans="1:87" x14ac:dyDescent="0.25">
      <c r="A7" s="306"/>
      <c r="B7" s="73" t="s">
        <v>56</v>
      </c>
      <c r="C7" s="66">
        <f>+C5/C6</f>
        <v>0</v>
      </c>
      <c r="D7" s="66">
        <f>+IFERROR(D5/D6,"")</f>
        <v>0.51968503937007882</v>
      </c>
      <c r="E7" s="66">
        <f>+IFERROR(E5/E6,"")</f>
        <v>0.51968503937007882</v>
      </c>
      <c r="F7" s="66">
        <f>IF(F3="","",IFERROR(F5/F6,""))</f>
        <v>0.51968503937007882</v>
      </c>
      <c r="G7" s="66">
        <f t="shared" ref="G7:Z7" si="45">IF(G3="","",IFERROR(G5/G6,""))</f>
        <v>0.51968503937007882</v>
      </c>
      <c r="H7" s="66">
        <f t="shared" si="45"/>
        <v>0.51968503937007882</v>
      </c>
      <c r="I7" s="66">
        <f t="shared" si="45"/>
        <v>0.51968503937007882</v>
      </c>
      <c r="J7" s="66">
        <f t="shared" si="45"/>
        <v>0.51968503937007882</v>
      </c>
      <c r="K7" s="66">
        <f t="shared" si="45"/>
        <v>0.51968503937007882</v>
      </c>
      <c r="L7" s="66">
        <f t="shared" si="45"/>
        <v>0.51968503937007882</v>
      </c>
      <c r="M7" s="66">
        <f t="shared" si="45"/>
        <v>0.51968503937007882</v>
      </c>
      <c r="N7" s="66">
        <f t="shared" si="45"/>
        <v>0.51968503937007882</v>
      </c>
      <c r="O7" s="66">
        <f t="shared" si="45"/>
        <v>0.51968503937007882</v>
      </c>
      <c r="P7" s="66">
        <f t="shared" si="45"/>
        <v>-3.4298698219017661E-2</v>
      </c>
      <c r="Q7" s="66">
        <f t="shared" si="45"/>
        <v>-3.4298698219017661E-2</v>
      </c>
      <c r="R7" s="66">
        <f t="shared" si="45"/>
        <v>-3.4298698219017661E-2</v>
      </c>
      <c r="S7" s="66">
        <f t="shared" si="45"/>
        <v>-3.4298698219017661E-2</v>
      </c>
      <c r="T7" s="66">
        <f t="shared" si="45"/>
        <v>-3.4298698219017661E-2</v>
      </c>
      <c r="U7" s="66">
        <f t="shared" si="45"/>
        <v>-3.4298698219017661E-2</v>
      </c>
      <c r="V7" s="66">
        <f t="shared" si="45"/>
        <v>-3.4298698219017661E-2</v>
      </c>
      <c r="W7" s="66">
        <f t="shared" si="45"/>
        <v>-3.4298698219017661E-2</v>
      </c>
      <c r="X7" s="66">
        <f t="shared" si="45"/>
        <v>-3.4298698219017661E-2</v>
      </c>
      <c r="Y7" s="66">
        <f t="shared" si="45"/>
        <v>-3.4298698219017661E-2</v>
      </c>
      <c r="Z7" s="66">
        <f t="shared" si="45"/>
        <v>-3.4298698219017661E-2</v>
      </c>
      <c r="AA7" s="66">
        <f t="shared" ref="AA7:AC7" si="46">IF(AA3="","",IFERROR(AA5/AA6,""))</f>
        <v>-3.4298698219017661E-2</v>
      </c>
      <c r="AB7" s="66">
        <f t="shared" si="46"/>
        <v>-0.14401327829821423</v>
      </c>
      <c r="AC7" s="66">
        <f t="shared" si="46"/>
        <v>-0.14401327829821423</v>
      </c>
      <c r="AD7" s="66">
        <f t="shared" ref="AD7:AM7" si="47">IF(AD3="","",IFERROR(AD5/AD6,""))</f>
        <v>-0.14401327829821423</v>
      </c>
      <c r="AE7" s="66">
        <f t="shared" si="47"/>
        <v>-0.14401327829821423</v>
      </c>
      <c r="AF7" s="66">
        <f t="shared" si="47"/>
        <v>-0.14401327829821423</v>
      </c>
      <c r="AG7" s="66">
        <f t="shared" si="47"/>
        <v>-0.14401327829821423</v>
      </c>
      <c r="AH7" s="66">
        <f t="shared" si="47"/>
        <v>-0.14401327829821423</v>
      </c>
      <c r="AI7" s="66">
        <f t="shared" si="47"/>
        <v>-0.14401327829821423</v>
      </c>
      <c r="AJ7" s="66">
        <f t="shared" si="47"/>
        <v>-0.14401327829821423</v>
      </c>
      <c r="AK7" s="66">
        <f t="shared" si="47"/>
        <v>-0.14401327829821423</v>
      </c>
      <c r="AL7" s="66">
        <f t="shared" si="47"/>
        <v>-0.14401327829821423</v>
      </c>
      <c r="AM7" s="66">
        <f t="shared" si="47"/>
        <v>-0.14401327829821423</v>
      </c>
      <c r="AN7" s="66">
        <f t="shared" ref="AN7:AO7" si="48">IF(AN3="","",IFERROR(AN5/AN6,""))</f>
        <v>-0.71031829493012566</v>
      </c>
      <c r="AO7" s="66">
        <f t="shared" si="48"/>
        <v>-0.71031829493012566</v>
      </c>
      <c r="AP7" s="66">
        <f t="shared" ref="AP7:AQ7" si="49">IF(AP3="","",IFERROR(AP5/AP6,""))</f>
        <v>-0.71031829493012566</v>
      </c>
      <c r="AQ7" s="66">
        <f t="shared" si="49"/>
        <v>-0.71031829493012566</v>
      </c>
      <c r="AR7" s="66">
        <f t="shared" ref="AR7:AS7" si="50">IF(AR3="","",IFERROR(AR5/AR6,""))</f>
        <v>-0.71031829493012566</v>
      </c>
      <c r="AS7" s="66">
        <f t="shared" si="50"/>
        <v>-0.71031829493012566</v>
      </c>
      <c r="AT7" s="66">
        <f t="shared" ref="AT7:AU7" si="51">IF(AT3="","",IFERROR(AT5/AT6,""))</f>
        <v>-0.71031829493012566</v>
      </c>
      <c r="AU7" s="66">
        <f t="shared" si="51"/>
        <v>-0.71031829493012566</v>
      </c>
      <c r="AV7" s="66">
        <f t="shared" ref="AV7:AW7" si="52">IF(AV3="","",IFERROR(AV5/AV6,""))</f>
        <v>-0.71031829493012566</v>
      </c>
      <c r="AW7" s="66">
        <f t="shared" si="52"/>
        <v>-0.71031829493012566</v>
      </c>
      <c r="AX7" s="66">
        <f t="shared" ref="AX7:AY7" si="53">IF(AX3="","",IFERROR(AX5/AX6,""))</f>
        <v>-0.71031829493012566</v>
      </c>
      <c r="AY7" s="66">
        <f t="shared" si="53"/>
        <v>-0.71031829493012566</v>
      </c>
      <c r="AZ7" s="66">
        <f t="shared" ref="AZ7:BA7" si="54">IF(AZ3="","",IFERROR(AZ5/AZ6,""))</f>
        <v>1</v>
      </c>
      <c r="BA7" s="66">
        <f t="shared" si="54"/>
        <v>1</v>
      </c>
      <c r="BB7" s="66">
        <f t="shared" ref="BB7:BC7" si="55">IF(BB3="","",IFERROR(BB5/BB6,""))</f>
        <v>1</v>
      </c>
      <c r="BC7" s="66">
        <f t="shared" si="55"/>
        <v>1</v>
      </c>
      <c r="BD7" s="66">
        <f t="shared" ref="BD7:BE7" si="56">IF(BD3="","",IFERROR(BD5/BD6,""))</f>
        <v>1</v>
      </c>
      <c r="BE7" s="66">
        <f t="shared" si="56"/>
        <v>1</v>
      </c>
      <c r="BF7" s="66">
        <f t="shared" ref="BF7:BG7" si="57">IF(BF3="","",IFERROR(BF5/BF6,""))</f>
        <v>1</v>
      </c>
      <c r="BG7" s="66">
        <f t="shared" si="57"/>
        <v>1</v>
      </c>
      <c r="BH7" s="66">
        <f t="shared" ref="BH7:BI7" si="58">IF(BH3="","",IFERROR(BH5/BH6,""))</f>
        <v>1</v>
      </c>
      <c r="BI7" s="66">
        <f t="shared" si="58"/>
        <v>1</v>
      </c>
      <c r="BJ7" s="66">
        <f t="shared" ref="BJ7:BK7" si="59">IF(BJ3="","",IFERROR(BJ5/BJ6,""))</f>
        <v>1</v>
      </c>
      <c r="BK7" s="66">
        <f t="shared" si="59"/>
        <v>1</v>
      </c>
      <c r="BL7" s="66">
        <f t="shared" ref="BL7:BM7" si="60">IF(BL3="","",IFERROR(BL5/BL6,""))</f>
        <v>1</v>
      </c>
      <c r="BM7" s="66">
        <f t="shared" si="60"/>
        <v>1</v>
      </c>
      <c r="BN7" s="66">
        <f t="shared" ref="BN7:BO7" si="61">IF(BN3="","",IFERROR(BN5/BN6,""))</f>
        <v>1</v>
      </c>
      <c r="BO7" s="66">
        <f t="shared" si="61"/>
        <v>1</v>
      </c>
      <c r="BP7" s="66">
        <f t="shared" ref="BP7:BQ7" si="62">IF(BP3="","",IFERROR(BP5/BP6,""))</f>
        <v>1</v>
      </c>
      <c r="BQ7" s="66">
        <f t="shared" si="62"/>
        <v>1</v>
      </c>
      <c r="BR7" s="66">
        <f t="shared" ref="BR7:BS7" si="63">IF(BR3="","",IFERROR(BR5/BR6,""))</f>
        <v>1</v>
      </c>
      <c r="BS7" s="66">
        <f t="shared" si="63"/>
        <v>1</v>
      </c>
      <c r="BT7" s="66">
        <f t="shared" ref="BT7:BU7" si="64">IF(BT3="","",IFERROR(BT5/BT6,""))</f>
        <v>1</v>
      </c>
      <c r="BU7" s="66">
        <f t="shared" si="64"/>
        <v>1</v>
      </c>
      <c r="BV7" s="66">
        <f t="shared" ref="BV7:BW7" si="65">IF(BV3="","",IFERROR(BV5/BV6,""))</f>
        <v>1</v>
      </c>
      <c r="BW7" s="66">
        <f t="shared" si="65"/>
        <v>1</v>
      </c>
      <c r="BX7" s="66">
        <f t="shared" ref="BX7:BY7" si="66">IF(BX3="","",IFERROR(BX5/BX6,""))</f>
        <v>1</v>
      </c>
      <c r="BY7" s="66">
        <f t="shared" si="66"/>
        <v>1</v>
      </c>
      <c r="BZ7" s="66">
        <f t="shared" ref="BZ7:CA7" si="67">IF(BZ3="","",IFERROR(BZ5/BZ6,""))</f>
        <v>1</v>
      </c>
      <c r="CA7" s="66">
        <f t="shared" si="67"/>
        <v>1</v>
      </c>
      <c r="CB7" s="66">
        <f t="shared" ref="CB7:CC7" si="68">IF(CB3="","",IFERROR(CB5/CB6,""))</f>
        <v>1</v>
      </c>
      <c r="CC7" s="66">
        <f t="shared" si="68"/>
        <v>1</v>
      </c>
      <c r="CD7" s="66">
        <f t="shared" ref="CD7:CE7" si="69">IF(CD3="","",IFERROR(CD5/CD6,""))</f>
        <v>1</v>
      </c>
      <c r="CE7" s="66">
        <f t="shared" si="69"/>
        <v>1</v>
      </c>
      <c r="CF7" s="66">
        <f t="shared" ref="CF7:CG7" si="70">IF(CF3="","",IFERROR(CF5/CF6,""))</f>
        <v>1</v>
      </c>
      <c r="CG7" s="66">
        <f t="shared" si="70"/>
        <v>1</v>
      </c>
      <c r="CH7" s="66">
        <f t="shared" ref="CH7:CI7" si="71">IF(CH3="","",IFERROR(CH5/CH6,""))</f>
        <v>1</v>
      </c>
      <c r="CI7" s="66">
        <f t="shared" si="71"/>
        <v>1</v>
      </c>
    </row>
    <row r="8" spans="1:87" s="48" customFormat="1" x14ac:dyDescent="0.25">
      <c r="A8" s="306"/>
      <c r="B8" s="74" t="s">
        <v>57</v>
      </c>
      <c r="C8" s="64">
        <f>+C7*C3</f>
        <v>0</v>
      </c>
      <c r="D8" s="64">
        <f>+ROUND(D7*D3,2)</f>
        <v>711911.22</v>
      </c>
      <c r="E8" s="64">
        <f>+ROUND(E7*E3,2)</f>
        <v>573227.69999999995</v>
      </c>
      <c r="F8" s="64">
        <f>IF(F3="","",ROUND(F7*F3,2))</f>
        <v>501096.29</v>
      </c>
      <c r="G8" s="64">
        <f t="shared" ref="G8:Z8" si="72">IF(G3="","",ROUND(G7*G3,2))</f>
        <v>477583.74</v>
      </c>
      <c r="H8" s="64">
        <f t="shared" si="72"/>
        <v>641985.30000000005</v>
      </c>
      <c r="I8" s="64">
        <f t="shared" si="72"/>
        <v>854211.51</v>
      </c>
      <c r="J8" s="64">
        <f t="shared" si="72"/>
        <v>864751.39</v>
      </c>
      <c r="K8" s="64">
        <f t="shared" si="72"/>
        <v>683761.31</v>
      </c>
      <c r="L8" s="64">
        <f t="shared" si="72"/>
        <v>600310.41</v>
      </c>
      <c r="M8" s="64">
        <f t="shared" si="72"/>
        <v>524179.13</v>
      </c>
      <c r="N8" s="64">
        <f t="shared" si="72"/>
        <v>675963.66</v>
      </c>
      <c r="O8" s="64">
        <f t="shared" si="72"/>
        <v>1036876.86</v>
      </c>
      <c r="P8" s="64">
        <f t="shared" si="72"/>
        <v>-46701.32</v>
      </c>
      <c r="Q8" s="64">
        <f t="shared" si="72"/>
        <v>-37642.160000000003</v>
      </c>
      <c r="R8" s="64">
        <f t="shared" si="72"/>
        <v>-36342.15</v>
      </c>
      <c r="S8" s="64">
        <f t="shared" si="72"/>
        <v>-29599.11</v>
      </c>
      <c r="T8" s="64">
        <f t="shared" si="72"/>
        <v>-43963.199999999997</v>
      </c>
      <c r="U8" s="64">
        <f t="shared" si="72"/>
        <v>-51549.48</v>
      </c>
      <c r="V8" s="64">
        <f t="shared" si="72"/>
        <v>-46197.58</v>
      </c>
      <c r="W8" s="64">
        <f t="shared" si="72"/>
        <v>-44433.38</v>
      </c>
      <c r="X8" s="64">
        <f t="shared" si="72"/>
        <v>-34383.949999999997</v>
      </c>
      <c r="Y8" s="64">
        <f t="shared" si="72"/>
        <v>-31905.63</v>
      </c>
      <c r="Z8" s="64">
        <f t="shared" si="72"/>
        <v>-44394.77</v>
      </c>
      <c r="AA8" s="64">
        <f t="shared" ref="AA8:AC8" si="73">IF(AA3="","",ROUND(AA7*AA3,2))</f>
        <v>-49232.21</v>
      </c>
      <c r="AB8" s="64">
        <f t="shared" si="73"/>
        <v>-216071.84</v>
      </c>
      <c r="AC8" s="64">
        <f t="shared" si="73"/>
        <v>-194591.59</v>
      </c>
      <c r="AD8" s="64">
        <f t="shared" ref="AD8:AM8" si="74">IF(AD3="","",ROUND(AD7*AD3,2))</f>
        <v>-134071.35999999999</v>
      </c>
      <c r="AE8" s="64">
        <f t="shared" si="74"/>
        <v>-113984.64</v>
      </c>
      <c r="AF8" s="64">
        <f t="shared" si="74"/>
        <v>-151800.88</v>
      </c>
      <c r="AG8" s="64">
        <f t="shared" si="74"/>
        <v>-193122.18</v>
      </c>
      <c r="AH8" s="64">
        <f t="shared" si="74"/>
        <v>-203284.46</v>
      </c>
      <c r="AI8" s="64">
        <f t="shared" si="74"/>
        <v>-187531.79</v>
      </c>
      <c r="AJ8" s="64">
        <f t="shared" si="74"/>
        <v>-154102.16</v>
      </c>
      <c r="AK8" s="64">
        <f t="shared" si="74"/>
        <v>-138255.22</v>
      </c>
      <c r="AL8" s="64">
        <f t="shared" si="74"/>
        <v>-186023.43</v>
      </c>
      <c r="AM8" s="64">
        <f t="shared" si="74"/>
        <v>-205426.33</v>
      </c>
      <c r="AN8" s="64">
        <f t="shared" ref="AN8:AO8" si="75">IF(AN3="","",ROUND(AN7*AN3,2))</f>
        <v>-594409.85</v>
      </c>
      <c r="AO8" s="64">
        <f t="shared" si="75"/>
        <v>-87726.16</v>
      </c>
      <c r="AP8" s="64">
        <f t="shared" ref="AP8:AU8" si="76">IF(AP3="","",ROUND(AP7*AP3,2))</f>
        <v>-65829.27</v>
      </c>
      <c r="AQ8" s="64">
        <f t="shared" si="76"/>
        <v>-58757.52</v>
      </c>
      <c r="AR8" s="64">
        <f t="shared" si="76"/>
        <v>-77792.009999999995</v>
      </c>
      <c r="AS8" s="64">
        <f t="shared" si="76"/>
        <v>-104447.8</v>
      </c>
      <c r="AT8" s="64">
        <f t="shared" si="76"/>
        <v>-97903.88</v>
      </c>
      <c r="AU8" s="64">
        <f t="shared" si="76"/>
        <v>-88306.68</v>
      </c>
      <c r="AV8" s="64">
        <f t="shared" ref="AV8:AW8" si="77">IF(AV3="","",ROUND(AV7*AV3,2))</f>
        <v>-59672.800000000003</v>
      </c>
      <c r="AW8" s="64">
        <f t="shared" si="77"/>
        <v>-63668.09</v>
      </c>
      <c r="AX8" s="64">
        <f t="shared" ref="AX8:AY8" si="78">IF(AX3="","",ROUND(AX7*AX3,2))</f>
        <v>-84398.080000000002</v>
      </c>
      <c r="AY8" s="64">
        <f t="shared" si="78"/>
        <v>-109860.73</v>
      </c>
      <c r="AZ8" s="64">
        <f t="shared" ref="AZ8:BA8" si="79">IF(AZ3="","",ROUND(AZ7*AZ3,2))</f>
        <v>-113458.01</v>
      </c>
      <c r="BA8" s="64">
        <f t="shared" si="79"/>
        <v>-325175.89</v>
      </c>
      <c r="BB8" s="64">
        <f t="shared" ref="BB8:BC8" si="80">IF(BB3="","",ROUND(BB7*BB3,2))</f>
        <v>-219552.89</v>
      </c>
      <c r="BC8" s="64">
        <f t="shared" si="80"/>
        <v>-206267.22</v>
      </c>
      <c r="BD8" s="64">
        <f t="shared" ref="BD8:BE8" si="81">IF(BD3="","",ROUND(BD7*BD3,2))</f>
        <v>-270595.87</v>
      </c>
      <c r="BE8" s="64">
        <f t="shared" si="81"/>
        <v>-357386.66</v>
      </c>
      <c r="BF8" s="64">
        <f t="shared" ref="BF8:BG8" si="82">IF(BF3="","",ROUND(BF7*BF3,2))</f>
        <v>-364675.44</v>
      </c>
      <c r="BG8" s="64">
        <f t="shared" si="82"/>
        <v>-358208.47</v>
      </c>
      <c r="BH8" s="64">
        <f t="shared" ref="BH8:BI8" si="83">IF(BH3="","",ROUND(BH7*BH3,2))</f>
        <v>-248050.58</v>
      </c>
      <c r="BI8" s="64">
        <f t="shared" si="83"/>
        <v>-232427.07</v>
      </c>
      <c r="BJ8" s="64">
        <f t="shared" ref="BJ8:BK8" si="84">IF(BJ3="","",ROUND(BJ7*BJ3,2))</f>
        <v>-290836.61</v>
      </c>
      <c r="BK8" s="64">
        <f t="shared" si="84"/>
        <v>-375935.37</v>
      </c>
      <c r="BL8" s="64">
        <f t="shared" ref="BL8:BM8" si="85">IF(BL3="","",ROUND(BL7*BL3,2))</f>
        <v>-242680.23</v>
      </c>
      <c r="BM8" s="64">
        <f t="shared" si="85"/>
        <v>-13830.45</v>
      </c>
      <c r="BN8" s="64">
        <f t="shared" ref="BN8:BO8" si="86">IF(BN3="","",ROUND(BN7*BN3,2))</f>
        <v>-7909.14</v>
      </c>
      <c r="BO8" s="64">
        <f t="shared" si="86"/>
        <v>-7927.25</v>
      </c>
      <c r="BP8" s="64">
        <f t="shared" ref="BP8:BQ8" si="87">IF(BP3="","",ROUND(BP7*BP3,2))</f>
        <v>-10364.700000000001</v>
      </c>
      <c r="BQ8" s="64">
        <f t="shared" si="87"/>
        <v>-14271.87</v>
      </c>
      <c r="BR8" s="64">
        <f t="shared" ref="BR8:BS8" si="88">IF(BR3="","",ROUND(BR7*BR3,2))</f>
        <v>-13453.18</v>
      </c>
      <c r="BS8" s="64">
        <f t="shared" si="88"/>
        <v>-11260.05</v>
      </c>
      <c r="BT8" s="64">
        <f t="shared" ref="BT8:BU8" si="89">IF(BT3="","",ROUND(BT7*BT3,2))</f>
        <v>-8003.94</v>
      </c>
      <c r="BU8" s="64">
        <f t="shared" si="89"/>
        <v>-7297.68</v>
      </c>
      <c r="BV8" s="64">
        <f t="shared" ref="BV8:BW8" si="90">IF(BV3="","",ROUND(BV7*BV3,2))</f>
        <v>-11546.44</v>
      </c>
      <c r="BW8" s="64">
        <f t="shared" si="90"/>
        <v>-13951.26</v>
      </c>
      <c r="BX8" s="64">
        <f t="shared" ref="BX8:BY8" si="91">IF(BX3="","",ROUND(BX7*BX3,2))</f>
        <v>1126.4100000000001</v>
      </c>
      <c r="BY8" s="64">
        <f t="shared" si="91"/>
        <v>16692.439999999999</v>
      </c>
      <c r="BZ8" s="64">
        <f t="shared" ref="BZ8:CA8" si="92">IF(BZ3="","",ROUND(BZ7*BZ3,2))</f>
        <v>14494.89</v>
      </c>
      <c r="CA8" s="64">
        <f t="shared" si="92"/>
        <v>12335.8</v>
      </c>
      <c r="CB8" s="64">
        <f t="shared" ref="CB8:CC8" si="93">IF(CB3="","",ROUND(CB7*CB3,2))</f>
        <v>15962.84</v>
      </c>
      <c r="CC8" s="64">
        <f t="shared" si="93"/>
        <v>20902.03</v>
      </c>
      <c r="CD8" s="64">
        <f t="shared" ref="CD8:CE8" si="94">IF(CD3="","",ROUND(CD7*CD3,2))</f>
        <v>21552.2</v>
      </c>
      <c r="CE8" s="64">
        <f t="shared" si="94"/>
        <v>19936.310000000001</v>
      </c>
      <c r="CF8" s="64">
        <f t="shared" ref="CF8:CG8" si="95">IF(CF3="","",ROUND(CF7*CF3,2))</f>
        <v>14454.45</v>
      </c>
      <c r="CG8" s="64">
        <f t="shared" si="95"/>
        <v>12652.24</v>
      </c>
      <c r="CH8" s="64">
        <f t="shared" ref="CH8:CI8" si="96">IF(CH3="","",ROUND(CH7*CH3,2))</f>
        <v>17636.48</v>
      </c>
      <c r="CI8" s="64">
        <f t="shared" si="96"/>
        <v>23087.03</v>
      </c>
    </row>
    <row r="9" spans="1:87" s="48" customFormat="1" ht="8.25" customHeight="1" x14ac:dyDescent="0.25">
      <c r="A9" s="77"/>
      <c r="B9" s="7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row>
    <row r="10" spans="1:87" x14ac:dyDescent="0.25">
      <c r="A10" s="306" t="s">
        <v>34</v>
      </c>
      <c r="B10" s="73" t="s">
        <v>53</v>
      </c>
      <c r="C10" s="63">
        <f>+'MEEIA 2 calcs'!O38</f>
        <v>27338.89</v>
      </c>
      <c r="D10" s="63">
        <f>+'MEEIA 2 calcs'!P38</f>
        <v>144726.28</v>
      </c>
      <c r="E10" s="63">
        <f>+'MEEIA 2 calcs'!Q38</f>
        <v>128485.97</v>
      </c>
      <c r="F10" s="63">
        <f>+'M2 Allocations - TD'!Q51</f>
        <v>121597.62</v>
      </c>
      <c r="G10" s="63">
        <f>IF(+'M2 Allocations - TD'!R51="","",'M2 Allocations - TD'!R51)</f>
        <v>120360.92</v>
      </c>
      <c r="H10" s="63">
        <f>IF(+'M2 Allocations - TD'!S51="","",'M2 Allocations - TD'!S51)</f>
        <v>143026.74</v>
      </c>
      <c r="I10" s="63">
        <f>IF(+'M2 Allocations - TD'!T51="","",'M2 Allocations - TD'!T51)</f>
        <v>165801.25</v>
      </c>
      <c r="J10" s="63">
        <f>IF(+'M2 Allocations - TD'!U51="","",'M2 Allocations - TD'!U51)</f>
        <v>167384.09</v>
      </c>
      <c r="K10" s="63">
        <f>IF(+'M2 Allocations - TD'!V51="","",'M2 Allocations - TD'!V51)</f>
        <v>149701.24</v>
      </c>
      <c r="L10" s="63">
        <f>IF(+'M2 Allocations - TD'!W51="","",'M2 Allocations - TD'!W51)</f>
        <v>141748.14000000001</v>
      </c>
      <c r="M10" s="63">
        <f>IF(+'M2 Allocations - TD'!X51="","",'M2 Allocations - TD'!X51)</f>
        <v>126699.78</v>
      </c>
      <c r="N10" s="63">
        <f>IF(+'M2 Allocations - TD'!Y51="","",'M2 Allocations - TD'!Y51)</f>
        <v>139926.94</v>
      </c>
      <c r="O10" s="63">
        <f>IF(+'M2 Allocations - TD'!Z51="","",'M2 Allocations - TD'!Z51)</f>
        <v>202221.15</v>
      </c>
      <c r="P10" s="63">
        <f>IF(+'M2 Allocations - TD'!AA51="","",'M2 Allocations - TD'!AA51)</f>
        <v>343067.75</v>
      </c>
      <c r="Q10" s="63">
        <f>IF(+'M2 Allocations - TD'!AB51="","",'M2 Allocations - TD'!AB51)</f>
        <v>300632.48</v>
      </c>
      <c r="R10" s="63">
        <f>IF(+'M2 Allocations - TD'!AC51="","",'M2 Allocations - TD'!AC51)</f>
        <v>296300.02</v>
      </c>
      <c r="S10" s="63">
        <f>IF(+'M2 Allocations - TD'!AD51="","",'M2 Allocations - TD'!AD51)</f>
        <v>268199.42</v>
      </c>
      <c r="T10" s="63">
        <f>IF(+'M2 Allocations - TD'!AE51="","",'M2 Allocations - TD'!AE51)</f>
        <v>337634.86</v>
      </c>
      <c r="U10" s="63">
        <f>IF(+'M2 Allocations - TD'!AF51="","",'M2 Allocations - TD'!AF51)</f>
        <v>372521.79</v>
      </c>
      <c r="V10" s="63">
        <f>IF(+'M2 Allocations - TD'!AG51="","",'M2 Allocations - TD'!AG51)</f>
        <v>348089.17</v>
      </c>
      <c r="W10" s="63">
        <f>IF(+'M2 Allocations - TD'!AH51="","",'M2 Allocations - TD'!AH51)</f>
        <v>342034.51</v>
      </c>
      <c r="X10" s="63">
        <f>IF(+'M2 Allocations - TD'!AI51="","",'M2 Allocations - TD'!AI51)</f>
        <v>301373.81</v>
      </c>
      <c r="Y10" s="63">
        <f>IF(+'M2 Allocations - TD'!AJ51="","",'M2 Allocations - TD'!AJ51)</f>
        <v>271517.73</v>
      </c>
      <c r="Z10" s="63">
        <f>IF(+'M2 Allocations - TD'!AK51="","",'M2 Allocations - TD'!AK51)</f>
        <v>328156.33</v>
      </c>
      <c r="AA10" s="63">
        <f>IF(+'M2 Allocations - TD'!AL51="","",'M2 Allocations - TD'!AL51)</f>
        <v>377703.97</v>
      </c>
      <c r="AB10" s="63">
        <f>IF(+'M2 Allocations - TD'!AM51="","",'M2 Allocations - TD'!AM51)</f>
        <v>708077.88</v>
      </c>
      <c r="AC10" s="63">
        <f>IF(+'M2 Allocations - TD'!AN51="","",'M2 Allocations - TD'!AN51)</f>
        <v>666764.85</v>
      </c>
      <c r="AD10" s="63">
        <f>IF(+'M2 Allocations - TD'!AO51="","",'M2 Allocations - TD'!AO51)</f>
        <v>540522.54</v>
      </c>
      <c r="AE10" s="63">
        <f>IF(+'M2 Allocations - TD'!AP51="","",'M2 Allocations - TD'!AP51)</f>
        <v>509584.1</v>
      </c>
      <c r="AF10" s="63">
        <f>IF(+'M2 Allocations - TD'!AQ51="","",'M2 Allocations - TD'!AQ51)</f>
        <v>594934.36</v>
      </c>
      <c r="AG10" s="63">
        <f>IF(+'M2 Allocations - TD'!AR51="","",'M2 Allocations - TD'!AR51)</f>
        <v>680484</v>
      </c>
      <c r="AH10" s="63">
        <f>IF(+'M2 Allocations - TD'!AS51="","",'M2 Allocations - TD'!AS51)</f>
        <v>699354.09</v>
      </c>
      <c r="AI10" s="63">
        <f>IF(+'M2 Allocations - TD'!AT51="","",'M2 Allocations - TD'!AT51)</f>
        <v>675136.56</v>
      </c>
      <c r="AJ10" s="63">
        <f>IF(+'M2 Allocations - TD'!AU51="","",'M2 Allocations - TD'!AU51)</f>
        <v>608437.81999999995</v>
      </c>
      <c r="AK10" s="63">
        <f>IF(+'M2 Allocations - TD'!AV51="","",'M2 Allocations - TD'!AV51)</f>
        <v>545178.31000000006</v>
      </c>
      <c r="AL10" s="63">
        <f>IF(+'M2 Allocations - TD'!AW51="","",'M2 Allocations - TD'!AW51)</f>
        <v>640578.34</v>
      </c>
      <c r="AM10" s="63">
        <f>IF(+'M2 Allocations - TD'!AX51="","",'M2 Allocations - TD'!AX51)</f>
        <v>683111.72</v>
      </c>
      <c r="AN10" s="63">
        <f>IF(+'M2 Allocations - TD'!AY51="","",'M2 Allocations - TD'!AY51)</f>
        <v>419075.87</v>
      </c>
      <c r="AO10" s="63">
        <f>IF(+'M2 Allocations - TD'!AZ51="","",'M2 Allocations - TD'!AZ51)</f>
        <v>88037.89</v>
      </c>
      <c r="AP10" s="63">
        <f>IF(+'M2 Allocations - TD'!BA51="","",'M2 Allocations - TD'!BA51)</f>
        <v>65160.17</v>
      </c>
      <c r="AQ10" s="63">
        <f>IF(+'M2 Allocations - TD'!BB51="","",'M2 Allocations - TD'!BB51)</f>
        <v>59309.86</v>
      </c>
      <c r="AR10" s="63">
        <f>IF(+'M2 Allocations - TD'!BC51="","",'M2 Allocations - TD'!BC51)</f>
        <v>74165.440000000002</v>
      </c>
      <c r="AS10" s="63">
        <f>IF(+'M2 Allocations - TD'!BD51="","",'M2 Allocations - TD'!BD51)</f>
        <v>92442.4</v>
      </c>
      <c r="AT10" s="63">
        <f>IF(+'M2 Allocations - TD'!BE51="","",'M2 Allocations - TD'!BE51)</f>
        <v>90973.54</v>
      </c>
      <c r="AU10" s="63">
        <f>IF(+'M2 Allocations - TD'!BF51="","",'M2 Allocations - TD'!BF51)</f>
        <v>86398.8</v>
      </c>
      <c r="AV10" s="63">
        <f>IF(+'M2 Allocations - TD'!BG51="","",'M2 Allocations - TD'!BG51)</f>
        <v>70150.48</v>
      </c>
      <c r="AW10" s="63">
        <f>IF(+'M2 Allocations - TD'!BH51="","",'M2 Allocations - TD'!BH51)</f>
        <v>70037.789999999994</v>
      </c>
      <c r="AX10" s="63">
        <f>IF(+'M2 Allocations - TD'!BI51="","",'M2 Allocations - TD'!BI51)</f>
        <v>80808.38</v>
      </c>
      <c r="AY10" s="63">
        <f>IF(+'M2 Allocations - TD'!BJ51="","",'M2 Allocations - TD'!BJ51)</f>
        <v>96369.71</v>
      </c>
      <c r="AZ10" s="63">
        <f>IF(+'M2 Allocations - TD'!BK51="","",'M2 Allocations - TD'!BK51)</f>
        <v>-2328.37</v>
      </c>
      <c r="BA10" s="63">
        <f>IF(+'M2 Allocations - TD'!BL51="","",'M2 Allocations - TD'!BL51)</f>
        <v>-103760.54</v>
      </c>
      <c r="BB10" s="63">
        <f>IF(+'M2 Allocations - TD'!BM51="","",'M2 Allocations - TD'!BM51)</f>
        <v>-82575.289999999994</v>
      </c>
      <c r="BC10" s="63">
        <f>IF(+'M2 Allocations - TD'!BN51="","",'M2 Allocations - TD'!BN51)</f>
        <v>-81377.440000000002</v>
      </c>
      <c r="BD10" s="63">
        <f>IF(+'M2 Allocations - TD'!BO51="","",'M2 Allocations - TD'!BO51)</f>
        <v>-96431.96</v>
      </c>
      <c r="BE10" s="63">
        <f>IF(+'M2 Allocations - TD'!BP51="","",'M2 Allocations - TD'!BP51)</f>
        <v>-113596.04</v>
      </c>
      <c r="BF10" s="63">
        <f>IF(+'M2 Allocations - TD'!BQ51="","",'M2 Allocations - TD'!BQ51)</f>
        <v>-114121.57</v>
      </c>
      <c r="BG10" s="63">
        <f>IF(+'M2 Allocations - TD'!BR51="","",'M2 Allocations - TD'!BR51)</f>
        <v>-115328.91</v>
      </c>
      <c r="BH10" s="63">
        <f>IF(+'M2 Allocations - TD'!BS51="","",'M2 Allocations - TD'!BS51)</f>
        <v>-96228.19</v>
      </c>
      <c r="BI10" s="63">
        <f>IF(+'M2 Allocations - TD'!BT51="","",'M2 Allocations - TD'!BT51)</f>
        <v>-85982.2</v>
      </c>
      <c r="BJ10" s="63">
        <f>IF(+'M2 Allocations - TD'!BU51="","",'M2 Allocations - TD'!BU51)</f>
        <v>-98041.83</v>
      </c>
      <c r="BK10" s="63">
        <f>IF(+'M2 Allocations - TD'!BV51="","",'M2 Allocations - TD'!BV51)</f>
        <v>-115723.74</v>
      </c>
      <c r="BL10" s="63">
        <f>IF(+'M2 Allocations - TD'!BW51="","",'M2 Allocations - TD'!BW51)</f>
        <v>-71353.679999999993</v>
      </c>
      <c r="BM10" s="63">
        <f>IF(+'M2 Allocations - TD'!BX51="","",'M2 Allocations - TD'!BX51)</f>
        <v>-3857.43</v>
      </c>
      <c r="BN10" s="63">
        <f>IF(+'M2 Allocations - TD'!BY51="","",'M2 Allocations - TD'!BY51)</f>
        <v>-3467.37</v>
      </c>
      <c r="BO10" s="63">
        <f>IF(+'M2 Allocations - TD'!BZ51="","",'M2 Allocations - TD'!BZ51)</f>
        <v>-3190.61</v>
      </c>
      <c r="BP10" s="63">
        <f>IF(+'M2 Allocations - TD'!CA51="","",'M2 Allocations - TD'!CA51)</f>
        <v>-3616.74</v>
      </c>
      <c r="BQ10" s="63">
        <f>IF(+'M2 Allocations - TD'!CB51="","",'M2 Allocations - TD'!CB51)</f>
        <v>-4165.8599999999997</v>
      </c>
      <c r="BR10" s="63">
        <f>IF(+'M2 Allocations - TD'!CC51="","",'M2 Allocations - TD'!CC51)</f>
        <v>-4368.6099999999997</v>
      </c>
      <c r="BS10" s="63">
        <f>IF(+'M2 Allocations - TD'!CD51="","",'M2 Allocations - TD'!CD51)</f>
        <v>-3971.18</v>
      </c>
      <c r="BT10" s="63">
        <f>IF(+'M2 Allocations - TD'!CE51="","",'M2 Allocations - TD'!CE51)</f>
        <v>-3310.57</v>
      </c>
      <c r="BU10" s="63">
        <f>IF(+'M2 Allocations - TD'!CF51="","",'M2 Allocations - TD'!CF51)</f>
        <v>-3161.75</v>
      </c>
      <c r="BV10" s="63">
        <f>IF(+'M2 Allocations - TD'!CG51="","",'M2 Allocations - TD'!CG51)</f>
        <v>-3849.25</v>
      </c>
      <c r="BW10" s="63">
        <f>IF(+'M2 Allocations - TD'!CH51="","",'M2 Allocations - TD'!CH51)</f>
        <v>-4431.05</v>
      </c>
      <c r="BX10" s="63">
        <f>IF(+'M2 Allocations - TD'!CI51="","",'M2 Allocations - TD'!CI51)</f>
        <v>-58.87</v>
      </c>
      <c r="BY10" s="63">
        <f>IF(+'M2 Allocations - TD'!CJ51="","",'M2 Allocations - TD'!CJ51)</f>
        <v>4613.01</v>
      </c>
      <c r="BZ10" s="63">
        <f>IF(+'M2 Allocations - TD'!CK51="","",'M2 Allocations - TD'!CK51)</f>
        <v>4219.75</v>
      </c>
      <c r="CA10" s="63">
        <f>IF(+'M2 Allocations - TD'!CL51="","",'M2 Allocations - TD'!CL51)</f>
        <v>3905.78</v>
      </c>
      <c r="CB10" s="63">
        <f>IF(+'M2 Allocations - TD'!CM51="","",'M2 Allocations - TD'!CM51)</f>
        <v>4751.55</v>
      </c>
      <c r="CC10" s="63">
        <f>IF(+'M2 Allocations - TD'!CN51="","",'M2 Allocations - TD'!CN51)</f>
        <v>5463.54</v>
      </c>
      <c r="CD10" s="63">
        <f>IF(+'M2 Allocations - TD'!CO51="","",'M2 Allocations - TD'!CO51)</f>
        <v>5606.45</v>
      </c>
      <c r="CE10" s="63">
        <f>IF(+'M2 Allocations - TD'!CP51="","",'M2 Allocations - TD'!CP51)</f>
        <v>5658.03</v>
      </c>
      <c r="CF10" s="63">
        <f>IF(+'M2 Allocations - TD'!CQ51="","",'M2 Allocations - TD'!CQ51)</f>
        <v>4599.68</v>
      </c>
      <c r="CG10" s="63">
        <f>IF(+'M2 Allocations - TD'!CR51="","",'M2 Allocations - TD'!CR51)</f>
        <v>4218.8100000000004</v>
      </c>
      <c r="CH10" s="63">
        <f>IF(+'M2 Allocations - TD'!CS51="","",'M2 Allocations - TD'!CS51)</f>
        <v>4872.8999999999996</v>
      </c>
      <c r="CI10" s="63">
        <f>IF(+'M2 Allocations - TD'!CT51="","",'M2 Allocations - TD'!CT51)</f>
        <v>5883.72</v>
      </c>
    </row>
    <row r="11" spans="1:87" x14ac:dyDescent="0.25">
      <c r="A11" s="306"/>
      <c r="B11" s="73" t="s">
        <v>55</v>
      </c>
      <c r="C11" s="87">
        <v>4.5000000000000003E-5</v>
      </c>
      <c r="D11" s="87">
        <v>3.1700000000000001E-4</v>
      </c>
      <c r="E11" s="71">
        <f>+D11</f>
        <v>3.1700000000000001E-4</v>
      </c>
      <c r="F11" s="71">
        <f>IF(F10="","",E11)</f>
        <v>3.1700000000000001E-4</v>
      </c>
      <c r="G11" s="71">
        <f t="shared" ref="G11:Z11" si="97">IF(G10="","",F11)</f>
        <v>3.1700000000000001E-4</v>
      </c>
      <c r="H11" s="71">
        <f t="shared" si="97"/>
        <v>3.1700000000000001E-4</v>
      </c>
      <c r="I11" s="71">
        <f t="shared" si="97"/>
        <v>3.1700000000000001E-4</v>
      </c>
      <c r="J11" s="71">
        <f t="shared" si="97"/>
        <v>3.1700000000000001E-4</v>
      </c>
      <c r="K11" s="71">
        <f t="shared" si="97"/>
        <v>3.1700000000000001E-4</v>
      </c>
      <c r="L11" s="71">
        <f t="shared" si="97"/>
        <v>3.1700000000000001E-4</v>
      </c>
      <c r="M11" s="71">
        <f t="shared" si="97"/>
        <v>3.1700000000000001E-4</v>
      </c>
      <c r="N11" s="71">
        <f t="shared" si="97"/>
        <v>3.1700000000000001E-4</v>
      </c>
      <c r="O11" s="71">
        <f t="shared" si="97"/>
        <v>3.1700000000000001E-4</v>
      </c>
      <c r="P11" s="87">
        <v>1.0508215292806483E-3</v>
      </c>
      <c r="Q11" s="71">
        <f t="shared" si="97"/>
        <v>1.0508215292806483E-3</v>
      </c>
      <c r="R11" s="90">
        <f t="shared" si="97"/>
        <v>1.0508215292806483E-3</v>
      </c>
      <c r="S11" s="90">
        <f t="shared" si="97"/>
        <v>1.0508215292806483E-3</v>
      </c>
      <c r="T11" s="90">
        <f t="shared" si="97"/>
        <v>1.0508215292806483E-3</v>
      </c>
      <c r="U11" s="90">
        <f t="shared" si="97"/>
        <v>1.0508215292806483E-3</v>
      </c>
      <c r="V11" s="90">
        <f t="shared" si="97"/>
        <v>1.0508215292806483E-3</v>
      </c>
      <c r="W11" s="90">
        <f t="shared" si="97"/>
        <v>1.0508215292806483E-3</v>
      </c>
      <c r="X11" s="90">
        <f t="shared" si="97"/>
        <v>1.0508215292806483E-3</v>
      </c>
      <c r="Y11" s="90">
        <f t="shared" si="97"/>
        <v>1.0508215292806483E-3</v>
      </c>
      <c r="Z11" s="90">
        <f t="shared" si="97"/>
        <v>1.0508215292806483E-3</v>
      </c>
      <c r="AA11" s="90">
        <f t="shared" ref="AA11" si="98">IF(AA10="","",Z11)</f>
        <v>1.0508215292806483E-3</v>
      </c>
      <c r="AB11" s="87">
        <v>2.1669417868992557E-3</v>
      </c>
      <c r="AC11" s="71">
        <f t="shared" ref="AC11" si="99">IF(AC10="","",AB11)</f>
        <v>2.1669417868992557E-3</v>
      </c>
      <c r="AD11" s="71">
        <f t="shared" ref="AD11" si="100">IF(AD10="","",AC11)</f>
        <v>2.1669417868992557E-3</v>
      </c>
      <c r="AE11" s="71">
        <f t="shared" ref="AE11" si="101">IF(AE10="","",AD11)</f>
        <v>2.1669417868992557E-3</v>
      </c>
      <c r="AF11" s="71">
        <f t="shared" ref="AF11" si="102">IF(AF10="","",AE11)</f>
        <v>2.1669417868992557E-3</v>
      </c>
      <c r="AG11" s="71">
        <f t="shared" ref="AG11" si="103">IF(AG10="","",AF11)</f>
        <v>2.1669417868992557E-3</v>
      </c>
      <c r="AH11" s="71">
        <f t="shared" ref="AH11" si="104">IF(AH10="","",AG11)</f>
        <v>2.1669417868992557E-3</v>
      </c>
      <c r="AI11" s="71">
        <f t="shared" ref="AI11" si="105">IF(AI10="","",AH11)</f>
        <v>2.1669417868992557E-3</v>
      </c>
      <c r="AJ11" s="71">
        <f t="shared" ref="AJ11" si="106">IF(AJ10="","",AI11)</f>
        <v>2.1669417868992557E-3</v>
      </c>
      <c r="AK11" s="71">
        <f t="shared" ref="AK11" si="107">IF(AK10="","",AJ11)</f>
        <v>2.1669417868992557E-3</v>
      </c>
      <c r="AL11" s="71">
        <f t="shared" ref="AL11" si="108">IF(AL10="","",AK11)</f>
        <v>2.1669417868992557E-3</v>
      </c>
      <c r="AM11" s="71">
        <f t="shared" ref="AM11" si="109">IF(AM10="","",AL11)</f>
        <v>2.1669417868992557E-3</v>
      </c>
      <c r="AN11" s="119">
        <v>5.1937633003567641E-4</v>
      </c>
      <c r="AO11" s="71">
        <f t="shared" ref="AO11:BK11" si="110">IF(AO10="","",AN11)</f>
        <v>5.1937633003567641E-4</v>
      </c>
      <c r="AP11" s="71">
        <f t="shared" si="110"/>
        <v>5.1937633003567641E-4</v>
      </c>
      <c r="AQ11" s="71">
        <f t="shared" si="110"/>
        <v>5.1937633003567641E-4</v>
      </c>
      <c r="AR11" s="71">
        <f t="shared" si="110"/>
        <v>5.1937633003567641E-4</v>
      </c>
      <c r="AS11" s="71">
        <f t="shared" si="110"/>
        <v>5.1937633003567641E-4</v>
      </c>
      <c r="AT11" s="71">
        <f t="shared" si="110"/>
        <v>5.1937633003567641E-4</v>
      </c>
      <c r="AU11" s="71">
        <f t="shared" si="110"/>
        <v>5.1937633003567641E-4</v>
      </c>
      <c r="AV11" s="71">
        <f t="shared" si="110"/>
        <v>5.1937633003567641E-4</v>
      </c>
      <c r="AW11" s="71">
        <f t="shared" si="110"/>
        <v>5.1937633003567641E-4</v>
      </c>
      <c r="AX11" s="71">
        <f t="shared" si="110"/>
        <v>5.1937633003567641E-4</v>
      </c>
      <c r="AY11" s="71">
        <f t="shared" si="110"/>
        <v>5.1937633003567641E-4</v>
      </c>
      <c r="AZ11" s="119">
        <v>1.2203236433645677E-6</v>
      </c>
      <c r="BA11" s="71">
        <f t="shared" si="110"/>
        <v>1.2203236433645677E-6</v>
      </c>
      <c r="BB11" s="71">
        <f t="shared" si="110"/>
        <v>1.2203236433645677E-6</v>
      </c>
      <c r="BC11" s="71">
        <f t="shared" si="110"/>
        <v>1.2203236433645677E-6</v>
      </c>
      <c r="BD11" s="71">
        <f t="shared" si="110"/>
        <v>1.2203236433645677E-6</v>
      </c>
      <c r="BE11" s="71">
        <f t="shared" si="110"/>
        <v>1.2203236433645677E-6</v>
      </c>
      <c r="BF11" s="71">
        <f t="shared" si="110"/>
        <v>1.2203236433645677E-6</v>
      </c>
      <c r="BG11" s="71">
        <f t="shared" si="110"/>
        <v>1.2203236433645677E-6</v>
      </c>
      <c r="BH11" s="71">
        <f t="shared" si="110"/>
        <v>1.2203236433645677E-6</v>
      </c>
      <c r="BI11" s="71">
        <f t="shared" si="110"/>
        <v>1.2203236433645677E-6</v>
      </c>
      <c r="BJ11" s="71">
        <f t="shared" si="110"/>
        <v>1.2203236433645677E-6</v>
      </c>
      <c r="BK11" s="71">
        <f t="shared" si="110"/>
        <v>1.2203236433645677E-6</v>
      </c>
      <c r="BL11" s="119">
        <v>2.6703147907348487E-7</v>
      </c>
      <c r="BM11" s="71">
        <f t="shared" ref="BM11:CI11" si="111">IF(BM10="","",BL11)</f>
        <v>2.6703147907348487E-7</v>
      </c>
      <c r="BN11" s="71">
        <f t="shared" si="111"/>
        <v>2.6703147907348487E-7</v>
      </c>
      <c r="BO11" s="71">
        <f t="shared" si="111"/>
        <v>2.6703147907348487E-7</v>
      </c>
      <c r="BP11" s="71">
        <f t="shared" si="111"/>
        <v>2.6703147907348487E-7</v>
      </c>
      <c r="BQ11" s="71">
        <f t="shared" si="111"/>
        <v>2.6703147907348487E-7</v>
      </c>
      <c r="BR11" s="71">
        <f t="shared" si="111"/>
        <v>2.6703147907348487E-7</v>
      </c>
      <c r="BS11" s="71">
        <f t="shared" si="111"/>
        <v>2.6703147907348487E-7</v>
      </c>
      <c r="BT11" s="71">
        <f t="shared" si="111"/>
        <v>2.6703147907348487E-7</v>
      </c>
      <c r="BU11" s="71">
        <f t="shared" si="111"/>
        <v>2.6703147907348487E-7</v>
      </c>
      <c r="BV11" s="71">
        <f t="shared" si="111"/>
        <v>2.6703147907348487E-7</v>
      </c>
      <c r="BW11" s="71">
        <f t="shared" si="111"/>
        <v>2.6703147907348487E-7</v>
      </c>
      <c r="BX11" s="119">
        <v>0</v>
      </c>
      <c r="BY11" s="71">
        <f t="shared" si="111"/>
        <v>0</v>
      </c>
      <c r="BZ11" s="71">
        <f t="shared" si="111"/>
        <v>0</v>
      </c>
      <c r="CA11" s="71">
        <f t="shared" si="111"/>
        <v>0</v>
      </c>
      <c r="CB11" s="71">
        <f t="shared" si="111"/>
        <v>0</v>
      </c>
      <c r="CC11" s="71">
        <f t="shared" si="111"/>
        <v>0</v>
      </c>
      <c r="CD11" s="71">
        <f t="shared" si="111"/>
        <v>0</v>
      </c>
      <c r="CE11" s="71">
        <f t="shared" si="111"/>
        <v>0</v>
      </c>
      <c r="CF11" s="71">
        <f t="shared" si="111"/>
        <v>0</v>
      </c>
      <c r="CG11" s="71">
        <f t="shared" si="111"/>
        <v>0</v>
      </c>
      <c r="CH11" s="71">
        <f t="shared" si="111"/>
        <v>0</v>
      </c>
      <c r="CI11" s="71">
        <f t="shared" si="111"/>
        <v>0</v>
      </c>
    </row>
    <row r="12" spans="1:87" x14ac:dyDescent="0.25">
      <c r="A12" s="306"/>
      <c r="B12" s="73" t="s">
        <v>54</v>
      </c>
      <c r="C12" s="42">
        <v>0</v>
      </c>
      <c r="D12" s="87">
        <v>2.1000000000000001E-4</v>
      </c>
      <c r="E12" s="71">
        <f>+D12</f>
        <v>2.1000000000000001E-4</v>
      </c>
      <c r="F12" s="71">
        <f>IF(F10="","",E12)</f>
        <v>2.1000000000000001E-4</v>
      </c>
      <c r="G12" s="71">
        <f t="shared" ref="G12:Z12" si="112">IF(G10="","",F12)</f>
        <v>2.1000000000000001E-4</v>
      </c>
      <c r="H12" s="71">
        <f t="shared" si="112"/>
        <v>2.1000000000000001E-4</v>
      </c>
      <c r="I12" s="71">
        <f t="shared" si="112"/>
        <v>2.1000000000000001E-4</v>
      </c>
      <c r="J12" s="71">
        <f t="shared" si="112"/>
        <v>2.1000000000000001E-4</v>
      </c>
      <c r="K12" s="71">
        <f t="shared" si="112"/>
        <v>2.1000000000000001E-4</v>
      </c>
      <c r="L12" s="71">
        <f t="shared" si="112"/>
        <v>2.1000000000000001E-4</v>
      </c>
      <c r="M12" s="71">
        <f t="shared" si="112"/>
        <v>2.1000000000000001E-4</v>
      </c>
      <c r="N12" s="71">
        <f t="shared" si="112"/>
        <v>2.1000000000000001E-4</v>
      </c>
      <c r="O12" s="71">
        <f t="shared" si="112"/>
        <v>2.1000000000000001E-4</v>
      </c>
      <c r="P12" s="87">
        <v>7.5215423260867955E-5</v>
      </c>
      <c r="Q12" s="71">
        <f t="shared" si="112"/>
        <v>7.5215423260867955E-5</v>
      </c>
      <c r="R12" s="90">
        <f t="shared" si="112"/>
        <v>7.5215423260867955E-5</v>
      </c>
      <c r="S12" s="90">
        <f t="shared" si="112"/>
        <v>7.5215423260867955E-5</v>
      </c>
      <c r="T12" s="90">
        <f t="shared" si="112"/>
        <v>7.5215423260867955E-5</v>
      </c>
      <c r="U12" s="90">
        <f t="shared" si="112"/>
        <v>7.5215423260867955E-5</v>
      </c>
      <c r="V12" s="90">
        <f t="shared" si="112"/>
        <v>7.5215423260867955E-5</v>
      </c>
      <c r="W12" s="90">
        <f t="shared" si="112"/>
        <v>7.5215423260867955E-5</v>
      </c>
      <c r="X12" s="90">
        <f t="shared" si="112"/>
        <v>7.5215423260867955E-5</v>
      </c>
      <c r="Y12" s="90">
        <f t="shared" si="112"/>
        <v>7.5215423260867955E-5</v>
      </c>
      <c r="Z12" s="90">
        <f t="shared" si="112"/>
        <v>7.5215423260867955E-5</v>
      </c>
      <c r="AA12" s="90">
        <f t="shared" ref="AA12" si="113">IF(AA10="","",Z12)</f>
        <v>7.5215423260867955E-5</v>
      </c>
      <c r="AB12" s="87">
        <v>1.3384341861062831E-4</v>
      </c>
      <c r="AC12" s="71">
        <f t="shared" ref="AC12" si="114">IF(AC10="","",AB12)</f>
        <v>1.3384341861062831E-4</v>
      </c>
      <c r="AD12" s="71">
        <f t="shared" ref="AD12" si="115">IF(AD10="","",AC12)</f>
        <v>1.3384341861062831E-4</v>
      </c>
      <c r="AE12" s="71">
        <f t="shared" ref="AE12" si="116">IF(AE10="","",AD12)</f>
        <v>1.3384341861062831E-4</v>
      </c>
      <c r="AF12" s="71">
        <f t="shared" ref="AF12" si="117">IF(AF10="","",AE12)</f>
        <v>1.3384341861062831E-4</v>
      </c>
      <c r="AG12" s="71">
        <f t="shared" ref="AG12" si="118">IF(AG10="","",AF12)</f>
        <v>1.3384341861062831E-4</v>
      </c>
      <c r="AH12" s="71">
        <f t="shared" ref="AH12" si="119">IF(AH10="","",AG12)</f>
        <v>1.3384341861062831E-4</v>
      </c>
      <c r="AI12" s="71">
        <f t="shared" ref="AI12" si="120">IF(AI10="","",AH12)</f>
        <v>1.3384341861062831E-4</v>
      </c>
      <c r="AJ12" s="71">
        <f t="shared" ref="AJ12" si="121">IF(AJ10="","",AI12)</f>
        <v>1.3384341861062831E-4</v>
      </c>
      <c r="AK12" s="71">
        <f t="shared" ref="AK12" si="122">IF(AK10="","",AJ12)</f>
        <v>1.3384341861062831E-4</v>
      </c>
      <c r="AL12" s="71">
        <f t="shared" ref="AL12" si="123">IF(AL10="","",AK12)</f>
        <v>1.3384341861062831E-4</v>
      </c>
      <c r="AM12" s="71">
        <f t="shared" ref="AM12" si="124">IF(AM10="","",AL12)</f>
        <v>1.3384341861062831E-4</v>
      </c>
      <c r="AN12" s="120">
        <v>-1.9849823091581313E-4</v>
      </c>
      <c r="AO12" s="90">
        <f t="shared" ref="AO12:BK12" si="125">IF(AO10="","",AN12)</f>
        <v>-1.9849823091581313E-4</v>
      </c>
      <c r="AP12" s="90">
        <f t="shared" si="125"/>
        <v>-1.9849823091581313E-4</v>
      </c>
      <c r="AQ12" s="90">
        <f t="shared" si="125"/>
        <v>-1.9849823091581313E-4</v>
      </c>
      <c r="AR12" s="90">
        <f t="shared" si="125"/>
        <v>-1.9849823091581313E-4</v>
      </c>
      <c r="AS12" s="90">
        <f t="shared" si="125"/>
        <v>-1.9849823091581313E-4</v>
      </c>
      <c r="AT12" s="90">
        <f t="shared" si="125"/>
        <v>-1.9849823091581313E-4</v>
      </c>
      <c r="AU12" s="90">
        <f t="shared" si="125"/>
        <v>-1.9849823091581313E-4</v>
      </c>
      <c r="AV12" s="90">
        <f t="shared" si="125"/>
        <v>-1.9849823091581313E-4</v>
      </c>
      <c r="AW12" s="90">
        <f t="shared" si="125"/>
        <v>-1.9849823091581313E-4</v>
      </c>
      <c r="AX12" s="90">
        <f t="shared" si="125"/>
        <v>-1.9849823091581313E-4</v>
      </c>
      <c r="AY12" s="90">
        <f t="shared" si="125"/>
        <v>-1.9849823091581313E-4</v>
      </c>
      <c r="AZ12" s="120">
        <v>-3.9303848795509551E-4</v>
      </c>
      <c r="BA12" s="90">
        <f t="shared" si="125"/>
        <v>-3.9303848795509551E-4</v>
      </c>
      <c r="BB12" s="90">
        <f t="shared" si="125"/>
        <v>-3.9303848795509551E-4</v>
      </c>
      <c r="BC12" s="90">
        <f t="shared" si="125"/>
        <v>-3.9303848795509551E-4</v>
      </c>
      <c r="BD12" s="90">
        <f t="shared" si="125"/>
        <v>-3.9303848795509551E-4</v>
      </c>
      <c r="BE12" s="90">
        <f t="shared" si="125"/>
        <v>-3.9303848795509551E-4</v>
      </c>
      <c r="BF12" s="90">
        <f t="shared" si="125"/>
        <v>-3.9303848795509551E-4</v>
      </c>
      <c r="BG12" s="90">
        <f t="shared" si="125"/>
        <v>-3.9303848795509551E-4</v>
      </c>
      <c r="BH12" s="90">
        <f t="shared" si="125"/>
        <v>-3.9303848795509551E-4</v>
      </c>
      <c r="BI12" s="90">
        <f t="shared" si="125"/>
        <v>-3.9303848795509551E-4</v>
      </c>
      <c r="BJ12" s="90">
        <f t="shared" si="125"/>
        <v>-3.9303848795509551E-4</v>
      </c>
      <c r="BK12" s="90">
        <f t="shared" si="125"/>
        <v>-3.9303848795509551E-4</v>
      </c>
      <c r="BL12" s="120">
        <v>-1.4458392345821352E-5</v>
      </c>
      <c r="BM12" s="90">
        <f t="shared" ref="BM12:CI12" si="126">IF(BM10="","",BL12)</f>
        <v>-1.4458392345821352E-5</v>
      </c>
      <c r="BN12" s="90">
        <f t="shared" si="126"/>
        <v>-1.4458392345821352E-5</v>
      </c>
      <c r="BO12" s="90">
        <f t="shared" si="126"/>
        <v>-1.4458392345821352E-5</v>
      </c>
      <c r="BP12" s="90">
        <f t="shared" si="126"/>
        <v>-1.4458392345821352E-5</v>
      </c>
      <c r="BQ12" s="90">
        <f t="shared" si="126"/>
        <v>-1.4458392345821352E-5</v>
      </c>
      <c r="BR12" s="90">
        <f t="shared" si="126"/>
        <v>-1.4458392345821352E-5</v>
      </c>
      <c r="BS12" s="90">
        <f t="shared" si="126"/>
        <v>-1.4458392345821352E-5</v>
      </c>
      <c r="BT12" s="90">
        <f t="shared" si="126"/>
        <v>-1.4458392345821352E-5</v>
      </c>
      <c r="BU12" s="90">
        <f t="shared" si="126"/>
        <v>-1.4458392345821352E-5</v>
      </c>
      <c r="BV12" s="90">
        <f t="shared" si="126"/>
        <v>-1.4458392345821352E-5</v>
      </c>
      <c r="BW12" s="90">
        <f t="shared" si="126"/>
        <v>-1.4458392345821352E-5</v>
      </c>
      <c r="BX12" s="120">
        <v>1.949958092026249E-5</v>
      </c>
      <c r="BY12" s="90">
        <f t="shared" si="126"/>
        <v>1.949958092026249E-5</v>
      </c>
      <c r="BZ12" s="90">
        <f t="shared" si="126"/>
        <v>1.949958092026249E-5</v>
      </c>
      <c r="CA12" s="90">
        <f t="shared" si="126"/>
        <v>1.949958092026249E-5</v>
      </c>
      <c r="CB12" s="90">
        <f t="shared" si="126"/>
        <v>1.949958092026249E-5</v>
      </c>
      <c r="CC12" s="90">
        <f t="shared" si="126"/>
        <v>1.949958092026249E-5</v>
      </c>
      <c r="CD12" s="90">
        <f t="shared" si="126"/>
        <v>1.949958092026249E-5</v>
      </c>
      <c r="CE12" s="90">
        <f t="shared" si="126"/>
        <v>1.949958092026249E-5</v>
      </c>
      <c r="CF12" s="90">
        <f t="shared" si="126"/>
        <v>1.949958092026249E-5</v>
      </c>
      <c r="CG12" s="90">
        <f t="shared" si="126"/>
        <v>1.949958092026249E-5</v>
      </c>
      <c r="CH12" s="90">
        <f t="shared" si="126"/>
        <v>1.949958092026249E-5</v>
      </c>
      <c r="CI12" s="90">
        <f t="shared" si="126"/>
        <v>1.949958092026249E-5</v>
      </c>
    </row>
    <row r="13" spans="1:87" x14ac:dyDescent="0.25">
      <c r="A13" s="306"/>
      <c r="B13" s="73" t="s">
        <v>63</v>
      </c>
      <c r="C13" s="62">
        <f>SUM(C11:C12)</f>
        <v>4.5000000000000003E-5</v>
      </c>
      <c r="D13" s="62">
        <f t="shared" ref="D13:E13" si="127">SUM(D11:D12)</f>
        <v>5.2700000000000002E-4</v>
      </c>
      <c r="E13" s="62">
        <f t="shared" si="127"/>
        <v>5.2700000000000002E-4</v>
      </c>
      <c r="F13" s="62">
        <f>IF(F10="","",SUM(F11:F12))</f>
        <v>5.2700000000000002E-4</v>
      </c>
      <c r="G13" s="62">
        <f t="shared" ref="G13:Z13" si="128">IF(G10="","",SUM(G11:G12))</f>
        <v>5.2700000000000002E-4</v>
      </c>
      <c r="H13" s="62">
        <f t="shared" si="128"/>
        <v>5.2700000000000002E-4</v>
      </c>
      <c r="I13" s="62">
        <f t="shared" si="128"/>
        <v>5.2700000000000002E-4</v>
      </c>
      <c r="J13" s="62">
        <f t="shared" si="128"/>
        <v>5.2700000000000002E-4</v>
      </c>
      <c r="K13" s="62">
        <f t="shared" si="128"/>
        <v>5.2700000000000002E-4</v>
      </c>
      <c r="L13" s="62">
        <f t="shared" si="128"/>
        <v>5.2700000000000002E-4</v>
      </c>
      <c r="M13" s="62">
        <f t="shared" si="128"/>
        <v>5.2700000000000002E-4</v>
      </c>
      <c r="N13" s="62">
        <f t="shared" si="128"/>
        <v>5.2700000000000002E-4</v>
      </c>
      <c r="O13" s="62">
        <f t="shared" si="128"/>
        <v>5.2700000000000002E-4</v>
      </c>
      <c r="P13" s="62">
        <f t="shared" si="128"/>
        <v>1.1260369525415163E-3</v>
      </c>
      <c r="Q13" s="62">
        <f t="shared" si="128"/>
        <v>1.1260369525415163E-3</v>
      </c>
      <c r="R13" s="62">
        <f t="shared" si="128"/>
        <v>1.1260369525415163E-3</v>
      </c>
      <c r="S13" s="62">
        <f t="shared" si="128"/>
        <v>1.1260369525415163E-3</v>
      </c>
      <c r="T13" s="62">
        <f t="shared" si="128"/>
        <v>1.1260369525415163E-3</v>
      </c>
      <c r="U13" s="62">
        <f t="shared" si="128"/>
        <v>1.1260369525415163E-3</v>
      </c>
      <c r="V13" s="62">
        <f t="shared" si="128"/>
        <v>1.1260369525415163E-3</v>
      </c>
      <c r="W13" s="62">
        <f t="shared" si="128"/>
        <v>1.1260369525415163E-3</v>
      </c>
      <c r="X13" s="62">
        <f t="shared" si="128"/>
        <v>1.1260369525415163E-3</v>
      </c>
      <c r="Y13" s="62">
        <f t="shared" si="128"/>
        <v>1.1260369525415163E-3</v>
      </c>
      <c r="Z13" s="62">
        <f t="shared" si="128"/>
        <v>1.1260369525415163E-3</v>
      </c>
      <c r="AA13" s="62">
        <f t="shared" ref="AA13:AC13" si="129">IF(AA10="","",SUM(AA11:AA12))</f>
        <v>1.1260369525415163E-3</v>
      </c>
      <c r="AB13" s="62">
        <f t="shared" si="129"/>
        <v>2.3007852055098839E-3</v>
      </c>
      <c r="AC13" s="62">
        <f t="shared" si="129"/>
        <v>2.3007852055098839E-3</v>
      </c>
      <c r="AD13" s="62">
        <f t="shared" ref="AD13:AM13" si="130">IF(AD10="","",SUM(AD11:AD12))</f>
        <v>2.3007852055098839E-3</v>
      </c>
      <c r="AE13" s="62">
        <f t="shared" si="130"/>
        <v>2.3007852055098839E-3</v>
      </c>
      <c r="AF13" s="62">
        <f t="shared" si="130"/>
        <v>2.3007852055098839E-3</v>
      </c>
      <c r="AG13" s="62">
        <f t="shared" si="130"/>
        <v>2.3007852055098839E-3</v>
      </c>
      <c r="AH13" s="62">
        <f t="shared" si="130"/>
        <v>2.3007852055098839E-3</v>
      </c>
      <c r="AI13" s="62">
        <f t="shared" si="130"/>
        <v>2.3007852055098839E-3</v>
      </c>
      <c r="AJ13" s="62">
        <f t="shared" si="130"/>
        <v>2.3007852055098839E-3</v>
      </c>
      <c r="AK13" s="62">
        <f t="shared" si="130"/>
        <v>2.3007852055098839E-3</v>
      </c>
      <c r="AL13" s="62">
        <f t="shared" si="130"/>
        <v>2.3007852055098839E-3</v>
      </c>
      <c r="AM13" s="62">
        <f t="shared" si="130"/>
        <v>2.3007852055098839E-3</v>
      </c>
      <c r="AN13" s="62">
        <f t="shared" ref="AN13:AO13" si="131">IF(AN10="","",SUM(AN11:AN12))</f>
        <v>3.2087809911986328E-4</v>
      </c>
      <c r="AO13" s="62">
        <f t="shared" si="131"/>
        <v>3.2087809911986328E-4</v>
      </c>
      <c r="AP13" s="62">
        <f t="shared" ref="AP13:AQ13" si="132">IF(AP10="","",SUM(AP11:AP12))</f>
        <v>3.2087809911986328E-4</v>
      </c>
      <c r="AQ13" s="62">
        <f t="shared" si="132"/>
        <v>3.2087809911986328E-4</v>
      </c>
      <c r="AR13" s="62">
        <f t="shared" ref="AR13:AS13" si="133">IF(AR10="","",SUM(AR11:AR12))</f>
        <v>3.2087809911986328E-4</v>
      </c>
      <c r="AS13" s="62">
        <f t="shared" si="133"/>
        <v>3.2087809911986328E-4</v>
      </c>
      <c r="AT13" s="62">
        <f t="shared" ref="AT13:AU13" si="134">IF(AT10="","",SUM(AT11:AT12))</f>
        <v>3.2087809911986328E-4</v>
      </c>
      <c r="AU13" s="62">
        <f t="shared" si="134"/>
        <v>3.2087809911986328E-4</v>
      </c>
      <c r="AV13" s="62">
        <f t="shared" ref="AV13:AW13" si="135">IF(AV10="","",SUM(AV11:AV12))</f>
        <v>3.2087809911986328E-4</v>
      </c>
      <c r="AW13" s="62">
        <f t="shared" si="135"/>
        <v>3.2087809911986328E-4</v>
      </c>
      <c r="AX13" s="62">
        <f t="shared" ref="AX13:AY13" si="136">IF(AX10="","",SUM(AX11:AX12))</f>
        <v>3.2087809911986328E-4</v>
      </c>
      <c r="AY13" s="62">
        <f t="shared" si="136"/>
        <v>3.2087809911986328E-4</v>
      </c>
      <c r="AZ13" s="62">
        <f t="shared" ref="AZ13:BA13" si="137">IF(AZ10="","",SUM(AZ11:AZ12))</f>
        <v>-3.9181816431173094E-4</v>
      </c>
      <c r="BA13" s="62">
        <f t="shared" si="137"/>
        <v>-3.9181816431173094E-4</v>
      </c>
      <c r="BB13" s="62">
        <f t="shared" ref="BB13:BC13" si="138">IF(BB10="","",SUM(BB11:BB12))</f>
        <v>-3.9181816431173094E-4</v>
      </c>
      <c r="BC13" s="62">
        <f t="shared" si="138"/>
        <v>-3.9181816431173094E-4</v>
      </c>
      <c r="BD13" s="62">
        <f t="shared" ref="BD13:BE13" si="139">IF(BD10="","",SUM(BD11:BD12))</f>
        <v>-3.9181816431173094E-4</v>
      </c>
      <c r="BE13" s="62">
        <f t="shared" si="139"/>
        <v>-3.9181816431173094E-4</v>
      </c>
      <c r="BF13" s="62">
        <f t="shared" ref="BF13:BG13" si="140">IF(BF10="","",SUM(BF11:BF12))</f>
        <v>-3.9181816431173094E-4</v>
      </c>
      <c r="BG13" s="62">
        <f t="shared" si="140"/>
        <v>-3.9181816431173094E-4</v>
      </c>
      <c r="BH13" s="62">
        <f t="shared" ref="BH13:BI13" si="141">IF(BH10="","",SUM(BH11:BH12))</f>
        <v>-3.9181816431173094E-4</v>
      </c>
      <c r="BI13" s="62">
        <f t="shared" si="141"/>
        <v>-3.9181816431173094E-4</v>
      </c>
      <c r="BJ13" s="62">
        <f t="shared" ref="BJ13:BK13" si="142">IF(BJ10="","",SUM(BJ11:BJ12))</f>
        <v>-3.9181816431173094E-4</v>
      </c>
      <c r="BK13" s="62">
        <f t="shared" si="142"/>
        <v>-3.9181816431173094E-4</v>
      </c>
      <c r="BL13" s="62">
        <f t="shared" ref="BL13:BM13" si="143">IF(BL10="","",SUM(BL11:BL12))</f>
        <v>-1.4191360866747868E-5</v>
      </c>
      <c r="BM13" s="62">
        <f t="shared" si="143"/>
        <v>-1.4191360866747868E-5</v>
      </c>
      <c r="BN13" s="62">
        <f t="shared" ref="BN13:BO13" si="144">IF(BN10="","",SUM(BN11:BN12))</f>
        <v>-1.4191360866747868E-5</v>
      </c>
      <c r="BO13" s="62">
        <f t="shared" si="144"/>
        <v>-1.4191360866747868E-5</v>
      </c>
      <c r="BP13" s="62">
        <f t="shared" ref="BP13:BQ13" si="145">IF(BP10="","",SUM(BP11:BP12))</f>
        <v>-1.4191360866747868E-5</v>
      </c>
      <c r="BQ13" s="62">
        <f t="shared" si="145"/>
        <v>-1.4191360866747868E-5</v>
      </c>
      <c r="BR13" s="62">
        <f t="shared" ref="BR13:BS13" si="146">IF(BR10="","",SUM(BR11:BR12))</f>
        <v>-1.4191360866747868E-5</v>
      </c>
      <c r="BS13" s="62">
        <f t="shared" si="146"/>
        <v>-1.4191360866747868E-5</v>
      </c>
      <c r="BT13" s="62">
        <f t="shared" ref="BT13:BU13" si="147">IF(BT10="","",SUM(BT11:BT12))</f>
        <v>-1.4191360866747868E-5</v>
      </c>
      <c r="BU13" s="62">
        <f t="shared" si="147"/>
        <v>-1.4191360866747868E-5</v>
      </c>
      <c r="BV13" s="62">
        <f t="shared" ref="BV13:BW13" si="148">IF(BV10="","",SUM(BV11:BV12))</f>
        <v>-1.4191360866747868E-5</v>
      </c>
      <c r="BW13" s="62">
        <f t="shared" si="148"/>
        <v>-1.4191360866747868E-5</v>
      </c>
      <c r="BX13" s="62">
        <f t="shared" ref="BX13:BY13" si="149">IF(BX10="","",SUM(BX11:BX12))</f>
        <v>1.949958092026249E-5</v>
      </c>
      <c r="BY13" s="62">
        <f t="shared" si="149"/>
        <v>1.949958092026249E-5</v>
      </c>
      <c r="BZ13" s="62">
        <f t="shared" ref="BZ13:CA13" si="150">IF(BZ10="","",SUM(BZ11:BZ12))</f>
        <v>1.949958092026249E-5</v>
      </c>
      <c r="CA13" s="62">
        <f t="shared" si="150"/>
        <v>1.949958092026249E-5</v>
      </c>
      <c r="CB13" s="62">
        <f t="shared" ref="CB13:CC13" si="151">IF(CB10="","",SUM(CB11:CB12))</f>
        <v>1.949958092026249E-5</v>
      </c>
      <c r="CC13" s="62">
        <f t="shared" si="151"/>
        <v>1.949958092026249E-5</v>
      </c>
      <c r="CD13" s="62">
        <f t="shared" ref="CD13:CE13" si="152">IF(CD10="","",SUM(CD11:CD12))</f>
        <v>1.949958092026249E-5</v>
      </c>
      <c r="CE13" s="62">
        <f t="shared" si="152"/>
        <v>1.949958092026249E-5</v>
      </c>
      <c r="CF13" s="62">
        <f t="shared" ref="CF13:CG13" si="153">IF(CF10="","",SUM(CF11:CF12))</f>
        <v>1.949958092026249E-5</v>
      </c>
      <c r="CG13" s="62">
        <f t="shared" si="153"/>
        <v>1.949958092026249E-5</v>
      </c>
      <c r="CH13" s="62">
        <f t="shared" ref="CH13:CI13" si="154">IF(CH10="","",SUM(CH11:CH12))</f>
        <v>1.949958092026249E-5</v>
      </c>
      <c r="CI13" s="62">
        <f t="shared" si="154"/>
        <v>1.949958092026249E-5</v>
      </c>
    </row>
    <row r="14" spans="1:87" x14ac:dyDescent="0.25">
      <c r="A14" s="306"/>
      <c r="B14" s="73" t="s">
        <v>56</v>
      </c>
      <c r="C14" s="66">
        <f>+C12/C13</f>
        <v>0</v>
      </c>
      <c r="D14" s="66">
        <f>+IFERROR(D12/D13,"")</f>
        <v>0.39848197343453512</v>
      </c>
      <c r="E14" s="66">
        <f>+IFERROR(E12/E13,"")</f>
        <v>0.39848197343453512</v>
      </c>
      <c r="F14" s="66">
        <f>IF(F10="","",IFERROR(F12/F13,""))</f>
        <v>0.39848197343453512</v>
      </c>
      <c r="G14" s="66">
        <f t="shared" ref="G14:Z14" si="155">IF(G10="","",IFERROR(G12/G13,""))</f>
        <v>0.39848197343453512</v>
      </c>
      <c r="H14" s="66">
        <f t="shared" si="155"/>
        <v>0.39848197343453512</v>
      </c>
      <c r="I14" s="66">
        <f t="shared" si="155"/>
        <v>0.39848197343453512</v>
      </c>
      <c r="J14" s="66">
        <f t="shared" si="155"/>
        <v>0.39848197343453512</v>
      </c>
      <c r="K14" s="66">
        <f t="shared" si="155"/>
        <v>0.39848197343453512</v>
      </c>
      <c r="L14" s="66">
        <f t="shared" si="155"/>
        <v>0.39848197343453512</v>
      </c>
      <c r="M14" s="66">
        <f t="shared" si="155"/>
        <v>0.39848197343453512</v>
      </c>
      <c r="N14" s="66">
        <f t="shared" si="155"/>
        <v>0.39848197343453512</v>
      </c>
      <c r="O14" s="66">
        <f t="shared" si="155"/>
        <v>0.39848197343453512</v>
      </c>
      <c r="P14" s="66">
        <f t="shared" si="155"/>
        <v>6.6796585219608767E-2</v>
      </c>
      <c r="Q14" s="66">
        <f t="shared" si="155"/>
        <v>6.6796585219608767E-2</v>
      </c>
      <c r="R14" s="66">
        <f t="shared" si="155"/>
        <v>6.6796585219608767E-2</v>
      </c>
      <c r="S14" s="66">
        <f t="shared" si="155"/>
        <v>6.6796585219608767E-2</v>
      </c>
      <c r="T14" s="66">
        <f t="shared" si="155"/>
        <v>6.6796585219608767E-2</v>
      </c>
      <c r="U14" s="66">
        <f t="shared" si="155"/>
        <v>6.6796585219608767E-2</v>
      </c>
      <c r="V14" s="66">
        <f t="shared" si="155"/>
        <v>6.6796585219608767E-2</v>
      </c>
      <c r="W14" s="66">
        <f t="shared" si="155"/>
        <v>6.6796585219608767E-2</v>
      </c>
      <c r="X14" s="66">
        <f t="shared" si="155"/>
        <v>6.6796585219608767E-2</v>
      </c>
      <c r="Y14" s="66">
        <f t="shared" si="155"/>
        <v>6.6796585219608767E-2</v>
      </c>
      <c r="Z14" s="66">
        <f t="shared" si="155"/>
        <v>6.6796585219608767E-2</v>
      </c>
      <c r="AA14" s="66">
        <f t="shared" ref="AA14:AC14" si="156">IF(AA10="","",IFERROR(AA12/AA13,""))</f>
        <v>6.6796585219608767E-2</v>
      </c>
      <c r="AB14" s="66">
        <f t="shared" si="156"/>
        <v>5.8172930828180841E-2</v>
      </c>
      <c r="AC14" s="66">
        <f t="shared" si="156"/>
        <v>5.8172930828180841E-2</v>
      </c>
      <c r="AD14" s="66">
        <f t="shared" ref="AD14:AM14" si="157">IF(AD10="","",IFERROR(AD12/AD13,""))</f>
        <v>5.8172930828180841E-2</v>
      </c>
      <c r="AE14" s="66">
        <f t="shared" si="157"/>
        <v>5.8172930828180841E-2</v>
      </c>
      <c r="AF14" s="66">
        <f t="shared" si="157"/>
        <v>5.8172930828180841E-2</v>
      </c>
      <c r="AG14" s="66">
        <f t="shared" si="157"/>
        <v>5.8172930828180841E-2</v>
      </c>
      <c r="AH14" s="66">
        <f t="shared" si="157"/>
        <v>5.8172930828180841E-2</v>
      </c>
      <c r="AI14" s="66">
        <f t="shared" si="157"/>
        <v>5.8172930828180841E-2</v>
      </c>
      <c r="AJ14" s="66">
        <f t="shared" si="157"/>
        <v>5.8172930828180841E-2</v>
      </c>
      <c r="AK14" s="66">
        <f t="shared" si="157"/>
        <v>5.8172930828180841E-2</v>
      </c>
      <c r="AL14" s="66">
        <f t="shared" si="157"/>
        <v>5.8172930828180841E-2</v>
      </c>
      <c r="AM14" s="66">
        <f t="shared" si="157"/>
        <v>5.8172930828180841E-2</v>
      </c>
      <c r="AN14" s="66">
        <f t="shared" ref="AN14:AO14" si="158">IF(AN10="","",IFERROR(AN12/AN13,""))</f>
        <v>-0.61860947026386048</v>
      </c>
      <c r="AO14" s="66">
        <f t="shared" si="158"/>
        <v>-0.61860947026386048</v>
      </c>
      <c r="AP14" s="66">
        <f t="shared" ref="AP14:AQ14" si="159">IF(AP10="","",IFERROR(AP12/AP13,""))</f>
        <v>-0.61860947026386048</v>
      </c>
      <c r="AQ14" s="66">
        <f t="shared" si="159"/>
        <v>-0.61860947026386048</v>
      </c>
      <c r="AR14" s="66">
        <f t="shared" ref="AR14:AS14" si="160">IF(AR10="","",IFERROR(AR12/AR13,""))</f>
        <v>-0.61860947026386048</v>
      </c>
      <c r="AS14" s="66">
        <f t="shared" si="160"/>
        <v>-0.61860947026386048</v>
      </c>
      <c r="AT14" s="66">
        <f t="shared" ref="AT14:AU14" si="161">IF(AT10="","",IFERROR(AT12/AT13,""))</f>
        <v>-0.61860947026386048</v>
      </c>
      <c r="AU14" s="66">
        <f t="shared" si="161"/>
        <v>-0.61860947026386048</v>
      </c>
      <c r="AV14" s="66">
        <f t="shared" ref="AV14:AW14" si="162">IF(AV10="","",IFERROR(AV12/AV13,""))</f>
        <v>-0.61860947026386048</v>
      </c>
      <c r="AW14" s="66">
        <f t="shared" si="162"/>
        <v>-0.61860947026386048</v>
      </c>
      <c r="AX14" s="66">
        <f t="shared" ref="AX14:AY14" si="163">IF(AX10="","",IFERROR(AX12/AX13,""))</f>
        <v>-0.61860947026386048</v>
      </c>
      <c r="AY14" s="66">
        <f t="shared" si="163"/>
        <v>-0.61860947026386048</v>
      </c>
      <c r="AZ14" s="66">
        <f t="shared" ref="AZ14:BA14" si="164">IF(AZ10="","",IFERROR(AZ12/AZ13,""))</f>
        <v>1.003114515238231</v>
      </c>
      <c r="BA14" s="66">
        <f t="shared" si="164"/>
        <v>1.003114515238231</v>
      </c>
      <c r="BB14" s="66">
        <f t="shared" ref="BB14:BC14" si="165">IF(BB10="","",IFERROR(BB12/BB13,""))</f>
        <v>1.003114515238231</v>
      </c>
      <c r="BC14" s="66">
        <f t="shared" si="165"/>
        <v>1.003114515238231</v>
      </c>
      <c r="BD14" s="66">
        <f t="shared" ref="BD14:BE14" si="166">IF(BD10="","",IFERROR(BD12/BD13,""))</f>
        <v>1.003114515238231</v>
      </c>
      <c r="BE14" s="66">
        <f t="shared" si="166"/>
        <v>1.003114515238231</v>
      </c>
      <c r="BF14" s="66">
        <f t="shared" ref="BF14:BG14" si="167">IF(BF10="","",IFERROR(BF12/BF13,""))</f>
        <v>1.003114515238231</v>
      </c>
      <c r="BG14" s="66">
        <f t="shared" si="167"/>
        <v>1.003114515238231</v>
      </c>
      <c r="BH14" s="66">
        <f t="shared" ref="BH14:BI14" si="168">IF(BH10="","",IFERROR(BH12/BH13,""))</f>
        <v>1.003114515238231</v>
      </c>
      <c r="BI14" s="66">
        <f t="shared" si="168"/>
        <v>1.003114515238231</v>
      </c>
      <c r="BJ14" s="66">
        <f t="shared" ref="BJ14:BK14" si="169">IF(BJ10="","",IFERROR(BJ12/BJ13,""))</f>
        <v>1.003114515238231</v>
      </c>
      <c r="BK14" s="66">
        <f t="shared" si="169"/>
        <v>1.003114515238231</v>
      </c>
      <c r="BL14" s="66">
        <f t="shared" ref="BL14:BM14" si="170">IF(BL10="","",IFERROR(BL12/BL13,""))</f>
        <v>1.0188164814904519</v>
      </c>
      <c r="BM14" s="66">
        <f t="shared" si="170"/>
        <v>1.0188164814904519</v>
      </c>
      <c r="BN14" s="66">
        <f t="shared" ref="BN14:BO14" si="171">IF(BN10="","",IFERROR(BN12/BN13,""))</f>
        <v>1.0188164814904519</v>
      </c>
      <c r="BO14" s="66">
        <f t="shared" si="171"/>
        <v>1.0188164814904519</v>
      </c>
      <c r="BP14" s="66">
        <f t="shared" ref="BP14:BQ14" si="172">IF(BP10="","",IFERROR(BP12/BP13,""))</f>
        <v>1.0188164814904519</v>
      </c>
      <c r="BQ14" s="66">
        <f t="shared" si="172"/>
        <v>1.0188164814904519</v>
      </c>
      <c r="BR14" s="66">
        <f t="shared" ref="BR14:BS14" si="173">IF(BR10="","",IFERROR(BR12/BR13,""))</f>
        <v>1.0188164814904519</v>
      </c>
      <c r="BS14" s="66">
        <f t="shared" si="173"/>
        <v>1.0188164814904519</v>
      </c>
      <c r="BT14" s="66">
        <f t="shared" ref="BT14:BU14" si="174">IF(BT10="","",IFERROR(BT12/BT13,""))</f>
        <v>1.0188164814904519</v>
      </c>
      <c r="BU14" s="66">
        <f t="shared" si="174"/>
        <v>1.0188164814904519</v>
      </c>
      <c r="BV14" s="66">
        <f t="shared" ref="BV14:BW14" si="175">IF(BV10="","",IFERROR(BV12/BV13,""))</f>
        <v>1.0188164814904519</v>
      </c>
      <c r="BW14" s="66">
        <f t="shared" si="175"/>
        <v>1.0188164814904519</v>
      </c>
      <c r="BX14" s="66">
        <f t="shared" ref="BX14:BY14" si="176">IF(BX10="","",IFERROR(BX12/BX13,""))</f>
        <v>1</v>
      </c>
      <c r="BY14" s="66">
        <f t="shared" si="176"/>
        <v>1</v>
      </c>
      <c r="BZ14" s="66">
        <f t="shared" ref="BZ14:CA14" si="177">IF(BZ10="","",IFERROR(BZ12/BZ13,""))</f>
        <v>1</v>
      </c>
      <c r="CA14" s="66">
        <f t="shared" si="177"/>
        <v>1</v>
      </c>
      <c r="CB14" s="66">
        <f t="shared" ref="CB14:CC14" si="178">IF(CB10="","",IFERROR(CB12/CB13,""))</f>
        <v>1</v>
      </c>
      <c r="CC14" s="66">
        <f t="shared" si="178"/>
        <v>1</v>
      </c>
      <c r="CD14" s="66">
        <f t="shared" ref="CD14:CE14" si="179">IF(CD10="","",IFERROR(CD12/CD13,""))</f>
        <v>1</v>
      </c>
      <c r="CE14" s="66">
        <f t="shared" si="179"/>
        <v>1</v>
      </c>
      <c r="CF14" s="66">
        <f t="shared" ref="CF14:CG14" si="180">IF(CF10="","",IFERROR(CF12/CF13,""))</f>
        <v>1</v>
      </c>
      <c r="CG14" s="66">
        <f t="shared" si="180"/>
        <v>1</v>
      </c>
      <c r="CH14" s="66">
        <f t="shared" ref="CH14:CI14" si="181">IF(CH10="","",IFERROR(CH12/CH13,""))</f>
        <v>1</v>
      </c>
      <c r="CI14" s="66">
        <f t="shared" si="181"/>
        <v>1</v>
      </c>
    </row>
    <row r="15" spans="1:87" s="48" customFormat="1" x14ac:dyDescent="0.25">
      <c r="A15" s="306"/>
      <c r="B15" s="74" t="s">
        <v>57</v>
      </c>
      <c r="C15" s="64">
        <f>+C14*C10</f>
        <v>0</v>
      </c>
      <c r="D15" s="64">
        <f>+ROUND(D14*D10,2)</f>
        <v>57670.81</v>
      </c>
      <c r="E15" s="64">
        <f>+ROUND(E14*E10,2)</f>
        <v>51199.34</v>
      </c>
      <c r="F15" s="64">
        <f>IF(F10="","",ROUND(F14*F10,2))</f>
        <v>48454.46</v>
      </c>
      <c r="G15" s="64">
        <f t="shared" ref="G15:Z15" si="182">IF(G10="","",ROUND(G14*G10,2))</f>
        <v>47961.66</v>
      </c>
      <c r="H15" s="64">
        <f t="shared" si="182"/>
        <v>56993.58</v>
      </c>
      <c r="I15" s="64">
        <f t="shared" si="182"/>
        <v>66068.81</v>
      </c>
      <c r="J15" s="64">
        <f t="shared" si="182"/>
        <v>66699.539999999994</v>
      </c>
      <c r="K15" s="64">
        <f t="shared" si="182"/>
        <v>59653.25</v>
      </c>
      <c r="L15" s="64">
        <f t="shared" si="182"/>
        <v>56484.08</v>
      </c>
      <c r="M15" s="64">
        <f t="shared" si="182"/>
        <v>50487.58</v>
      </c>
      <c r="N15" s="64">
        <f t="shared" si="182"/>
        <v>55758.36</v>
      </c>
      <c r="O15" s="64">
        <f t="shared" si="182"/>
        <v>80581.48</v>
      </c>
      <c r="P15" s="64">
        <f t="shared" si="182"/>
        <v>22915.75</v>
      </c>
      <c r="Q15" s="64">
        <f t="shared" si="182"/>
        <v>20081.22</v>
      </c>
      <c r="R15" s="64">
        <f t="shared" si="182"/>
        <v>19791.830000000002</v>
      </c>
      <c r="S15" s="64">
        <f t="shared" si="182"/>
        <v>17914.810000000001</v>
      </c>
      <c r="T15" s="64">
        <f t="shared" si="182"/>
        <v>22552.86</v>
      </c>
      <c r="U15" s="64">
        <f t="shared" si="182"/>
        <v>24883.18</v>
      </c>
      <c r="V15" s="64">
        <f t="shared" si="182"/>
        <v>23251.17</v>
      </c>
      <c r="W15" s="64">
        <f t="shared" si="182"/>
        <v>22846.74</v>
      </c>
      <c r="X15" s="64">
        <f t="shared" si="182"/>
        <v>20130.740000000002</v>
      </c>
      <c r="Y15" s="64">
        <f t="shared" si="182"/>
        <v>18136.46</v>
      </c>
      <c r="Z15" s="64">
        <f t="shared" si="182"/>
        <v>21919.72</v>
      </c>
      <c r="AA15" s="64">
        <f t="shared" ref="AA15:AC15" si="183">IF(AA10="","",ROUND(AA14*AA10,2))</f>
        <v>25229.34</v>
      </c>
      <c r="AB15" s="64">
        <f t="shared" si="183"/>
        <v>41190.97</v>
      </c>
      <c r="AC15" s="64">
        <f t="shared" si="183"/>
        <v>38787.67</v>
      </c>
      <c r="AD15" s="64">
        <f t="shared" ref="AD15:AM15" si="184">IF(AD10="","",ROUND(AD14*AD10,2))</f>
        <v>31443.78</v>
      </c>
      <c r="AE15" s="64">
        <f t="shared" si="184"/>
        <v>29644</v>
      </c>
      <c r="AF15" s="64">
        <f t="shared" si="184"/>
        <v>34609.08</v>
      </c>
      <c r="AG15" s="64">
        <f t="shared" si="184"/>
        <v>39585.75</v>
      </c>
      <c r="AH15" s="64">
        <f t="shared" si="184"/>
        <v>40683.480000000003</v>
      </c>
      <c r="AI15" s="64">
        <f t="shared" si="184"/>
        <v>39274.67</v>
      </c>
      <c r="AJ15" s="64">
        <f t="shared" si="184"/>
        <v>35394.61</v>
      </c>
      <c r="AK15" s="64">
        <f t="shared" si="184"/>
        <v>31714.62</v>
      </c>
      <c r="AL15" s="64">
        <f t="shared" si="184"/>
        <v>37264.32</v>
      </c>
      <c r="AM15" s="64">
        <f t="shared" si="184"/>
        <v>39738.61</v>
      </c>
      <c r="AN15" s="64">
        <f t="shared" ref="AN15:AO15" si="185">IF(AN10="","",ROUND(AN14*AN10,2))</f>
        <v>-259244.3</v>
      </c>
      <c r="AO15" s="64">
        <f t="shared" si="185"/>
        <v>-54461.07</v>
      </c>
      <c r="AP15" s="64">
        <f t="shared" ref="AP15:AQ15" si="186">IF(AP10="","",ROUND(AP14*AP10,2))</f>
        <v>-40308.699999999997</v>
      </c>
      <c r="AQ15" s="64">
        <f t="shared" si="186"/>
        <v>-36689.64</v>
      </c>
      <c r="AR15" s="64">
        <f t="shared" ref="AR15:AS15" si="187">IF(AR10="","",ROUND(AR14*AR10,2))</f>
        <v>-45879.44</v>
      </c>
      <c r="AS15" s="64">
        <f t="shared" si="187"/>
        <v>-57185.74</v>
      </c>
      <c r="AT15" s="64">
        <f t="shared" ref="AT15:AU15" si="188">IF(AT10="","",ROUND(AT14*AT10,2))</f>
        <v>-56277.09</v>
      </c>
      <c r="AU15" s="64">
        <f t="shared" si="188"/>
        <v>-53447.12</v>
      </c>
      <c r="AV15" s="64">
        <f t="shared" ref="AV15:AW15" si="189">IF(AV10="","",ROUND(AV14*AV10,2))</f>
        <v>-43395.75</v>
      </c>
      <c r="AW15" s="64">
        <f t="shared" si="189"/>
        <v>-43326.04</v>
      </c>
      <c r="AX15" s="64">
        <f t="shared" ref="AX15:AY15" si="190">IF(AX10="","",ROUND(AX14*AX10,2))</f>
        <v>-49988.83</v>
      </c>
      <c r="AY15" s="64">
        <f t="shared" si="190"/>
        <v>-59615.22</v>
      </c>
      <c r="AZ15" s="64">
        <f t="shared" ref="AZ15:BA15" si="191">IF(AZ10="","",ROUND(AZ14*AZ10,2))</f>
        <v>-2335.62</v>
      </c>
      <c r="BA15" s="64">
        <f t="shared" si="191"/>
        <v>-104083.7</v>
      </c>
      <c r="BB15" s="64">
        <f t="shared" ref="BB15:BC15" si="192">IF(BB10="","",ROUND(BB14*BB10,2))</f>
        <v>-82832.47</v>
      </c>
      <c r="BC15" s="64">
        <f t="shared" si="192"/>
        <v>-81630.89</v>
      </c>
      <c r="BD15" s="64">
        <f t="shared" ref="BD15:BE15" si="193">IF(BD10="","",ROUND(BD14*BD10,2))</f>
        <v>-96732.3</v>
      </c>
      <c r="BE15" s="64">
        <f t="shared" si="193"/>
        <v>-113949.84</v>
      </c>
      <c r="BF15" s="64">
        <f t="shared" ref="BF15:BG15" si="194">IF(BF10="","",ROUND(BF14*BF10,2))</f>
        <v>-114477</v>
      </c>
      <c r="BG15" s="64">
        <f t="shared" si="194"/>
        <v>-115688.1</v>
      </c>
      <c r="BH15" s="64">
        <f t="shared" ref="BH15:BI15" si="195">IF(BH10="","",ROUND(BH14*BH10,2))</f>
        <v>-96527.89</v>
      </c>
      <c r="BI15" s="64">
        <f t="shared" si="195"/>
        <v>-86249.99</v>
      </c>
      <c r="BJ15" s="64">
        <f t="shared" ref="BJ15:BK15" si="196">IF(BJ10="","",ROUND(BJ14*BJ10,2))</f>
        <v>-98347.18</v>
      </c>
      <c r="BK15" s="64">
        <f t="shared" si="196"/>
        <v>-116084.16</v>
      </c>
      <c r="BL15" s="64">
        <f t="shared" ref="BL15:BM15" si="197">IF(BL10="","",ROUND(BL14*BL10,2))</f>
        <v>-72696.31</v>
      </c>
      <c r="BM15" s="64">
        <f t="shared" si="197"/>
        <v>-3930.01</v>
      </c>
      <c r="BN15" s="64">
        <f t="shared" ref="BN15:BO15" si="198">IF(BN10="","",ROUND(BN14*BN10,2))</f>
        <v>-3532.61</v>
      </c>
      <c r="BO15" s="64">
        <f t="shared" si="198"/>
        <v>-3250.65</v>
      </c>
      <c r="BP15" s="64">
        <f t="shared" ref="BP15:BQ15" si="199">IF(BP10="","",ROUND(BP14*BP10,2))</f>
        <v>-3684.79</v>
      </c>
      <c r="BQ15" s="64">
        <f t="shared" si="199"/>
        <v>-4244.25</v>
      </c>
      <c r="BR15" s="64">
        <f t="shared" ref="BR15:BS15" si="200">IF(BR10="","",ROUND(BR14*BR10,2))</f>
        <v>-4450.8100000000004</v>
      </c>
      <c r="BS15" s="64">
        <f t="shared" si="200"/>
        <v>-4045.9</v>
      </c>
      <c r="BT15" s="64">
        <f t="shared" ref="BT15:BU15" si="201">IF(BT10="","",ROUND(BT14*BT10,2))</f>
        <v>-3372.86</v>
      </c>
      <c r="BU15" s="64">
        <f t="shared" si="201"/>
        <v>-3221.24</v>
      </c>
      <c r="BV15" s="64">
        <f t="shared" ref="BV15:BW15" si="202">IF(BV10="","",ROUND(BV14*BV10,2))</f>
        <v>-3921.68</v>
      </c>
      <c r="BW15" s="64">
        <f t="shared" si="202"/>
        <v>-4514.43</v>
      </c>
      <c r="BX15" s="64">
        <f t="shared" ref="BX15:BY15" si="203">IF(BX10="","",ROUND(BX14*BX10,2))</f>
        <v>-58.87</v>
      </c>
      <c r="BY15" s="64">
        <f t="shared" si="203"/>
        <v>4613.01</v>
      </c>
      <c r="BZ15" s="64">
        <f t="shared" ref="BZ15:CA15" si="204">IF(BZ10="","",ROUND(BZ14*BZ10,2))</f>
        <v>4219.75</v>
      </c>
      <c r="CA15" s="64">
        <f t="shared" si="204"/>
        <v>3905.78</v>
      </c>
      <c r="CB15" s="64">
        <f t="shared" ref="CB15:CC15" si="205">IF(CB10="","",ROUND(CB14*CB10,2))</f>
        <v>4751.55</v>
      </c>
      <c r="CC15" s="64">
        <f t="shared" si="205"/>
        <v>5463.54</v>
      </c>
      <c r="CD15" s="64">
        <f t="shared" ref="CD15:CE15" si="206">IF(CD10="","",ROUND(CD14*CD10,2))</f>
        <v>5606.45</v>
      </c>
      <c r="CE15" s="64">
        <f t="shared" si="206"/>
        <v>5658.03</v>
      </c>
      <c r="CF15" s="64">
        <f t="shared" ref="CF15:CG15" si="207">IF(CF10="","",ROUND(CF14*CF10,2))</f>
        <v>4599.68</v>
      </c>
      <c r="CG15" s="64">
        <f t="shared" si="207"/>
        <v>4218.8100000000004</v>
      </c>
      <c r="CH15" s="64">
        <f t="shared" ref="CH15:CI15" si="208">IF(CH10="","",ROUND(CH14*CH10,2))</f>
        <v>4872.8999999999996</v>
      </c>
      <c r="CI15" s="64">
        <f t="shared" si="208"/>
        <v>5883.72</v>
      </c>
    </row>
    <row r="16" spans="1:87" s="48" customFormat="1" ht="9" customHeight="1" x14ac:dyDescent="0.25">
      <c r="A16" s="77"/>
      <c r="B16" s="7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row>
    <row r="17" spans="1:87" x14ac:dyDescent="0.25">
      <c r="A17" s="306" t="s">
        <v>35</v>
      </c>
      <c r="B17" s="73" t="s">
        <v>53</v>
      </c>
      <c r="C17" s="63">
        <f>+'MEEIA 2 calcs'!O48</f>
        <v>63808.639999999999</v>
      </c>
      <c r="D17" s="63">
        <f>+'MEEIA 2 calcs'!P48</f>
        <v>334912.75</v>
      </c>
      <c r="E17" s="63">
        <f>+'MEEIA 2 calcs'!Q48</f>
        <v>311859.65000000002</v>
      </c>
      <c r="F17" s="63">
        <f>+'M2 Allocations - TD'!Q52</f>
        <v>306431.03999999998</v>
      </c>
      <c r="G17" s="63">
        <f>IF(+'M2 Allocations - TD'!R52="","",'M2 Allocations - TD'!R52)</f>
        <v>315079.21999999997</v>
      </c>
      <c r="H17" s="63">
        <f>IF(+'M2 Allocations - TD'!S52="","",'M2 Allocations - TD'!S52)</f>
        <v>357143.49</v>
      </c>
      <c r="I17" s="63">
        <f>IF(+'M2 Allocations - TD'!T52="","",'M2 Allocations - TD'!T52)</f>
        <v>388918.74</v>
      </c>
      <c r="J17" s="63">
        <f>IF(+'M2 Allocations - TD'!U52="","",'M2 Allocations - TD'!U52)</f>
        <v>396209.91</v>
      </c>
      <c r="K17" s="63">
        <f>IF(+'M2 Allocations - TD'!V52="","",'M2 Allocations - TD'!V52)</f>
        <v>373506.75</v>
      </c>
      <c r="L17" s="63">
        <f>IF(+'M2 Allocations - TD'!W52="","",'M2 Allocations - TD'!W52)</f>
        <v>358646.38</v>
      </c>
      <c r="M17" s="63">
        <f>IF(+'M2 Allocations - TD'!X52="","",'M2 Allocations - TD'!X52)</f>
        <v>321927.84000000003</v>
      </c>
      <c r="N17" s="63">
        <f>IF(+'M2 Allocations - TD'!Y52="","",'M2 Allocations - TD'!Y52)</f>
        <v>337190.07</v>
      </c>
      <c r="O17" s="63">
        <f>IF(+'M2 Allocations - TD'!Z52="","",'M2 Allocations - TD'!Z52)</f>
        <v>406112.33</v>
      </c>
      <c r="P17" s="63">
        <f>IF(+'M2 Allocations - TD'!AA52="","",'M2 Allocations - TD'!AA52)</f>
        <v>569283.56999999995</v>
      </c>
      <c r="Q17" s="63">
        <f>IF(+'M2 Allocations - TD'!AB52="","",'M2 Allocations - TD'!AB52)</f>
        <v>530638.37</v>
      </c>
      <c r="R17" s="63">
        <f>IF(+'M2 Allocations - TD'!AC52="","",'M2 Allocations - TD'!AC52)</f>
        <v>535419.43000000005</v>
      </c>
      <c r="S17" s="63">
        <f>IF(+'M2 Allocations - TD'!AD52="","",'M2 Allocations - TD'!AD52)</f>
        <v>530865.09</v>
      </c>
      <c r="T17" s="63">
        <f>IF(+'M2 Allocations - TD'!AE52="","",'M2 Allocations - TD'!AE52)</f>
        <v>632987.31999999995</v>
      </c>
      <c r="U17" s="63">
        <f>IF(+'M2 Allocations - TD'!AF52="","",'M2 Allocations - TD'!AF52)</f>
        <v>672168.03</v>
      </c>
      <c r="V17" s="63">
        <f>IF(+'M2 Allocations - TD'!AG52="","",'M2 Allocations - TD'!AG52)</f>
        <v>636130.80000000005</v>
      </c>
      <c r="W17" s="63">
        <f>IF(+'M2 Allocations - TD'!AH52="","",'M2 Allocations - TD'!AH52)</f>
        <v>647286.31999999995</v>
      </c>
      <c r="X17" s="63">
        <f>IF(+'M2 Allocations - TD'!AI52="","",'M2 Allocations - TD'!AI52)</f>
        <v>588134.43000000005</v>
      </c>
      <c r="Y17" s="63">
        <f>IF(+'M2 Allocations - TD'!AJ52="","",'M2 Allocations - TD'!AJ52)</f>
        <v>523066.9</v>
      </c>
      <c r="Z17" s="63">
        <f>IF(+'M2 Allocations - TD'!AK52="","",'M2 Allocations - TD'!AK52)</f>
        <v>569652.57999999996</v>
      </c>
      <c r="AA17" s="63">
        <f>IF(+'M2 Allocations - TD'!AL52="","",'M2 Allocations - TD'!AL52)</f>
        <v>622149.86</v>
      </c>
      <c r="AB17" s="63">
        <f>IF(+'M2 Allocations - TD'!AM52="","",'M2 Allocations - TD'!AM52)</f>
        <v>1121084.3899999999</v>
      </c>
      <c r="AC17" s="63">
        <f>IF(+'M2 Allocations - TD'!AN52="","",'M2 Allocations - TD'!AN52)</f>
        <v>1064143.96</v>
      </c>
      <c r="AD17" s="63">
        <f>IF(+'M2 Allocations - TD'!AO52="","",'M2 Allocations - TD'!AO52)</f>
        <v>956310.33</v>
      </c>
      <c r="AE17" s="63">
        <f>IF(+'M2 Allocations - TD'!AP52="","",'M2 Allocations - TD'!AP52)</f>
        <v>988397.62</v>
      </c>
      <c r="AF17" s="63">
        <f>IF(+'M2 Allocations - TD'!AQ52="","",'M2 Allocations - TD'!AQ52)</f>
        <v>1099738.51</v>
      </c>
      <c r="AG17" s="63">
        <f>IF(+'M2 Allocations - TD'!AR52="","",'M2 Allocations - TD'!AR52)</f>
        <v>1183208.1399999999</v>
      </c>
      <c r="AH17" s="63">
        <f>IF(+'M2 Allocations - TD'!AS52="","",'M2 Allocations - TD'!AS52)</f>
        <v>1210589.8</v>
      </c>
      <c r="AI17" s="63">
        <f>IF(+'M2 Allocations - TD'!AT52="","",'M2 Allocations - TD'!AT52)</f>
        <v>1222150.02</v>
      </c>
      <c r="AJ17" s="63">
        <f>IF(+'M2 Allocations - TD'!AU52="","",'M2 Allocations - TD'!AU52)</f>
        <v>1122226.3600000001</v>
      </c>
      <c r="AK17" s="63">
        <f>IF(+'M2 Allocations - TD'!AV52="","",'M2 Allocations - TD'!AV52)</f>
        <v>990572.78</v>
      </c>
      <c r="AL17" s="63">
        <f>IF(+'M2 Allocations - TD'!AW52="","",'M2 Allocations - TD'!AW52)</f>
        <v>1074771.6100000001</v>
      </c>
      <c r="AM17" s="63">
        <f>IF(+'M2 Allocations - TD'!AX52="","",'M2 Allocations - TD'!AX52)</f>
        <v>1111703.5</v>
      </c>
      <c r="AN17" s="63">
        <f>IF(+'M2 Allocations - TD'!AY52="","",'M2 Allocations - TD'!AY52)</f>
        <v>772025.26</v>
      </c>
      <c r="AO17" s="63">
        <f>IF(+'M2 Allocations - TD'!AZ52="","",'M2 Allocations - TD'!AZ52)</f>
        <v>319798.53000000003</v>
      </c>
      <c r="AP17" s="63">
        <f>IF(+'M2 Allocations - TD'!BA52="","",'M2 Allocations - TD'!BA52)</f>
        <v>269033.2</v>
      </c>
      <c r="AQ17" s="63">
        <f>IF(+'M2 Allocations - TD'!BB52="","",'M2 Allocations - TD'!BB52)</f>
        <v>249777.14</v>
      </c>
      <c r="AR17" s="63">
        <f>IF(+'M2 Allocations - TD'!BC52="","",'M2 Allocations - TD'!BC52)</f>
        <v>297315.93</v>
      </c>
      <c r="AS17" s="63">
        <f>IF(+'M2 Allocations - TD'!BD52="","",'M2 Allocations - TD'!BD52)</f>
        <v>347144.51</v>
      </c>
      <c r="AT17" s="63">
        <f>IF(+'M2 Allocations - TD'!BE52="","",'M2 Allocations - TD'!BE52)</f>
        <v>345440.09</v>
      </c>
      <c r="AU17" s="63">
        <f>IF(+'M2 Allocations - TD'!BF52="","",'M2 Allocations - TD'!BF52)</f>
        <v>344230.11</v>
      </c>
      <c r="AV17" s="63">
        <f>IF(+'M2 Allocations - TD'!BG52="","",'M2 Allocations - TD'!BG52)</f>
        <v>293731.96999999997</v>
      </c>
      <c r="AW17" s="63">
        <f>IF(+'M2 Allocations - TD'!BH52="","",'M2 Allocations - TD'!BH52)</f>
        <v>286094.82</v>
      </c>
      <c r="AX17" s="63">
        <f>IF(+'M2 Allocations - TD'!BI52="","",'M2 Allocations - TD'!BI52)</f>
        <v>307534.57</v>
      </c>
      <c r="AY17" s="63">
        <f>IF(+'M2 Allocations - TD'!BJ52="","",'M2 Allocations - TD'!BJ52)</f>
        <v>329595.59000000003</v>
      </c>
      <c r="AZ17" s="63">
        <f>IF(+'M2 Allocations - TD'!BK52="","",'M2 Allocations - TD'!BK52)</f>
        <v>128230.92</v>
      </c>
      <c r="BA17" s="63">
        <f>IF(+'M2 Allocations - TD'!BL52="","",'M2 Allocations - TD'!BL52)</f>
        <v>-119113.36</v>
      </c>
      <c r="BB17" s="63">
        <f>IF(+'M2 Allocations - TD'!BM52="","",'M2 Allocations - TD'!BM52)</f>
        <v>-106709.26</v>
      </c>
      <c r="BC17" s="63">
        <f>IF(+'M2 Allocations - TD'!BN52="","",'M2 Allocations - TD'!BN52)</f>
        <v>-108656.28</v>
      </c>
      <c r="BD17" s="63">
        <f>IF(+'M2 Allocations - TD'!BO52="","",'M2 Allocations - TD'!BO52)</f>
        <v>-121205.96</v>
      </c>
      <c r="BE17" s="63">
        <f>IF(+'M2 Allocations - TD'!BP52="","",'M2 Allocations - TD'!BP52)</f>
        <v>-141073.82999999999</v>
      </c>
      <c r="BF17" s="63">
        <f>IF(+'M2 Allocations - TD'!BQ52="","",'M2 Allocations - TD'!BQ52)</f>
        <v>-140301.07</v>
      </c>
      <c r="BG17" s="63">
        <f>IF(+'M2 Allocations - TD'!BR52="","",'M2 Allocations - TD'!BR52)</f>
        <v>-142985.78</v>
      </c>
      <c r="BH17" s="63">
        <f>IF(+'M2 Allocations - TD'!BS52="","",'M2 Allocations - TD'!BS52)</f>
        <v>-125672.79</v>
      </c>
      <c r="BI17" s="63">
        <f>IF(+'M2 Allocations - TD'!BT52="","",'M2 Allocations - TD'!BT52)</f>
        <v>-111672.41</v>
      </c>
      <c r="BJ17" s="63">
        <f>IF(+'M2 Allocations - TD'!BU52="","",'M2 Allocations - TD'!BU52)</f>
        <v>-122048.8</v>
      </c>
      <c r="BK17" s="63">
        <f>IF(+'M2 Allocations - TD'!BV52="","",'M2 Allocations - TD'!BV52)</f>
        <v>-130402.9</v>
      </c>
      <c r="BL17" s="63">
        <f>IF(+'M2 Allocations - TD'!BW52="","",'M2 Allocations - TD'!BW52)</f>
        <v>-91979.27</v>
      </c>
      <c r="BM17" s="63">
        <f>IF(+'M2 Allocations - TD'!BX52="","",'M2 Allocations - TD'!BX52)</f>
        <v>-29965.9</v>
      </c>
      <c r="BN17" s="63">
        <f>IF(+'M2 Allocations - TD'!BY52="","",'M2 Allocations - TD'!BY52)</f>
        <v>-27757.9</v>
      </c>
      <c r="BO17" s="63">
        <f>IF(+'M2 Allocations - TD'!BZ52="","",'M2 Allocations - TD'!BZ52)</f>
        <v>-28438.25</v>
      </c>
      <c r="BP17" s="63">
        <f>IF(+'M2 Allocations - TD'!CA52="","",'M2 Allocations - TD'!CA52)</f>
        <v>-31790.6</v>
      </c>
      <c r="BQ17" s="63">
        <f>IF(+'M2 Allocations - TD'!CB52="","",'M2 Allocations - TD'!CB52)</f>
        <v>-36362.75</v>
      </c>
      <c r="BR17" s="63">
        <f>IF(+'M2 Allocations - TD'!CC52="","",'M2 Allocations - TD'!CC52)</f>
        <v>-35481.11</v>
      </c>
      <c r="BS17" s="63">
        <f>IF(+'M2 Allocations - TD'!CD52="","",'M2 Allocations - TD'!CD52)</f>
        <v>-33868.720000000001</v>
      </c>
      <c r="BT17" s="63">
        <f>IF(+'M2 Allocations - TD'!CE52="","",'M2 Allocations - TD'!CE52)</f>
        <v>-29154.44</v>
      </c>
      <c r="BU17" s="63">
        <f>IF(+'M2 Allocations - TD'!CF52="","",'M2 Allocations - TD'!CF52)</f>
        <v>-27512.63</v>
      </c>
      <c r="BV17" s="63">
        <f>IF(+'M2 Allocations - TD'!CG52="","",'M2 Allocations - TD'!CG52)</f>
        <v>-31793.77</v>
      </c>
      <c r="BW17" s="63">
        <f>IF(+'M2 Allocations - TD'!CH52="","",'M2 Allocations - TD'!CH52)</f>
        <v>-32743.360000000001</v>
      </c>
      <c r="BX17" s="63">
        <f>IF(+'M2 Allocations - TD'!CI52="","",'M2 Allocations - TD'!CI52)</f>
        <v>-16554.349999999999</v>
      </c>
      <c r="BY17" s="63">
        <f>IF(+'M2 Allocations - TD'!CJ52="","",'M2 Allocations - TD'!CJ52)</f>
        <v>3415.88</v>
      </c>
      <c r="BZ17" s="63">
        <f>IF(+'M2 Allocations - TD'!CK52="","",'M2 Allocations - TD'!CK52)</f>
        <v>3374.69</v>
      </c>
      <c r="CA17" s="63">
        <f>IF(+'M2 Allocations - TD'!CL52="","",'M2 Allocations - TD'!CL52)</f>
        <v>3515.72</v>
      </c>
      <c r="CB17" s="63">
        <f>IF(+'M2 Allocations - TD'!CM52="","",'M2 Allocations - TD'!CM52)</f>
        <v>3850.08</v>
      </c>
      <c r="CC17" s="63">
        <f>IF(+'M2 Allocations - TD'!CN52="","",'M2 Allocations - TD'!CN52)</f>
        <v>4146.47</v>
      </c>
      <c r="CD17" s="63">
        <f>IF(+'M2 Allocations - TD'!CO52="","",'M2 Allocations - TD'!CO52)</f>
        <v>4258.54</v>
      </c>
      <c r="CE17" s="63">
        <f>IF(+'M2 Allocations - TD'!CP52="","",'M2 Allocations - TD'!CP52)</f>
        <v>4280.59</v>
      </c>
      <c r="CF17" s="63">
        <f>IF(+'M2 Allocations - TD'!CQ52="","",'M2 Allocations - TD'!CQ52)</f>
        <v>3781.21</v>
      </c>
      <c r="CG17" s="63">
        <f>IF(+'M2 Allocations - TD'!CR52="","",'M2 Allocations - TD'!CR52)</f>
        <v>3485</v>
      </c>
      <c r="CH17" s="63">
        <f>IF(+'M2 Allocations - TD'!CS52="","",'M2 Allocations - TD'!CS52)</f>
        <v>3454.28</v>
      </c>
      <c r="CI17" s="63">
        <f>IF(+'M2 Allocations - TD'!CT52="","",'M2 Allocations - TD'!CT52)</f>
        <v>4096.0200000000004</v>
      </c>
    </row>
    <row r="18" spans="1:87" x14ac:dyDescent="0.25">
      <c r="A18" s="306"/>
      <c r="B18" s="73" t="s">
        <v>55</v>
      </c>
      <c r="C18" s="87">
        <v>6.2000000000000003E-5</v>
      </c>
      <c r="D18" s="87">
        <v>4.28E-4</v>
      </c>
      <c r="E18" s="71">
        <f>+D18</f>
        <v>4.28E-4</v>
      </c>
      <c r="F18" s="71">
        <f>IF(F17="","",E18)</f>
        <v>4.28E-4</v>
      </c>
      <c r="G18" s="71">
        <f t="shared" ref="G18:Z18" si="209">IF(G17="","",F18)</f>
        <v>4.28E-4</v>
      </c>
      <c r="H18" s="71">
        <f t="shared" si="209"/>
        <v>4.28E-4</v>
      </c>
      <c r="I18" s="71">
        <f t="shared" si="209"/>
        <v>4.28E-4</v>
      </c>
      <c r="J18" s="71">
        <f t="shared" si="209"/>
        <v>4.28E-4</v>
      </c>
      <c r="K18" s="71">
        <f t="shared" si="209"/>
        <v>4.28E-4</v>
      </c>
      <c r="L18" s="71">
        <f t="shared" si="209"/>
        <v>4.28E-4</v>
      </c>
      <c r="M18" s="71">
        <f t="shared" si="209"/>
        <v>4.28E-4</v>
      </c>
      <c r="N18" s="71">
        <f t="shared" si="209"/>
        <v>4.28E-4</v>
      </c>
      <c r="O18" s="71">
        <f t="shared" si="209"/>
        <v>4.28E-4</v>
      </c>
      <c r="P18" s="87">
        <v>9.6322685443095489E-4</v>
      </c>
      <c r="Q18" s="71">
        <f t="shared" si="209"/>
        <v>9.6322685443095489E-4</v>
      </c>
      <c r="R18" s="90">
        <f t="shared" si="209"/>
        <v>9.6322685443095489E-4</v>
      </c>
      <c r="S18" s="90">
        <f t="shared" si="209"/>
        <v>9.6322685443095489E-4</v>
      </c>
      <c r="T18" s="90">
        <f t="shared" si="209"/>
        <v>9.6322685443095489E-4</v>
      </c>
      <c r="U18" s="90">
        <f t="shared" si="209"/>
        <v>9.6322685443095489E-4</v>
      </c>
      <c r="V18" s="90">
        <f t="shared" si="209"/>
        <v>9.6322685443095489E-4</v>
      </c>
      <c r="W18" s="90">
        <f t="shared" si="209"/>
        <v>9.6322685443095489E-4</v>
      </c>
      <c r="X18" s="90">
        <f t="shared" si="209"/>
        <v>9.6322685443095489E-4</v>
      </c>
      <c r="Y18" s="90">
        <f t="shared" si="209"/>
        <v>9.6322685443095489E-4</v>
      </c>
      <c r="Z18" s="90">
        <f t="shared" si="209"/>
        <v>9.6322685443095489E-4</v>
      </c>
      <c r="AA18" s="90">
        <f t="shared" ref="AA18" si="210">IF(AA17="","",Z18)</f>
        <v>9.6322685443095489E-4</v>
      </c>
      <c r="AB18" s="87">
        <v>1.7376912608362781E-3</v>
      </c>
      <c r="AC18" s="71">
        <f t="shared" ref="AC18" si="211">IF(AC17="","",AB18)</f>
        <v>1.7376912608362781E-3</v>
      </c>
      <c r="AD18" s="71">
        <f t="shared" ref="AD18" si="212">IF(AD17="","",AC18)</f>
        <v>1.7376912608362781E-3</v>
      </c>
      <c r="AE18" s="71">
        <f t="shared" ref="AE18" si="213">IF(AE17="","",AD18)</f>
        <v>1.7376912608362781E-3</v>
      </c>
      <c r="AF18" s="71">
        <f t="shared" ref="AF18" si="214">IF(AF17="","",AE18)</f>
        <v>1.7376912608362781E-3</v>
      </c>
      <c r="AG18" s="71">
        <f t="shared" ref="AG18" si="215">IF(AG17="","",AF18)</f>
        <v>1.7376912608362781E-3</v>
      </c>
      <c r="AH18" s="71">
        <f t="shared" ref="AH18" si="216">IF(AH17="","",AG18)</f>
        <v>1.7376912608362781E-3</v>
      </c>
      <c r="AI18" s="71">
        <f t="shared" ref="AI18" si="217">IF(AI17="","",AH18)</f>
        <v>1.7376912608362781E-3</v>
      </c>
      <c r="AJ18" s="71">
        <f t="shared" ref="AJ18" si="218">IF(AJ17="","",AI18)</f>
        <v>1.7376912608362781E-3</v>
      </c>
      <c r="AK18" s="71">
        <f t="shared" ref="AK18" si="219">IF(AK17="","",AJ18)</f>
        <v>1.7376912608362781E-3</v>
      </c>
      <c r="AL18" s="71">
        <f t="shared" ref="AL18" si="220">IF(AL17="","",AK18)</f>
        <v>1.7376912608362781E-3</v>
      </c>
      <c r="AM18" s="71">
        <f t="shared" ref="AM18" si="221">IF(AM17="","",AL18)</f>
        <v>1.7376912608362781E-3</v>
      </c>
      <c r="AN18" s="119">
        <v>4.5805746473138027E-4</v>
      </c>
      <c r="AO18" s="71">
        <f t="shared" ref="AO18:BK18" si="222">IF(AO17="","",AN18)</f>
        <v>4.5805746473138027E-4</v>
      </c>
      <c r="AP18" s="71">
        <f t="shared" si="222"/>
        <v>4.5805746473138027E-4</v>
      </c>
      <c r="AQ18" s="71">
        <f t="shared" si="222"/>
        <v>4.5805746473138027E-4</v>
      </c>
      <c r="AR18" s="71">
        <f t="shared" si="222"/>
        <v>4.5805746473138027E-4</v>
      </c>
      <c r="AS18" s="71">
        <f t="shared" si="222"/>
        <v>4.5805746473138027E-4</v>
      </c>
      <c r="AT18" s="71">
        <f t="shared" si="222"/>
        <v>4.5805746473138027E-4</v>
      </c>
      <c r="AU18" s="71">
        <f t="shared" si="222"/>
        <v>4.5805746473138027E-4</v>
      </c>
      <c r="AV18" s="71">
        <f t="shared" si="222"/>
        <v>4.5805746473138027E-4</v>
      </c>
      <c r="AW18" s="71">
        <f t="shared" si="222"/>
        <v>4.5805746473138027E-4</v>
      </c>
      <c r="AX18" s="71">
        <f t="shared" si="222"/>
        <v>4.5805746473138027E-4</v>
      </c>
      <c r="AY18" s="71">
        <f t="shared" si="222"/>
        <v>4.5805746473138027E-4</v>
      </c>
      <c r="AZ18" s="119">
        <v>4.6536199470864085E-5</v>
      </c>
      <c r="BA18" s="71">
        <f t="shared" si="222"/>
        <v>4.6536199470864085E-5</v>
      </c>
      <c r="BB18" s="71">
        <f t="shared" si="222"/>
        <v>4.6536199470864085E-5</v>
      </c>
      <c r="BC18" s="71">
        <f t="shared" si="222"/>
        <v>4.6536199470864085E-5</v>
      </c>
      <c r="BD18" s="71">
        <f t="shared" si="222"/>
        <v>4.6536199470864085E-5</v>
      </c>
      <c r="BE18" s="71">
        <f t="shared" si="222"/>
        <v>4.6536199470864085E-5</v>
      </c>
      <c r="BF18" s="71">
        <f t="shared" si="222"/>
        <v>4.6536199470864085E-5</v>
      </c>
      <c r="BG18" s="71">
        <f t="shared" si="222"/>
        <v>4.6536199470864085E-5</v>
      </c>
      <c r="BH18" s="71">
        <f t="shared" si="222"/>
        <v>4.6536199470864085E-5</v>
      </c>
      <c r="BI18" s="71">
        <f t="shared" si="222"/>
        <v>4.6536199470864085E-5</v>
      </c>
      <c r="BJ18" s="71">
        <f t="shared" si="222"/>
        <v>4.6536199470864085E-5</v>
      </c>
      <c r="BK18" s="71">
        <f t="shared" si="222"/>
        <v>4.6536199470864085E-5</v>
      </c>
      <c r="BL18" s="119">
        <v>1.4822440071275399E-6</v>
      </c>
      <c r="BM18" s="71">
        <f t="shared" ref="BM18:CI18" si="223">IF(BM17="","",BL18)</f>
        <v>1.4822440071275399E-6</v>
      </c>
      <c r="BN18" s="71">
        <f t="shared" si="223"/>
        <v>1.4822440071275399E-6</v>
      </c>
      <c r="BO18" s="71">
        <f t="shared" si="223"/>
        <v>1.4822440071275399E-6</v>
      </c>
      <c r="BP18" s="71">
        <f t="shared" si="223"/>
        <v>1.4822440071275399E-6</v>
      </c>
      <c r="BQ18" s="71">
        <f t="shared" si="223"/>
        <v>1.4822440071275399E-6</v>
      </c>
      <c r="BR18" s="71">
        <f t="shared" si="223"/>
        <v>1.4822440071275399E-6</v>
      </c>
      <c r="BS18" s="71">
        <f t="shared" si="223"/>
        <v>1.4822440071275399E-6</v>
      </c>
      <c r="BT18" s="71">
        <f t="shared" si="223"/>
        <v>1.4822440071275399E-6</v>
      </c>
      <c r="BU18" s="71">
        <f t="shared" si="223"/>
        <v>1.4822440071275399E-6</v>
      </c>
      <c r="BV18" s="71">
        <f t="shared" si="223"/>
        <v>1.4822440071275399E-6</v>
      </c>
      <c r="BW18" s="71">
        <f t="shared" si="223"/>
        <v>1.4822440071275399E-6</v>
      </c>
      <c r="BX18" s="119">
        <v>0</v>
      </c>
      <c r="BY18" s="71">
        <f t="shared" si="223"/>
        <v>0</v>
      </c>
      <c r="BZ18" s="71">
        <f t="shared" si="223"/>
        <v>0</v>
      </c>
      <c r="CA18" s="71">
        <f t="shared" si="223"/>
        <v>0</v>
      </c>
      <c r="CB18" s="71">
        <f t="shared" si="223"/>
        <v>0</v>
      </c>
      <c r="CC18" s="71">
        <f t="shared" si="223"/>
        <v>0</v>
      </c>
      <c r="CD18" s="71">
        <f t="shared" si="223"/>
        <v>0</v>
      </c>
      <c r="CE18" s="71">
        <f t="shared" si="223"/>
        <v>0</v>
      </c>
      <c r="CF18" s="71">
        <f t="shared" si="223"/>
        <v>0</v>
      </c>
      <c r="CG18" s="71">
        <f t="shared" si="223"/>
        <v>0</v>
      </c>
      <c r="CH18" s="71">
        <f t="shared" si="223"/>
        <v>0</v>
      </c>
      <c r="CI18" s="71">
        <f t="shared" si="223"/>
        <v>0</v>
      </c>
    </row>
    <row r="19" spans="1:87" x14ac:dyDescent="0.25">
      <c r="A19" s="306"/>
      <c r="B19" s="73" t="s">
        <v>54</v>
      </c>
      <c r="C19" s="42">
        <v>0</v>
      </c>
      <c r="D19" s="87">
        <v>1.17E-4</v>
      </c>
      <c r="E19" s="71">
        <f>+D19</f>
        <v>1.17E-4</v>
      </c>
      <c r="F19" s="71">
        <f>IF(F17="","",E19)</f>
        <v>1.17E-4</v>
      </c>
      <c r="G19" s="71">
        <f t="shared" ref="G19:Z19" si="224">IF(G17="","",F19)</f>
        <v>1.17E-4</v>
      </c>
      <c r="H19" s="71">
        <f t="shared" si="224"/>
        <v>1.17E-4</v>
      </c>
      <c r="I19" s="71">
        <f t="shared" si="224"/>
        <v>1.17E-4</v>
      </c>
      <c r="J19" s="71">
        <f t="shared" si="224"/>
        <v>1.17E-4</v>
      </c>
      <c r="K19" s="71">
        <f t="shared" si="224"/>
        <v>1.17E-4</v>
      </c>
      <c r="L19" s="71">
        <f t="shared" si="224"/>
        <v>1.17E-4</v>
      </c>
      <c r="M19" s="71">
        <f t="shared" si="224"/>
        <v>1.17E-4</v>
      </c>
      <c r="N19" s="71">
        <f t="shared" si="224"/>
        <v>1.17E-4</v>
      </c>
      <c r="O19" s="71">
        <f t="shared" si="224"/>
        <v>1.17E-4</v>
      </c>
      <c r="P19" s="91">
        <v>-6.5977518462868702E-5</v>
      </c>
      <c r="Q19" s="90">
        <f t="shared" si="224"/>
        <v>-6.5977518462868702E-5</v>
      </c>
      <c r="R19" s="90">
        <f t="shared" si="224"/>
        <v>-6.5977518462868702E-5</v>
      </c>
      <c r="S19" s="90">
        <f t="shared" si="224"/>
        <v>-6.5977518462868702E-5</v>
      </c>
      <c r="T19" s="90">
        <f t="shared" si="224"/>
        <v>-6.5977518462868702E-5</v>
      </c>
      <c r="U19" s="90">
        <f t="shared" si="224"/>
        <v>-6.5977518462868702E-5</v>
      </c>
      <c r="V19" s="90">
        <f t="shared" si="224"/>
        <v>-6.5977518462868702E-5</v>
      </c>
      <c r="W19" s="90">
        <f t="shared" si="224"/>
        <v>-6.5977518462868702E-5</v>
      </c>
      <c r="X19" s="90">
        <f t="shared" si="224"/>
        <v>-6.5977518462868702E-5</v>
      </c>
      <c r="Y19" s="90">
        <f t="shared" si="224"/>
        <v>-6.5977518462868702E-5</v>
      </c>
      <c r="Z19" s="90">
        <f t="shared" si="224"/>
        <v>-6.5977518462868702E-5</v>
      </c>
      <c r="AA19" s="90">
        <f t="shared" ref="AA19" si="225">IF(AA17="","",Z19)</f>
        <v>-6.5977518462868702E-5</v>
      </c>
      <c r="AB19" s="91">
        <v>6.4203213386111483E-5</v>
      </c>
      <c r="AC19" s="90">
        <f t="shared" ref="AC19" si="226">IF(AC17="","",AB19)</f>
        <v>6.4203213386111483E-5</v>
      </c>
      <c r="AD19" s="90">
        <f t="shared" ref="AD19" si="227">IF(AD17="","",AC19)</f>
        <v>6.4203213386111483E-5</v>
      </c>
      <c r="AE19" s="90">
        <f t="shared" ref="AE19" si="228">IF(AE17="","",AD19)</f>
        <v>6.4203213386111483E-5</v>
      </c>
      <c r="AF19" s="90">
        <f t="shared" ref="AF19" si="229">IF(AF17="","",AE19)</f>
        <v>6.4203213386111483E-5</v>
      </c>
      <c r="AG19" s="90">
        <f t="shared" ref="AG19" si="230">IF(AG17="","",AF19)</f>
        <v>6.4203213386111483E-5</v>
      </c>
      <c r="AH19" s="90">
        <f t="shared" ref="AH19" si="231">IF(AH17="","",AG19)</f>
        <v>6.4203213386111483E-5</v>
      </c>
      <c r="AI19" s="90">
        <f t="shared" ref="AI19" si="232">IF(AI17="","",AH19)</f>
        <v>6.4203213386111483E-5</v>
      </c>
      <c r="AJ19" s="90">
        <f t="shared" ref="AJ19" si="233">IF(AJ17="","",AI19)</f>
        <v>6.4203213386111483E-5</v>
      </c>
      <c r="AK19" s="90">
        <f t="shared" ref="AK19" si="234">IF(AK17="","",AJ19)</f>
        <v>6.4203213386111483E-5</v>
      </c>
      <c r="AL19" s="90">
        <f t="shared" ref="AL19" si="235">IF(AL17="","",AK19)</f>
        <v>6.4203213386111483E-5</v>
      </c>
      <c r="AM19" s="90">
        <f t="shared" ref="AM19" si="236">IF(AM17="","",AL19)</f>
        <v>6.4203213386111483E-5</v>
      </c>
      <c r="AN19" s="120">
        <v>9.7754935298837687E-5</v>
      </c>
      <c r="AO19" s="90">
        <f t="shared" ref="AO19:BK19" si="237">IF(AO17="","",AN19)</f>
        <v>9.7754935298837687E-5</v>
      </c>
      <c r="AP19" s="90">
        <f t="shared" si="237"/>
        <v>9.7754935298837687E-5</v>
      </c>
      <c r="AQ19" s="90">
        <f t="shared" si="237"/>
        <v>9.7754935298837687E-5</v>
      </c>
      <c r="AR19" s="90">
        <f t="shared" si="237"/>
        <v>9.7754935298837687E-5</v>
      </c>
      <c r="AS19" s="90">
        <f t="shared" si="237"/>
        <v>9.7754935298837687E-5</v>
      </c>
      <c r="AT19" s="90">
        <f t="shared" si="237"/>
        <v>9.7754935298837687E-5</v>
      </c>
      <c r="AU19" s="90">
        <f t="shared" si="237"/>
        <v>9.7754935298837687E-5</v>
      </c>
      <c r="AV19" s="90">
        <f t="shared" si="237"/>
        <v>9.7754935298837687E-5</v>
      </c>
      <c r="AW19" s="90">
        <f t="shared" si="237"/>
        <v>9.7754935298837687E-5</v>
      </c>
      <c r="AX19" s="90">
        <f t="shared" si="237"/>
        <v>9.7754935298837687E-5</v>
      </c>
      <c r="AY19" s="90">
        <f t="shared" si="237"/>
        <v>9.7754935298837687E-5</v>
      </c>
      <c r="AZ19" s="120">
        <v>-2.6792444489892511E-4</v>
      </c>
      <c r="BA19" s="90">
        <f t="shared" si="237"/>
        <v>-2.6792444489892511E-4</v>
      </c>
      <c r="BB19" s="90">
        <f>IF(BB17="","",BA19)</f>
        <v>-2.6792444489892511E-4</v>
      </c>
      <c r="BC19" s="90">
        <f t="shared" si="237"/>
        <v>-2.6792444489892511E-4</v>
      </c>
      <c r="BD19" s="90">
        <f t="shared" si="237"/>
        <v>-2.6792444489892511E-4</v>
      </c>
      <c r="BE19" s="90">
        <f t="shared" si="237"/>
        <v>-2.6792444489892511E-4</v>
      </c>
      <c r="BF19" s="90">
        <f t="shared" si="237"/>
        <v>-2.6792444489892511E-4</v>
      </c>
      <c r="BG19" s="90">
        <f t="shared" si="237"/>
        <v>-2.6792444489892511E-4</v>
      </c>
      <c r="BH19" s="90">
        <f t="shared" si="237"/>
        <v>-2.6792444489892511E-4</v>
      </c>
      <c r="BI19" s="90">
        <f t="shared" si="237"/>
        <v>-2.6792444489892511E-4</v>
      </c>
      <c r="BJ19" s="90">
        <f t="shared" si="237"/>
        <v>-2.6792444489892511E-4</v>
      </c>
      <c r="BK19" s="90">
        <f t="shared" si="237"/>
        <v>-2.6792444489892511E-4</v>
      </c>
      <c r="BL19" s="120">
        <v>-5.6490430642213007E-5</v>
      </c>
      <c r="BM19" s="90">
        <f t="shared" ref="BM19:CI19" si="238">IF(BM17="","",BL19)</f>
        <v>-5.6490430642213007E-5</v>
      </c>
      <c r="BN19" s="90">
        <f t="shared" si="238"/>
        <v>-5.6490430642213007E-5</v>
      </c>
      <c r="BO19" s="90">
        <f t="shared" si="238"/>
        <v>-5.6490430642213007E-5</v>
      </c>
      <c r="BP19" s="90">
        <f t="shared" si="238"/>
        <v>-5.6490430642213007E-5</v>
      </c>
      <c r="BQ19" s="90">
        <f t="shared" si="238"/>
        <v>-5.6490430642213007E-5</v>
      </c>
      <c r="BR19" s="90">
        <f t="shared" si="238"/>
        <v>-5.6490430642213007E-5</v>
      </c>
      <c r="BS19" s="90">
        <f t="shared" si="238"/>
        <v>-5.6490430642213007E-5</v>
      </c>
      <c r="BT19" s="90">
        <f t="shared" si="238"/>
        <v>-5.6490430642213007E-5</v>
      </c>
      <c r="BU19" s="90">
        <f t="shared" si="238"/>
        <v>-5.6490430642213007E-5</v>
      </c>
      <c r="BV19" s="90">
        <f t="shared" si="238"/>
        <v>-5.6490430642213007E-5</v>
      </c>
      <c r="BW19" s="90">
        <f t="shared" si="238"/>
        <v>-5.6490430642213007E-5</v>
      </c>
      <c r="BX19" s="120">
        <v>6.7396509981982239E-6</v>
      </c>
      <c r="BY19" s="90">
        <f t="shared" si="238"/>
        <v>6.7396509981982239E-6</v>
      </c>
      <c r="BZ19" s="90">
        <f t="shared" si="238"/>
        <v>6.7396509981982239E-6</v>
      </c>
      <c r="CA19" s="90">
        <f t="shared" si="238"/>
        <v>6.7396509981982239E-6</v>
      </c>
      <c r="CB19" s="90">
        <f t="shared" si="238"/>
        <v>6.7396509981982239E-6</v>
      </c>
      <c r="CC19" s="90">
        <f t="shared" si="238"/>
        <v>6.7396509981982239E-6</v>
      </c>
      <c r="CD19" s="90">
        <f t="shared" si="238"/>
        <v>6.7396509981982239E-6</v>
      </c>
      <c r="CE19" s="90">
        <f t="shared" si="238"/>
        <v>6.7396509981982239E-6</v>
      </c>
      <c r="CF19" s="90">
        <f t="shared" si="238"/>
        <v>6.7396509981982239E-6</v>
      </c>
      <c r="CG19" s="90">
        <f t="shared" si="238"/>
        <v>6.7396509981982239E-6</v>
      </c>
      <c r="CH19" s="90">
        <f t="shared" si="238"/>
        <v>6.7396509981982239E-6</v>
      </c>
      <c r="CI19" s="90">
        <f t="shared" si="238"/>
        <v>6.7396509981982239E-6</v>
      </c>
    </row>
    <row r="20" spans="1:87" x14ac:dyDescent="0.25">
      <c r="A20" s="306"/>
      <c r="B20" s="73" t="s">
        <v>63</v>
      </c>
      <c r="C20" s="62">
        <f>SUM(C18:C19)</f>
        <v>6.2000000000000003E-5</v>
      </c>
      <c r="D20" s="62">
        <f t="shared" ref="D20:E20" si="239">SUM(D18:D19)</f>
        <v>5.4500000000000002E-4</v>
      </c>
      <c r="E20" s="62">
        <f t="shared" si="239"/>
        <v>5.4500000000000002E-4</v>
      </c>
      <c r="F20" s="62">
        <f>IF(F17="","",SUM(F18:F19))</f>
        <v>5.4500000000000002E-4</v>
      </c>
      <c r="G20" s="62">
        <f t="shared" ref="G20:Z20" si="240">IF(G17="","",SUM(G18:G19))</f>
        <v>5.4500000000000002E-4</v>
      </c>
      <c r="H20" s="62">
        <f t="shared" si="240"/>
        <v>5.4500000000000002E-4</v>
      </c>
      <c r="I20" s="62">
        <f t="shared" si="240"/>
        <v>5.4500000000000002E-4</v>
      </c>
      <c r="J20" s="62">
        <f t="shared" si="240"/>
        <v>5.4500000000000002E-4</v>
      </c>
      <c r="K20" s="62">
        <f t="shared" si="240"/>
        <v>5.4500000000000002E-4</v>
      </c>
      <c r="L20" s="62">
        <f t="shared" si="240"/>
        <v>5.4500000000000002E-4</v>
      </c>
      <c r="M20" s="62">
        <f t="shared" si="240"/>
        <v>5.4500000000000002E-4</v>
      </c>
      <c r="N20" s="62">
        <f t="shared" si="240"/>
        <v>5.4500000000000002E-4</v>
      </c>
      <c r="O20" s="62">
        <f t="shared" si="240"/>
        <v>5.4500000000000002E-4</v>
      </c>
      <c r="P20" s="62">
        <f t="shared" si="240"/>
        <v>8.9724933596808617E-4</v>
      </c>
      <c r="Q20" s="62">
        <f t="shared" si="240"/>
        <v>8.9724933596808617E-4</v>
      </c>
      <c r="R20" s="62">
        <f t="shared" si="240"/>
        <v>8.9724933596808617E-4</v>
      </c>
      <c r="S20" s="62">
        <f t="shared" si="240"/>
        <v>8.9724933596808617E-4</v>
      </c>
      <c r="T20" s="62">
        <f t="shared" si="240"/>
        <v>8.9724933596808617E-4</v>
      </c>
      <c r="U20" s="62">
        <f t="shared" si="240"/>
        <v>8.9724933596808617E-4</v>
      </c>
      <c r="V20" s="62">
        <f t="shared" si="240"/>
        <v>8.9724933596808617E-4</v>
      </c>
      <c r="W20" s="62">
        <f t="shared" si="240"/>
        <v>8.9724933596808617E-4</v>
      </c>
      <c r="X20" s="62">
        <f t="shared" si="240"/>
        <v>8.9724933596808617E-4</v>
      </c>
      <c r="Y20" s="62">
        <f t="shared" si="240"/>
        <v>8.9724933596808617E-4</v>
      </c>
      <c r="Z20" s="62">
        <f t="shared" si="240"/>
        <v>8.9724933596808617E-4</v>
      </c>
      <c r="AA20" s="62">
        <f t="shared" ref="AA20:AC20" si="241">IF(AA17="","",SUM(AA18:AA19))</f>
        <v>8.9724933596808617E-4</v>
      </c>
      <c r="AB20" s="62">
        <f t="shared" si="241"/>
        <v>1.8018944742223895E-3</v>
      </c>
      <c r="AC20" s="62">
        <f t="shared" si="241"/>
        <v>1.8018944742223895E-3</v>
      </c>
      <c r="AD20" s="62">
        <f t="shared" ref="AD20:AM20" si="242">IF(AD17="","",SUM(AD18:AD19))</f>
        <v>1.8018944742223895E-3</v>
      </c>
      <c r="AE20" s="62">
        <f t="shared" si="242"/>
        <v>1.8018944742223895E-3</v>
      </c>
      <c r="AF20" s="62">
        <f t="shared" si="242"/>
        <v>1.8018944742223895E-3</v>
      </c>
      <c r="AG20" s="62">
        <f t="shared" si="242"/>
        <v>1.8018944742223895E-3</v>
      </c>
      <c r="AH20" s="62">
        <f t="shared" si="242"/>
        <v>1.8018944742223895E-3</v>
      </c>
      <c r="AI20" s="62">
        <f t="shared" si="242"/>
        <v>1.8018944742223895E-3</v>
      </c>
      <c r="AJ20" s="62">
        <f t="shared" si="242"/>
        <v>1.8018944742223895E-3</v>
      </c>
      <c r="AK20" s="62">
        <f t="shared" si="242"/>
        <v>1.8018944742223895E-3</v>
      </c>
      <c r="AL20" s="62">
        <f t="shared" si="242"/>
        <v>1.8018944742223895E-3</v>
      </c>
      <c r="AM20" s="62">
        <f t="shared" si="242"/>
        <v>1.8018944742223895E-3</v>
      </c>
      <c r="AN20" s="62">
        <f t="shared" ref="AN20:AO20" si="243">IF(AN17="","",SUM(AN18:AN19))</f>
        <v>5.5581240003021797E-4</v>
      </c>
      <c r="AO20" s="62">
        <f t="shared" si="243"/>
        <v>5.5581240003021797E-4</v>
      </c>
      <c r="AP20" s="62">
        <f t="shared" ref="AP20:AQ20" si="244">IF(AP17="","",SUM(AP18:AP19))</f>
        <v>5.5581240003021797E-4</v>
      </c>
      <c r="AQ20" s="62">
        <f t="shared" si="244"/>
        <v>5.5581240003021797E-4</v>
      </c>
      <c r="AR20" s="62">
        <f t="shared" ref="AR20:AS20" si="245">IF(AR17="","",SUM(AR18:AR19))</f>
        <v>5.5581240003021797E-4</v>
      </c>
      <c r="AS20" s="62">
        <f t="shared" si="245"/>
        <v>5.5581240003021797E-4</v>
      </c>
      <c r="AT20" s="62">
        <f t="shared" ref="AT20:AU20" si="246">IF(AT17="","",SUM(AT18:AT19))</f>
        <v>5.5581240003021797E-4</v>
      </c>
      <c r="AU20" s="62">
        <f t="shared" si="246"/>
        <v>5.5581240003021797E-4</v>
      </c>
      <c r="AV20" s="62">
        <f t="shared" ref="AV20:AW20" si="247">IF(AV17="","",SUM(AV18:AV19))</f>
        <v>5.5581240003021797E-4</v>
      </c>
      <c r="AW20" s="62">
        <f t="shared" si="247"/>
        <v>5.5581240003021797E-4</v>
      </c>
      <c r="AX20" s="62">
        <f t="shared" ref="AX20:AY20" si="248">IF(AX17="","",SUM(AX18:AX19))</f>
        <v>5.5581240003021797E-4</v>
      </c>
      <c r="AY20" s="62">
        <f t="shared" si="248"/>
        <v>5.5581240003021797E-4</v>
      </c>
      <c r="AZ20" s="62">
        <f t="shared" ref="AZ20:BA20" si="249">IF(AZ17="","",SUM(AZ18:AZ19))</f>
        <v>-2.2138824542806103E-4</v>
      </c>
      <c r="BA20" s="62">
        <f t="shared" si="249"/>
        <v>-2.2138824542806103E-4</v>
      </c>
      <c r="BB20" s="62">
        <f t="shared" ref="BB20:BC20" si="250">IF(BB17="","",SUM(BB18:BB19))</f>
        <v>-2.2138824542806103E-4</v>
      </c>
      <c r="BC20" s="62">
        <f t="shared" si="250"/>
        <v>-2.2138824542806103E-4</v>
      </c>
      <c r="BD20" s="62">
        <f t="shared" ref="BD20:BE20" si="251">IF(BD17="","",SUM(BD18:BD19))</f>
        <v>-2.2138824542806103E-4</v>
      </c>
      <c r="BE20" s="62">
        <f t="shared" si="251"/>
        <v>-2.2138824542806103E-4</v>
      </c>
      <c r="BF20" s="62">
        <f t="shared" ref="BF20:BG20" si="252">IF(BF17="","",SUM(BF18:BF19))</f>
        <v>-2.2138824542806103E-4</v>
      </c>
      <c r="BG20" s="62">
        <f t="shared" si="252"/>
        <v>-2.2138824542806103E-4</v>
      </c>
      <c r="BH20" s="62">
        <f t="shared" ref="BH20:BI20" si="253">IF(BH17="","",SUM(BH18:BH19))</f>
        <v>-2.2138824542806103E-4</v>
      </c>
      <c r="BI20" s="62">
        <f t="shared" si="253"/>
        <v>-2.2138824542806103E-4</v>
      </c>
      <c r="BJ20" s="62">
        <f t="shared" ref="BJ20:BK20" si="254">IF(BJ17="","",SUM(BJ18:BJ19))</f>
        <v>-2.2138824542806103E-4</v>
      </c>
      <c r="BK20" s="62">
        <f t="shared" si="254"/>
        <v>-2.2138824542806103E-4</v>
      </c>
      <c r="BL20" s="62">
        <f t="shared" ref="BL20:BM20" si="255">IF(BL17="","",SUM(BL18:BL19))</f>
        <v>-5.5008186635085464E-5</v>
      </c>
      <c r="BM20" s="62">
        <f t="shared" si="255"/>
        <v>-5.5008186635085464E-5</v>
      </c>
      <c r="BN20" s="62">
        <f t="shared" ref="BN20:BO20" si="256">IF(BN17="","",SUM(BN18:BN19))</f>
        <v>-5.5008186635085464E-5</v>
      </c>
      <c r="BO20" s="62">
        <f t="shared" si="256"/>
        <v>-5.5008186635085464E-5</v>
      </c>
      <c r="BP20" s="62">
        <f t="shared" ref="BP20:BQ20" si="257">IF(BP17="","",SUM(BP18:BP19))</f>
        <v>-5.5008186635085464E-5</v>
      </c>
      <c r="BQ20" s="62">
        <f t="shared" si="257"/>
        <v>-5.5008186635085464E-5</v>
      </c>
      <c r="BR20" s="62">
        <f t="shared" ref="BR20:BS20" si="258">IF(BR17="","",SUM(BR18:BR19))</f>
        <v>-5.5008186635085464E-5</v>
      </c>
      <c r="BS20" s="62">
        <f t="shared" si="258"/>
        <v>-5.5008186635085464E-5</v>
      </c>
      <c r="BT20" s="62">
        <f t="shared" ref="BT20:BU20" si="259">IF(BT17="","",SUM(BT18:BT19))</f>
        <v>-5.5008186635085464E-5</v>
      </c>
      <c r="BU20" s="62">
        <f t="shared" si="259"/>
        <v>-5.5008186635085464E-5</v>
      </c>
      <c r="BV20" s="62">
        <f t="shared" ref="BV20:BW20" si="260">IF(BV17="","",SUM(BV18:BV19))</f>
        <v>-5.5008186635085464E-5</v>
      </c>
      <c r="BW20" s="62">
        <f t="shared" si="260"/>
        <v>-5.5008186635085464E-5</v>
      </c>
      <c r="BX20" s="62">
        <f t="shared" ref="BX20:BY20" si="261">IF(BX17="","",SUM(BX18:BX19))</f>
        <v>6.7396509981982239E-6</v>
      </c>
      <c r="BY20" s="62">
        <f t="shared" si="261"/>
        <v>6.7396509981982239E-6</v>
      </c>
      <c r="BZ20" s="62">
        <f t="shared" ref="BZ20:CA20" si="262">IF(BZ17="","",SUM(BZ18:BZ19))</f>
        <v>6.7396509981982239E-6</v>
      </c>
      <c r="CA20" s="62">
        <f t="shared" si="262"/>
        <v>6.7396509981982239E-6</v>
      </c>
      <c r="CB20" s="62">
        <f t="shared" ref="CB20:CC20" si="263">IF(CB17="","",SUM(CB18:CB19))</f>
        <v>6.7396509981982239E-6</v>
      </c>
      <c r="CC20" s="62">
        <f t="shared" si="263"/>
        <v>6.7396509981982239E-6</v>
      </c>
      <c r="CD20" s="62">
        <f t="shared" ref="CD20:CE20" si="264">IF(CD17="","",SUM(CD18:CD19))</f>
        <v>6.7396509981982239E-6</v>
      </c>
      <c r="CE20" s="62">
        <f t="shared" si="264"/>
        <v>6.7396509981982239E-6</v>
      </c>
      <c r="CF20" s="62">
        <f t="shared" ref="CF20:CG20" si="265">IF(CF17="","",SUM(CF18:CF19))</f>
        <v>6.7396509981982239E-6</v>
      </c>
      <c r="CG20" s="62">
        <f t="shared" si="265"/>
        <v>6.7396509981982239E-6</v>
      </c>
      <c r="CH20" s="62">
        <f t="shared" ref="CH20:CI20" si="266">IF(CH17="","",SUM(CH18:CH19))</f>
        <v>6.7396509981982239E-6</v>
      </c>
      <c r="CI20" s="62">
        <f t="shared" si="266"/>
        <v>6.7396509981982239E-6</v>
      </c>
    </row>
    <row r="21" spans="1:87" x14ac:dyDescent="0.25">
      <c r="A21" s="306"/>
      <c r="B21" s="73" t="s">
        <v>56</v>
      </c>
      <c r="C21" s="66">
        <f>+C19/C20</f>
        <v>0</v>
      </c>
      <c r="D21" s="66">
        <f>+IFERROR(D19/D20,"")</f>
        <v>0.21467889908256879</v>
      </c>
      <c r="E21" s="66">
        <f>+IFERROR(E19/E20,"")</f>
        <v>0.21467889908256879</v>
      </c>
      <c r="F21" s="66">
        <f>IF(F17="","",IFERROR(F19/F20,""))</f>
        <v>0.21467889908256879</v>
      </c>
      <c r="G21" s="66">
        <f t="shared" ref="G21:Z21" si="267">IF(G17="","",IFERROR(G19/G20,""))</f>
        <v>0.21467889908256879</v>
      </c>
      <c r="H21" s="66">
        <f t="shared" si="267"/>
        <v>0.21467889908256879</v>
      </c>
      <c r="I21" s="66">
        <f t="shared" si="267"/>
        <v>0.21467889908256879</v>
      </c>
      <c r="J21" s="66">
        <f t="shared" si="267"/>
        <v>0.21467889908256879</v>
      </c>
      <c r="K21" s="66">
        <f t="shared" si="267"/>
        <v>0.21467889908256879</v>
      </c>
      <c r="L21" s="66">
        <f t="shared" si="267"/>
        <v>0.21467889908256879</v>
      </c>
      <c r="M21" s="66">
        <f t="shared" si="267"/>
        <v>0.21467889908256879</v>
      </c>
      <c r="N21" s="66">
        <f t="shared" si="267"/>
        <v>0.21467889908256879</v>
      </c>
      <c r="O21" s="66">
        <f t="shared" si="267"/>
        <v>0.21467889908256879</v>
      </c>
      <c r="P21" s="66">
        <f t="shared" si="267"/>
        <v>-7.3533092550781692E-2</v>
      </c>
      <c r="Q21" s="66">
        <f t="shared" si="267"/>
        <v>-7.3533092550781692E-2</v>
      </c>
      <c r="R21" s="66">
        <f t="shared" si="267"/>
        <v>-7.3533092550781692E-2</v>
      </c>
      <c r="S21" s="66">
        <f t="shared" si="267"/>
        <v>-7.3533092550781692E-2</v>
      </c>
      <c r="T21" s="66">
        <f t="shared" si="267"/>
        <v>-7.3533092550781692E-2</v>
      </c>
      <c r="U21" s="66">
        <f t="shared" si="267"/>
        <v>-7.3533092550781692E-2</v>
      </c>
      <c r="V21" s="66">
        <f t="shared" si="267"/>
        <v>-7.3533092550781692E-2</v>
      </c>
      <c r="W21" s="66">
        <f t="shared" si="267"/>
        <v>-7.3533092550781692E-2</v>
      </c>
      <c r="X21" s="66">
        <f t="shared" si="267"/>
        <v>-7.3533092550781692E-2</v>
      </c>
      <c r="Y21" s="66">
        <f t="shared" si="267"/>
        <v>-7.3533092550781692E-2</v>
      </c>
      <c r="Z21" s="66">
        <f t="shared" si="267"/>
        <v>-7.3533092550781692E-2</v>
      </c>
      <c r="AA21" s="66">
        <f t="shared" ref="AA21:AC21" si="268">IF(AA17="","",IFERROR(AA19/AA20,""))</f>
        <v>-7.3533092550781692E-2</v>
      </c>
      <c r="AB21" s="66">
        <f t="shared" si="268"/>
        <v>3.5630950815706608E-2</v>
      </c>
      <c r="AC21" s="66">
        <f t="shared" si="268"/>
        <v>3.5630950815706608E-2</v>
      </c>
      <c r="AD21" s="66">
        <f t="shared" ref="AD21:AM21" si="269">IF(AD17="","",IFERROR(AD19/AD20,""))</f>
        <v>3.5630950815706608E-2</v>
      </c>
      <c r="AE21" s="66">
        <f t="shared" si="269"/>
        <v>3.5630950815706608E-2</v>
      </c>
      <c r="AF21" s="66">
        <f t="shared" si="269"/>
        <v>3.5630950815706608E-2</v>
      </c>
      <c r="AG21" s="66">
        <f t="shared" si="269"/>
        <v>3.5630950815706608E-2</v>
      </c>
      <c r="AH21" s="66">
        <f t="shared" si="269"/>
        <v>3.5630950815706608E-2</v>
      </c>
      <c r="AI21" s="66">
        <f t="shared" si="269"/>
        <v>3.5630950815706608E-2</v>
      </c>
      <c r="AJ21" s="66">
        <f t="shared" si="269"/>
        <v>3.5630950815706608E-2</v>
      </c>
      <c r="AK21" s="66">
        <f t="shared" si="269"/>
        <v>3.5630950815706608E-2</v>
      </c>
      <c r="AL21" s="66">
        <f t="shared" si="269"/>
        <v>3.5630950815706608E-2</v>
      </c>
      <c r="AM21" s="66">
        <f t="shared" si="269"/>
        <v>3.5630950815706608E-2</v>
      </c>
      <c r="AN21" s="66">
        <f t="shared" ref="AN21:AO21" si="270">IF(AN17="","",IFERROR(AN19/AN20,""))</f>
        <v>0.17587757180934255</v>
      </c>
      <c r="AO21" s="66">
        <f t="shared" si="270"/>
        <v>0.17587757180934255</v>
      </c>
      <c r="AP21" s="66">
        <f t="shared" ref="AP21:AQ21" si="271">IF(AP17="","",IFERROR(AP19/AP20,""))</f>
        <v>0.17587757180934255</v>
      </c>
      <c r="AQ21" s="66">
        <f t="shared" si="271"/>
        <v>0.17587757180934255</v>
      </c>
      <c r="AR21" s="66">
        <f t="shared" ref="AR21:AS21" si="272">IF(AR17="","",IFERROR(AR19/AR20,""))</f>
        <v>0.17587757180934255</v>
      </c>
      <c r="AS21" s="66">
        <f t="shared" si="272"/>
        <v>0.17587757180934255</v>
      </c>
      <c r="AT21" s="66">
        <f t="shared" ref="AT21:AU21" si="273">IF(AT17="","",IFERROR(AT19/AT20,""))</f>
        <v>0.17587757180934255</v>
      </c>
      <c r="AU21" s="66">
        <f t="shared" si="273"/>
        <v>0.17587757180934255</v>
      </c>
      <c r="AV21" s="66">
        <f t="shared" ref="AV21:AW21" si="274">IF(AV17="","",IFERROR(AV19/AV20,""))</f>
        <v>0.17587757180934255</v>
      </c>
      <c r="AW21" s="66">
        <f t="shared" si="274"/>
        <v>0.17587757180934255</v>
      </c>
      <c r="AX21" s="66">
        <f t="shared" ref="AX21:AY21" si="275">IF(AX17="","",IFERROR(AX19/AX20,""))</f>
        <v>0.17587757180934255</v>
      </c>
      <c r="AY21" s="66">
        <f t="shared" si="275"/>
        <v>0.17587757180934255</v>
      </c>
      <c r="AZ21" s="66">
        <f t="shared" ref="AZ21:BA21" si="276">IF(AZ17="","",IFERROR(AZ19/AZ20,""))</f>
        <v>1.2102017628844066</v>
      </c>
      <c r="BA21" s="66">
        <f t="shared" si="276"/>
        <v>1.2102017628844066</v>
      </c>
      <c r="BB21" s="66">
        <f t="shared" ref="BB21:BC21" si="277">IF(BB17="","",IFERROR(BB19/BB20,""))</f>
        <v>1.2102017628844066</v>
      </c>
      <c r="BC21" s="66">
        <f t="shared" si="277"/>
        <v>1.2102017628844066</v>
      </c>
      <c r="BD21" s="66">
        <f t="shared" ref="BD21:BE21" si="278">IF(BD17="","",IFERROR(BD19/BD20,""))</f>
        <v>1.2102017628844066</v>
      </c>
      <c r="BE21" s="66">
        <f t="shared" si="278"/>
        <v>1.2102017628844066</v>
      </c>
      <c r="BF21" s="66">
        <f t="shared" ref="BF21:BG21" si="279">IF(BF17="","",IFERROR(BF19/BF20,""))</f>
        <v>1.2102017628844066</v>
      </c>
      <c r="BG21" s="66">
        <f t="shared" si="279"/>
        <v>1.2102017628844066</v>
      </c>
      <c r="BH21" s="66">
        <f t="shared" ref="BH21:BI21" si="280">IF(BH17="","",IFERROR(BH19/BH20,""))</f>
        <v>1.2102017628844066</v>
      </c>
      <c r="BI21" s="66">
        <f t="shared" si="280"/>
        <v>1.2102017628844066</v>
      </c>
      <c r="BJ21" s="66">
        <f t="shared" ref="BJ21:BK21" si="281">IF(BJ17="","",IFERROR(BJ19/BJ20,""))</f>
        <v>1.2102017628844066</v>
      </c>
      <c r="BK21" s="66">
        <f t="shared" si="281"/>
        <v>1.2102017628844066</v>
      </c>
      <c r="BL21" s="66">
        <f t="shared" ref="BL21:BM21" si="282">IF(BL17="","",IFERROR(BL19/BL20,""))</f>
        <v>1.0269458802007143</v>
      </c>
      <c r="BM21" s="66">
        <f t="shared" si="282"/>
        <v>1.0269458802007143</v>
      </c>
      <c r="BN21" s="66">
        <f t="shared" ref="BN21:BO21" si="283">IF(BN17="","",IFERROR(BN19/BN20,""))</f>
        <v>1.0269458802007143</v>
      </c>
      <c r="BO21" s="66">
        <f t="shared" si="283"/>
        <v>1.0269458802007143</v>
      </c>
      <c r="BP21" s="66">
        <f t="shared" ref="BP21:BQ21" si="284">IF(BP17="","",IFERROR(BP19/BP20,""))</f>
        <v>1.0269458802007143</v>
      </c>
      <c r="BQ21" s="66">
        <f t="shared" si="284"/>
        <v>1.0269458802007143</v>
      </c>
      <c r="BR21" s="66">
        <f t="shared" ref="BR21:BS21" si="285">IF(BR17="","",IFERROR(BR19/BR20,""))</f>
        <v>1.0269458802007143</v>
      </c>
      <c r="BS21" s="66">
        <f t="shared" si="285"/>
        <v>1.0269458802007143</v>
      </c>
      <c r="BT21" s="66">
        <f t="shared" ref="BT21:BU21" si="286">IF(BT17="","",IFERROR(BT19/BT20,""))</f>
        <v>1.0269458802007143</v>
      </c>
      <c r="BU21" s="66">
        <f t="shared" si="286"/>
        <v>1.0269458802007143</v>
      </c>
      <c r="BV21" s="66">
        <f t="shared" ref="BV21:BW21" si="287">IF(BV17="","",IFERROR(BV19/BV20,""))</f>
        <v>1.0269458802007143</v>
      </c>
      <c r="BW21" s="66">
        <f t="shared" si="287"/>
        <v>1.0269458802007143</v>
      </c>
      <c r="BX21" s="66">
        <f t="shared" ref="BX21:BY21" si="288">IF(BX17="","",IFERROR(BX19/BX20,""))</f>
        <v>1</v>
      </c>
      <c r="BY21" s="66">
        <f t="shared" si="288"/>
        <v>1</v>
      </c>
      <c r="BZ21" s="66">
        <f t="shared" ref="BZ21:CA21" si="289">IF(BZ17="","",IFERROR(BZ19/BZ20,""))</f>
        <v>1</v>
      </c>
      <c r="CA21" s="66">
        <f t="shared" si="289"/>
        <v>1</v>
      </c>
      <c r="CB21" s="66">
        <f t="shared" ref="CB21:CC21" si="290">IF(CB17="","",IFERROR(CB19/CB20,""))</f>
        <v>1</v>
      </c>
      <c r="CC21" s="66">
        <f t="shared" si="290"/>
        <v>1</v>
      </c>
      <c r="CD21" s="66">
        <f t="shared" ref="CD21:CE21" si="291">IF(CD17="","",IFERROR(CD19/CD20,""))</f>
        <v>1</v>
      </c>
      <c r="CE21" s="66">
        <f t="shared" si="291"/>
        <v>1</v>
      </c>
      <c r="CF21" s="66">
        <f t="shared" ref="CF21:CG21" si="292">IF(CF17="","",IFERROR(CF19/CF20,""))</f>
        <v>1</v>
      </c>
      <c r="CG21" s="66">
        <f t="shared" si="292"/>
        <v>1</v>
      </c>
      <c r="CH21" s="66">
        <f t="shared" ref="CH21:CI21" si="293">IF(CH17="","",IFERROR(CH19/CH20,""))</f>
        <v>1</v>
      </c>
      <c r="CI21" s="66">
        <f t="shared" si="293"/>
        <v>1</v>
      </c>
    </row>
    <row r="22" spans="1:87" s="48" customFormat="1" x14ac:dyDescent="0.25">
      <c r="A22" s="306"/>
      <c r="B22" s="74" t="s">
        <v>57</v>
      </c>
      <c r="C22" s="64">
        <f>+C21*C17</f>
        <v>0</v>
      </c>
      <c r="D22" s="64">
        <f>+ROUND(D21*D17,2)</f>
        <v>71898.7</v>
      </c>
      <c r="E22" s="64">
        <f>+ROUND(E21*E17,2)</f>
        <v>66949.69</v>
      </c>
      <c r="F22" s="64">
        <f>IF(F17="","",ROUND(F21*F17,2))</f>
        <v>65784.28</v>
      </c>
      <c r="G22" s="64">
        <f t="shared" ref="G22:Z22" si="294">IF(G17="","",ROUND(G21*G17,2))</f>
        <v>67640.86</v>
      </c>
      <c r="H22" s="64">
        <f t="shared" si="294"/>
        <v>76671.17</v>
      </c>
      <c r="I22" s="64">
        <f t="shared" si="294"/>
        <v>83492.649999999994</v>
      </c>
      <c r="J22" s="64">
        <f t="shared" si="294"/>
        <v>85057.91</v>
      </c>
      <c r="K22" s="64">
        <f t="shared" si="294"/>
        <v>80184.02</v>
      </c>
      <c r="L22" s="64">
        <f t="shared" si="294"/>
        <v>76993.81</v>
      </c>
      <c r="M22" s="64">
        <f t="shared" si="294"/>
        <v>69111.11</v>
      </c>
      <c r="N22" s="64">
        <f t="shared" si="294"/>
        <v>72387.59</v>
      </c>
      <c r="O22" s="64">
        <f t="shared" si="294"/>
        <v>87183.75</v>
      </c>
      <c r="P22" s="64">
        <f t="shared" si="294"/>
        <v>-41861.18</v>
      </c>
      <c r="Q22" s="64">
        <f t="shared" si="294"/>
        <v>-39019.480000000003</v>
      </c>
      <c r="R22" s="64">
        <f t="shared" si="294"/>
        <v>-39371.050000000003</v>
      </c>
      <c r="S22" s="64">
        <f t="shared" si="294"/>
        <v>-39036.15</v>
      </c>
      <c r="T22" s="64">
        <f t="shared" si="294"/>
        <v>-46545.52</v>
      </c>
      <c r="U22" s="64">
        <f t="shared" si="294"/>
        <v>-49426.59</v>
      </c>
      <c r="V22" s="64">
        <f t="shared" si="294"/>
        <v>-46776.66</v>
      </c>
      <c r="W22" s="64">
        <f t="shared" si="294"/>
        <v>-47596.959999999999</v>
      </c>
      <c r="X22" s="64">
        <f t="shared" si="294"/>
        <v>-43247.34</v>
      </c>
      <c r="Y22" s="64">
        <f t="shared" si="294"/>
        <v>-38462.730000000003</v>
      </c>
      <c r="Z22" s="64">
        <f t="shared" si="294"/>
        <v>-41888.32</v>
      </c>
      <c r="AA22" s="64">
        <f t="shared" ref="AA22:AC22" si="295">IF(AA17="","",ROUND(AA21*AA17,2))</f>
        <v>-45748.6</v>
      </c>
      <c r="AB22" s="64">
        <f t="shared" si="295"/>
        <v>39945.300000000003</v>
      </c>
      <c r="AC22" s="64">
        <f t="shared" si="295"/>
        <v>37916.46</v>
      </c>
      <c r="AD22" s="64">
        <f t="shared" ref="AD22:AM22" si="296">IF(AD17="","",ROUND(AD21*AD17,2))</f>
        <v>34074.25</v>
      </c>
      <c r="AE22" s="64">
        <f t="shared" si="296"/>
        <v>35217.550000000003</v>
      </c>
      <c r="AF22" s="64">
        <f t="shared" si="296"/>
        <v>39184.730000000003</v>
      </c>
      <c r="AG22" s="64">
        <f t="shared" si="296"/>
        <v>42158.83</v>
      </c>
      <c r="AH22" s="64">
        <f t="shared" si="296"/>
        <v>43134.47</v>
      </c>
      <c r="AI22" s="64">
        <f t="shared" si="296"/>
        <v>43546.37</v>
      </c>
      <c r="AJ22" s="64">
        <f t="shared" si="296"/>
        <v>39985.99</v>
      </c>
      <c r="AK22" s="64">
        <f t="shared" si="296"/>
        <v>35295.050000000003</v>
      </c>
      <c r="AL22" s="64">
        <f t="shared" si="296"/>
        <v>38295.129999999997</v>
      </c>
      <c r="AM22" s="64">
        <f t="shared" si="296"/>
        <v>39611.050000000003</v>
      </c>
      <c r="AN22" s="64">
        <f t="shared" ref="AN22:AO22" si="297">IF(AN17="","",ROUND(AN21*AN17,2))</f>
        <v>135781.93</v>
      </c>
      <c r="AO22" s="64">
        <f t="shared" si="297"/>
        <v>56245.39</v>
      </c>
      <c r="AP22" s="64">
        <f t="shared" ref="AP22:AQ22" si="298">IF(AP17="","",ROUND(AP21*AP17,2))</f>
        <v>47316.91</v>
      </c>
      <c r="AQ22" s="64">
        <f t="shared" si="298"/>
        <v>43930.2</v>
      </c>
      <c r="AR22" s="64">
        <f t="shared" ref="AR22:AS22" si="299">IF(AR17="","",ROUND(AR21*AR17,2))</f>
        <v>52291.199999999997</v>
      </c>
      <c r="AS22" s="64">
        <f t="shared" si="299"/>
        <v>61054.93</v>
      </c>
      <c r="AT22" s="64">
        <f t="shared" ref="AT22:AU22" si="300">IF(AT17="","",ROUND(AT21*AT17,2))</f>
        <v>60755.16</v>
      </c>
      <c r="AU22" s="64">
        <f t="shared" si="300"/>
        <v>60542.36</v>
      </c>
      <c r="AV22" s="64">
        <f t="shared" ref="AV22:AW22" si="301">IF(AV17="","",ROUND(AV21*AV17,2))</f>
        <v>51660.87</v>
      </c>
      <c r="AW22" s="64">
        <f t="shared" si="301"/>
        <v>50317.66</v>
      </c>
      <c r="AX22" s="64">
        <f t="shared" ref="AX22:AY22" si="302">IF(AX17="","",ROUND(AX21*AX17,2))</f>
        <v>54088.43</v>
      </c>
      <c r="AY22" s="64">
        <f t="shared" si="302"/>
        <v>57968.47</v>
      </c>
      <c r="AZ22" s="64">
        <f t="shared" ref="AZ22:BA22" si="303">IF(AZ17="","",ROUND(AZ21*AZ17,2))</f>
        <v>155185.29</v>
      </c>
      <c r="BA22" s="64">
        <f t="shared" si="303"/>
        <v>-144151.20000000001</v>
      </c>
      <c r="BB22" s="64">
        <f t="shared" ref="BB22:BC22" si="304">IF(BB17="","",ROUND(BB21*BB17,2))</f>
        <v>-129139.73</v>
      </c>
      <c r="BC22" s="64">
        <f t="shared" si="304"/>
        <v>-131496.01999999999</v>
      </c>
      <c r="BD22" s="64">
        <f t="shared" ref="BD22:BE22" si="305">IF(BD17="","",ROUND(BD21*BD17,2))</f>
        <v>-146683.67000000001</v>
      </c>
      <c r="BE22" s="64">
        <f t="shared" si="305"/>
        <v>-170727.8</v>
      </c>
      <c r="BF22" s="64">
        <f t="shared" ref="BF22:BG22" si="306">IF(BF17="","",ROUND(BF21*BF17,2))</f>
        <v>-169792.6</v>
      </c>
      <c r="BG22" s="64">
        <f t="shared" si="306"/>
        <v>-173041.64</v>
      </c>
      <c r="BH22" s="64">
        <f t="shared" ref="BH22:BI22" si="307">IF(BH17="","",ROUND(BH21*BH17,2))</f>
        <v>-152089.43</v>
      </c>
      <c r="BI22" s="64">
        <f t="shared" si="307"/>
        <v>-135146.15</v>
      </c>
      <c r="BJ22" s="64">
        <f t="shared" ref="BJ22:BK22" si="308">IF(BJ17="","",ROUND(BJ21*BJ17,2))</f>
        <v>-147703.67000000001</v>
      </c>
      <c r="BK22" s="64">
        <f t="shared" si="308"/>
        <v>-157813.82</v>
      </c>
      <c r="BL22" s="64">
        <f t="shared" ref="BL22:BM22" si="309">IF(BL17="","",ROUND(BL21*BL17,2))</f>
        <v>-94457.73</v>
      </c>
      <c r="BM22" s="64">
        <f t="shared" si="309"/>
        <v>-30773.360000000001</v>
      </c>
      <c r="BN22" s="64">
        <f t="shared" ref="BN22:BO22" si="310">IF(BN17="","",ROUND(BN21*BN17,2))</f>
        <v>-28505.86</v>
      </c>
      <c r="BO22" s="64">
        <f t="shared" si="310"/>
        <v>-29204.54</v>
      </c>
      <c r="BP22" s="64">
        <f t="shared" ref="BP22:BQ22" si="311">IF(BP17="","",ROUND(BP21*BP17,2))</f>
        <v>-32647.23</v>
      </c>
      <c r="BQ22" s="64">
        <f t="shared" si="311"/>
        <v>-37342.58</v>
      </c>
      <c r="BR22" s="64">
        <f t="shared" ref="BR22:BS22" si="312">IF(BR17="","",ROUND(BR21*BR17,2))</f>
        <v>-36437.18</v>
      </c>
      <c r="BS22" s="64">
        <f t="shared" si="312"/>
        <v>-34781.339999999997</v>
      </c>
      <c r="BT22" s="64">
        <f t="shared" ref="BT22:BU22" si="313">IF(BT17="","",ROUND(BT21*BT17,2))</f>
        <v>-29940.03</v>
      </c>
      <c r="BU22" s="64">
        <f t="shared" si="313"/>
        <v>-28253.98</v>
      </c>
      <c r="BV22" s="64">
        <f t="shared" ref="BV22:BW22" si="314">IF(BV17="","",ROUND(BV21*BV17,2))</f>
        <v>-32650.48</v>
      </c>
      <c r="BW22" s="64">
        <f t="shared" si="314"/>
        <v>-33625.660000000003</v>
      </c>
      <c r="BX22" s="64">
        <f t="shared" ref="BX22:BY22" si="315">IF(BX17="","",ROUND(BX21*BX17,2))</f>
        <v>-16554.349999999999</v>
      </c>
      <c r="BY22" s="64">
        <f t="shared" si="315"/>
        <v>3415.88</v>
      </c>
      <c r="BZ22" s="64">
        <f t="shared" ref="BZ22:CA22" si="316">IF(BZ17="","",ROUND(BZ21*BZ17,2))</f>
        <v>3374.69</v>
      </c>
      <c r="CA22" s="64">
        <f t="shared" si="316"/>
        <v>3515.72</v>
      </c>
      <c r="CB22" s="64">
        <f t="shared" ref="CB22:CC22" si="317">IF(CB17="","",ROUND(CB21*CB17,2))</f>
        <v>3850.08</v>
      </c>
      <c r="CC22" s="64">
        <f t="shared" si="317"/>
        <v>4146.47</v>
      </c>
      <c r="CD22" s="64">
        <f t="shared" ref="CD22:CE22" si="318">IF(CD17="","",ROUND(CD21*CD17,2))</f>
        <v>4258.54</v>
      </c>
      <c r="CE22" s="64">
        <f t="shared" si="318"/>
        <v>4280.59</v>
      </c>
      <c r="CF22" s="64">
        <f t="shared" ref="CF22:CG22" si="319">IF(CF17="","",ROUND(CF21*CF17,2))</f>
        <v>3781.21</v>
      </c>
      <c r="CG22" s="64">
        <f t="shared" si="319"/>
        <v>3485</v>
      </c>
      <c r="CH22" s="64">
        <f t="shared" ref="CH22:CI22" si="320">IF(CH17="","",ROUND(CH21*CH17,2))</f>
        <v>3454.28</v>
      </c>
      <c r="CI22" s="64">
        <f t="shared" si="320"/>
        <v>4096.0200000000004</v>
      </c>
    </row>
    <row r="23" spans="1:87" s="48" customFormat="1" ht="9" customHeight="1" x14ac:dyDescent="0.25">
      <c r="A23" s="77"/>
      <c r="B23" s="7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row>
    <row r="24" spans="1:87" x14ac:dyDescent="0.25">
      <c r="A24" s="306" t="s">
        <v>36</v>
      </c>
      <c r="B24" s="73" t="s">
        <v>53</v>
      </c>
      <c r="C24" s="63">
        <f>+'MEEIA 2 calcs'!O58</f>
        <v>31958.9</v>
      </c>
      <c r="D24" s="63">
        <f>+'MEEIA 2 calcs'!P58</f>
        <v>328456.91000000003</v>
      </c>
      <c r="E24" s="63">
        <f>+'MEEIA 2 calcs'!Q58</f>
        <v>267175.5</v>
      </c>
      <c r="F24" s="63">
        <f>+'M2 Allocations - TD'!Q53</f>
        <v>287500.39</v>
      </c>
      <c r="G24" s="63">
        <f>IF(+'M2 Allocations - TD'!R53="","",'M2 Allocations - TD'!R53)</f>
        <v>291239.59000000003</v>
      </c>
      <c r="H24" s="63">
        <f>IF(+'M2 Allocations - TD'!S53="","",'M2 Allocations - TD'!S53)</f>
        <v>334700.84000000003</v>
      </c>
      <c r="I24" s="63">
        <f>IF(+'M2 Allocations - TD'!T53="","",'M2 Allocations - TD'!T53)</f>
        <v>327858.78000000003</v>
      </c>
      <c r="J24" s="63">
        <f>IF(+'M2 Allocations - TD'!U53="","",'M2 Allocations - TD'!U53)</f>
        <v>345877.98</v>
      </c>
      <c r="K24" s="63">
        <f>IF(+'M2 Allocations - TD'!V53="","",'M2 Allocations - TD'!V53)</f>
        <v>332796.82</v>
      </c>
      <c r="L24" s="63">
        <f>IF(+'M2 Allocations - TD'!W53="","",'M2 Allocations - TD'!W53)</f>
        <v>325738.77</v>
      </c>
      <c r="M24" s="63">
        <f>IF(+'M2 Allocations - TD'!X53="","",'M2 Allocations - TD'!X53)</f>
        <v>293261.37</v>
      </c>
      <c r="N24" s="63">
        <f>IF(+'M2 Allocations - TD'!Y53="","",'M2 Allocations - TD'!Y53)</f>
        <v>307322.53000000003</v>
      </c>
      <c r="O24" s="63">
        <f>IF(+'M2 Allocations - TD'!Z53="","",'M2 Allocations - TD'!Z53)</f>
        <v>339565.96</v>
      </c>
      <c r="P24" s="63">
        <f>IF(+'M2 Allocations - TD'!AA53="","",'M2 Allocations - TD'!AA53)</f>
        <v>307869.25</v>
      </c>
      <c r="Q24" s="63">
        <f>IF(+'M2 Allocations - TD'!AB53="","",'M2 Allocations - TD'!AB53)</f>
        <v>306963.45</v>
      </c>
      <c r="R24" s="63">
        <f>IF(+'M2 Allocations - TD'!AC53="","",'M2 Allocations - TD'!AC53)</f>
        <v>283370.14</v>
      </c>
      <c r="S24" s="63">
        <f>IF(+'M2 Allocations - TD'!AD53="","",'M2 Allocations - TD'!AD53)</f>
        <v>326351.34000000003</v>
      </c>
      <c r="T24" s="63">
        <f>IF(+'M2 Allocations - TD'!AE53="","",'M2 Allocations - TD'!AE53)</f>
        <v>353914.84</v>
      </c>
      <c r="U24" s="63">
        <f>IF(+'M2 Allocations - TD'!AF53="","",'M2 Allocations - TD'!AF53)</f>
        <v>366503.78</v>
      </c>
      <c r="V24" s="63">
        <f>IF(+'M2 Allocations - TD'!AG53="","",'M2 Allocations - TD'!AG53)</f>
        <v>360257.72</v>
      </c>
      <c r="W24" s="63">
        <f>IF(+'M2 Allocations - TD'!AH53="","",'M2 Allocations - TD'!AH53)</f>
        <v>350605.05</v>
      </c>
      <c r="X24" s="63">
        <f>IF(+'M2 Allocations - TD'!AI53="","",'M2 Allocations - TD'!AI53)</f>
        <v>328773.59000000003</v>
      </c>
      <c r="Y24" s="63">
        <f>IF(+'M2 Allocations - TD'!AJ53="","",'M2 Allocations - TD'!AJ53)</f>
        <v>305971.46999999997</v>
      </c>
      <c r="Z24" s="63">
        <f>IF(+'M2 Allocations - TD'!AK53="","",'M2 Allocations - TD'!AK53)</f>
        <v>329009.21000000002</v>
      </c>
      <c r="AA24" s="63">
        <f>IF(+'M2 Allocations - TD'!AL53="","",'M2 Allocations - TD'!AL53)</f>
        <v>301972.13</v>
      </c>
      <c r="AB24" s="63">
        <f>IF(+'M2 Allocations - TD'!AM53="","",'M2 Allocations - TD'!AM53)</f>
        <v>361271.84</v>
      </c>
      <c r="AC24" s="63">
        <f>IF(+'M2 Allocations - TD'!AN53="","",'M2 Allocations - TD'!AN53)</f>
        <v>357649</v>
      </c>
      <c r="AD24" s="63">
        <f>IF(+'M2 Allocations - TD'!AO53="","",'M2 Allocations - TD'!AO53)</f>
        <v>342832.09</v>
      </c>
      <c r="AE24" s="63">
        <f>IF(+'M2 Allocations - TD'!AP53="","",'M2 Allocations - TD'!AP53)</f>
        <v>342002.7</v>
      </c>
      <c r="AF24" s="63">
        <f>IF(+'M2 Allocations - TD'!AQ53="","",'M2 Allocations - TD'!AQ53)</f>
        <v>397393.17</v>
      </c>
      <c r="AG24" s="63">
        <f>IF(+'M2 Allocations - TD'!AR53="","",'M2 Allocations - TD'!AR53)</f>
        <v>399370.7</v>
      </c>
      <c r="AH24" s="63">
        <f>IF(+'M2 Allocations - TD'!AS53="","",'M2 Allocations - TD'!AS53)</f>
        <v>419257.53</v>
      </c>
      <c r="AI24" s="63">
        <f>IF(+'M2 Allocations - TD'!AT53="","",'M2 Allocations - TD'!AT53)</f>
        <v>416719</v>
      </c>
      <c r="AJ24" s="63">
        <f>IF(+'M2 Allocations - TD'!AU53="","",'M2 Allocations - TD'!AU53)</f>
        <v>386141.21</v>
      </c>
      <c r="AK24" s="63">
        <f>IF(+'M2 Allocations - TD'!AV53="","",'M2 Allocations - TD'!AV53)</f>
        <v>357086.62</v>
      </c>
      <c r="AL24" s="63">
        <f>IF(+'M2 Allocations - TD'!AW53="","",'M2 Allocations - TD'!AW53)</f>
        <v>359534.39</v>
      </c>
      <c r="AM24" s="63">
        <f>IF(+'M2 Allocations - TD'!AX53="","",'M2 Allocations - TD'!AX53)</f>
        <v>369865.83</v>
      </c>
      <c r="AN24" s="63">
        <f>IF(+'M2 Allocations - TD'!AY53="","",'M2 Allocations - TD'!AY53)</f>
        <v>293791.12</v>
      </c>
      <c r="AO24" s="63">
        <f>IF(+'M2 Allocations - TD'!AZ53="","",'M2 Allocations - TD'!AZ53)</f>
        <v>123483.39</v>
      </c>
      <c r="AP24" s="63">
        <f>IF(+'M2 Allocations - TD'!BA53="","",'M2 Allocations - TD'!BA53)</f>
        <v>118999.09</v>
      </c>
      <c r="AQ24" s="63">
        <f>IF(+'M2 Allocations - TD'!BB53="","",'M2 Allocations - TD'!BB53)</f>
        <v>112027.34</v>
      </c>
      <c r="AR24" s="63">
        <f>IF(+'M2 Allocations - TD'!BC53="","",'M2 Allocations - TD'!BC53)</f>
        <v>130470.39999999999</v>
      </c>
      <c r="AS24" s="63">
        <f>IF(+'M2 Allocations - TD'!BD53="","",'M2 Allocations - TD'!BD53)</f>
        <v>137323.88</v>
      </c>
      <c r="AT24" s="63">
        <f>IF(+'M2 Allocations - TD'!BE53="","",'M2 Allocations - TD'!BE53)</f>
        <v>143937.82999999999</v>
      </c>
      <c r="AU24" s="63">
        <f>IF(+'M2 Allocations - TD'!BF53="","",'M2 Allocations - TD'!BF53)</f>
        <v>143974.57</v>
      </c>
      <c r="AV24" s="63">
        <f>IF(+'M2 Allocations - TD'!BG53="","",'M2 Allocations - TD'!BG53)</f>
        <v>127974.65</v>
      </c>
      <c r="AW24" s="63">
        <f>IF(+'M2 Allocations - TD'!BH53="","",'M2 Allocations - TD'!BH53)</f>
        <v>127068.08</v>
      </c>
      <c r="AX24" s="63">
        <f>IF(+'M2 Allocations - TD'!BI53="","",'M2 Allocations - TD'!BI53)</f>
        <v>132955.76999999999</v>
      </c>
      <c r="AY24" s="63">
        <f>IF(+'M2 Allocations - TD'!BJ53="","",'M2 Allocations - TD'!BJ53)</f>
        <v>130544.63</v>
      </c>
      <c r="AZ24" s="63">
        <f>IF(+'M2 Allocations - TD'!BK53="","",'M2 Allocations - TD'!BK53)</f>
        <v>73117.320000000007</v>
      </c>
      <c r="BA24" s="63">
        <f>IF(+'M2 Allocations - TD'!BL53="","",'M2 Allocations - TD'!BL53)</f>
        <v>-23752.07</v>
      </c>
      <c r="BB24" s="63">
        <f>IF(+'M2 Allocations - TD'!BM53="","",'M2 Allocations - TD'!BM53)</f>
        <v>-25347.52</v>
      </c>
      <c r="BC24" s="63">
        <f>IF(+'M2 Allocations - TD'!BN53="","",'M2 Allocations - TD'!BN53)</f>
        <v>-27081.25</v>
      </c>
      <c r="BD24" s="63">
        <f>IF(+'M2 Allocations - TD'!BO53="","",'M2 Allocations - TD'!BO53)</f>
        <v>-24437.95</v>
      </c>
      <c r="BE24" s="63">
        <f>IF(+'M2 Allocations - TD'!BP53="","",'M2 Allocations - TD'!BP53)</f>
        <v>-33816.269999999997</v>
      </c>
      <c r="BF24" s="63">
        <f>IF(+'M2 Allocations - TD'!BQ53="","",'M2 Allocations - TD'!BQ53)</f>
        <v>-31047.43</v>
      </c>
      <c r="BG24" s="63">
        <f>IF(+'M2 Allocations - TD'!BR53="","",'M2 Allocations - TD'!BR53)</f>
        <v>-31441.61</v>
      </c>
      <c r="BH24" s="63">
        <f>IF(+'M2 Allocations - TD'!BS53="","",'M2 Allocations - TD'!BS53)</f>
        <v>-27149.439999999999</v>
      </c>
      <c r="BI24" s="63">
        <f>IF(+'M2 Allocations - TD'!BT53="","",'M2 Allocations - TD'!BT53)</f>
        <v>-23682.34</v>
      </c>
      <c r="BJ24" s="63">
        <f>IF(+'M2 Allocations - TD'!BU53="","",'M2 Allocations - TD'!BU53)</f>
        <v>-31128.82</v>
      </c>
      <c r="BK24" s="63">
        <f>IF(+'M2 Allocations - TD'!BV53="","",'M2 Allocations - TD'!BV53)</f>
        <v>-30061.68</v>
      </c>
      <c r="BL24" s="63">
        <f>IF(+'M2 Allocations - TD'!BW53="","",'M2 Allocations - TD'!BW53)</f>
        <v>-21727.82</v>
      </c>
      <c r="BM24" s="63">
        <f>IF(+'M2 Allocations - TD'!BX53="","",'M2 Allocations - TD'!BX53)</f>
        <v>-9411.08</v>
      </c>
      <c r="BN24" s="63">
        <f>IF(+'M2 Allocations - TD'!BY53="","",'M2 Allocations - TD'!BY53)</f>
        <v>-9472.94</v>
      </c>
      <c r="BO24" s="63">
        <f>IF(+'M2 Allocations - TD'!BZ53="","",'M2 Allocations - TD'!BZ53)</f>
        <v>-9265.9</v>
      </c>
      <c r="BP24" s="63">
        <f>IF(+'M2 Allocations - TD'!CA53="","",'M2 Allocations - TD'!CA53)</f>
        <v>-10540.89</v>
      </c>
      <c r="BQ24" s="63">
        <f>IF(+'M2 Allocations - TD'!CB53="","",'M2 Allocations - TD'!CB53)</f>
        <v>-10967.71</v>
      </c>
      <c r="BR24" s="63">
        <f>IF(+'M2 Allocations - TD'!CC53="","",'M2 Allocations - TD'!CC53)</f>
        <v>-10879.65</v>
      </c>
      <c r="BS24" s="63">
        <f>IF(+'M2 Allocations - TD'!CD53="","",'M2 Allocations - TD'!CD53)</f>
        <v>-10597.96</v>
      </c>
      <c r="BT24" s="63">
        <f>IF(+'M2 Allocations - TD'!CE53="","",'M2 Allocations - TD'!CE53)</f>
        <v>-9396.31</v>
      </c>
      <c r="BU24" s="63">
        <f>IF(+'M2 Allocations - TD'!CF53="","",'M2 Allocations - TD'!CF53)</f>
        <v>-9489.08</v>
      </c>
      <c r="BV24" s="63">
        <f>IF(+'M2 Allocations - TD'!CG53="","",'M2 Allocations - TD'!CG53)</f>
        <v>-9849.86</v>
      </c>
      <c r="BW24" s="63">
        <f>IF(+'M2 Allocations - TD'!CH53="","",'M2 Allocations - TD'!CH53)</f>
        <v>-9377.19</v>
      </c>
      <c r="BX24" s="63">
        <f>IF(+'M2 Allocations - TD'!CI53="","",'M2 Allocations - TD'!CI53)</f>
        <v>-6080.44</v>
      </c>
      <c r="BY24" s="63">
        <f>IF(+'M2 Allocations - TD'!CJ53="","",'M2 Allocations - TD'!CJ53)</f>
        <v>667.65</v>
      </c>
      <c r="BZ24" s="63">
        <f>IF(+'M2 Allocations - TD'!CK53="","",'M2 Allocations - TD'!CK53)</f>
        <v>877.65</v>
      </c>
      <c r="CA24" s="63">
        <f>IF(+'M2 Allocations - TD'!CL53="","",'M2 Allocations - TD'!CL53)</f>
        <v>877.06</v>
      </c>
      <c r="CB24" s="63">
        <f>IF(+'M2 Allocations - TD'!CM53="","",'M2 Allocations - TD'!CM53)</f>
        <v>917.12</v>
      </c>
      <c r="CC24" s="63">
        <f>IF(+'M2 Allocations - TD'!CN53="","",'M2 Allocations - TD'!CN53)</f>
        <v>941.31</v>
      </c>
      <c r="CD24" s="63">
        <f>IF(+'M2 Allocations - TD'!CO53="","",'M2 Allocations - TD'!CO53)</f>
        <v>1063.3</v>
      </c>
      <c r="CE24" s="63">
        <f>IF(+'M2 Allocations - TD'!CP53="","",'M2 Allocations - TD'!CP53)</f>
        <v>1016.76</v>
      </c>
      <c r="CF24" s="63">
        <f>IF(+'M2 Allocations - TD'!CQ53="","",'M2 Allocations - TD'!CQ53)</f>
        <v>882.85</v>
      </c>
      <c r="CG24" s="63">
        <f>IF(+'M2 Allocations - TD'!CR53="","",'M2 Allocations - TD'!CR53)</f>
        <v>889.04</v>
      </c>
      <c r="CH24" s="63">
        <f>IF(+'M2 Allocations - TD'!CS53="","",'M2 Allocations - TD'!CS53)</f>
        <v>874.1</v>
      </c>
      <c r="CI24" s="63">
        <f>IF(+'M2 Allocations - TD'!CT53="","",'M2 Allocations - TD'!CT53)</f>
        <v>923.35</v>
      </c>
    </row>
    <row r="25" spans="1:87" x14ac:dyDescent="0.25">
      <c r="A25" s="306"/>
      <c r="B25" s="73" t="s">
        <v>55</v>
      </c>
      <c r="C25" s="87">
        <v>6.2000000000000003E-5</v>
      </c>
      <c r="D25" s="87">
        <v>3.6699999999999998E-4</v>
      </c>
      <c r="E25" s="71">
        <f>+D25</f>
        <v>3.6699999999999998E-4</v>
      </c>
      <c r="F25" s="71">
        <f>IF(F24="","",E25)</f>
        <v>3.6699999999999998E-4</v>
      </c>
      <c r="G25" s="71">
        <f t="shared" ref="G25:Z25" si="321">IF(G24="","",F25)</f>
        <v>3.6699999999999998E-4</v>
      </c>
      <c r="H25" s="71">
        <f t="shared" si="321"/>
        <v>3.6699999999999998E-4</v>
      </c>
      <c r="I25" s="71">
        <f t="shared" si="321"/>
        <v>3.6699999999999998E-4</v>
      </c>
      <c r="J25" s="71">
        <f t="shared" si="321"/>
        <v>3.6699999999999998E-4</v>
      </c>
      <c r="K25" s="71">
        <f t="shared" si="321"/>
        <v>3.6699999999999998E-4</v>
      </c>
      <c r="L25" s="71">
        <f t="shared" si="321"/>
        <v>3.6699999999999998E-4</v>
      </c>
      <c r="M25" s="71">
        <f t="shared" si="321"/>
        <v>3.6699999999999998E-4</v>
      </c>
      <c r="N25" s="71">
        <f t="shared" si="321"/>
        <v>3.6699999999999998E-4</v>
      </c>
      <c r="O25" s="71">
        <f t="shared" si="321"/>
        <v>3.6699999999999998E-4</v>
      </c>
      <c r="P25" s="87">
        <v>1.1375575439833872E-3</v>
      </c>
      <c r="Q25" s="71">
        <f t="shared" si="321"/>
        <v>1.1375575439833872E-3</v>
      </c>
      <c r="R25" s="90">
        <f t="shared" si="321"/>
        <v>1.1375575439833872E-3</v>
      </c>
      <c r="S25" s="90">
        <f t="shared" si="321"/>
        <v>1.1375575439833872E-3</v>
      </c>
      <c r="T25" s="90">
        <f t="shared" si="321"/>
        <v>1.1375575439833872E-3</v>
      </c>
      <c r="U25" s="90">
        <f t="shared" si="321"/>
        <v>1.1375575439833872E-3</v>
      </c>
      <c r="V25" s="90">
        <f t="shared" si="321"/>
        <v>1.1375575439833872E-3</v>
      </c>
      <c r="W25" s="90">
        <f t="shared" si="321"/>
        <v>1.1375575439833872E-3</v>
      </c>
      <c r="X25" s="90">
        <f t="shared" si="321"/>
        <v>1.1375575439833872E-3</v>
      </c>
      <c r="Y25" s="90">
        <f t="shared" si="321"/>
        <v>1.1375575439833872E-3</v>
      </c>
      <c r="Z25" s="90">
        <f t="shared" si="321"/>
        <v>1.1375575439833872E-3</v>
      </c>
      <c r="AA25" s="90">
        <f t="shared" ref="AA25" si="322">IF(AA24="","",Z25)</f>
        <v>1.1375575439833872E-3</v>
      </c>
      <c r="AB25" s="87">
        <v>1.6772626739548866E-3</v>
      </c>
      <c r="AC25" s="71">
        <f t="shared" ref="AC25" si="323">IF(AC24="","",AB25)</f>
        <v>1.6772626739548866E-3</v>
      </c>
      <c r="AD25" s="71">
        <f t="shared" ref="AD25" si="324">IF(AD24="","",AC25)</f>
        <v>1.6772626739548866E-3</v>
      </c>
      <c r="AE25" s="71">
        <f t="shared" ref="AE25" si="325">IF(AE24="","",AD25)</f>
        <v>1.6772626739548866E-3</v>
      </c>
      <c r="AF25" s="71">
        <f t="shared" ref="AF25" si="326">IF(AF24="","",AE25)</f>
        <v>1.6772626739548866E-3</v>
      </c>
      <c r="AG25" s="71">
        <f t="shared" ref="AG25" si="327">IF(AG24="","",AF25)</f>
        <v>1.6772626739548866E-3</v>
      </c>
      <c r="AH25" s="71">
        <f t="shared" ref="AH25" si="328">IF(AH24="","",AG25)</f>
        <v>1.6772626739548866E-3</v>
      </c>
      <c r="AI25" s="71">
        <f t="shared" ref="AI25" si="329">IF(AI24="","",AH25)</f>
        <v>1.6772626739548866E-3</v>
      </c>
      <c r="AJ25" s="71">
        <f t="shared" ref="AJ25" si="330">IF(AJ24="","",AI25)</f>
        <v>1.6772626739548866E-3</v>
      </c>
      <c r="AK25" s="71">
        <f t="shared" ref="AK25" si="331">IF(AK24="","",AJ25)</f>
        <v>1.6772626739548866E-3</v>
      </c>
      <c r="AL25" s="71">
        <f t="shared" ref="AL25" si="332">IF(AL24="","",AK25)</f>
        <v>1.6772626739548866E-3</v>
      </c>
      <c r="AM25" s="71">
        <f t="shared" ref="AM25" si="333">IF(AM24="","",AL25)</f>
        <v>1.6772626739548866E-3</v>
      </c>
      <c r="AN25" s="119">
        <v>3.8823682673368192E-4</v>
      </c>
      <c r="AO25" s="71">
        <f t="shared" ref="AO25:BK25" si="334">IF(AO24="","",AN25)</f>
        <v>3.8823682673368192E-4</v>
      </c>
      <c r="AP25" s="71">
        <f t="shared" si="334"/>
        <v>3.8823682673368192E-4</v>
      </c>
      <c r="AQ25" s="71">
        <f t="shared" si="334"/>
        <v>3.8823682673368192E-4</v>
      </c>
      <c r="AR25" s="71">
        <f t="shared" si="334"/>
        <v>3.8823682673368192E-4</v>
      </c>
      <c r="AS25" s="71">
        <f t="shared" si="334"/>
        <v>3.8823682673368192E-4</v>
      </c>
      <c r="AT25" s="71">
        <f t="shared" si="334"/>
        <v>3.8823682673368192E-4</v>
      </c>
      <c r="AU25" s="71">
        <f t="shared" si="334"/>
        <v>3.8823682673368192E-4</v>
      </c>
      <c r="AV25" s="71">
        <f t="shared" si="334"/>
        <v>3.8823682673368192E-4</v>
      </c>
      <c r="AW25" s="71">
        <f t="shared" si="334"/>
        <v>3.8823682673368192E-4</v>
      </c>
      <c r="AX25" s="71">
        <f t="shared" si="334"/>
        <v>3.8823682673368192E-4</v>
      </c>
      <c r="AY25" s="71">
        <f t="shared" si="334"/>
        <v>3.8823682673368192E-4</v>
      </c>
      <c r="AZ25" s="119">
        <v>8.085325899005284E-5</v>
      </c>
      <c r="BA25" s="71">
        <f t="shared" si="334"/>
        <v>8.085325899005284E-5</v>
      </c>
      <c r="BB25" s="71">
        <f t="shared" si="334"/>
        <v>8.085325899005284E-5</v>
      </c>
      <c r="BC25" s="71">
        <f t="shared" si="334"/>
        <v>8.085325899005284E-5</v>
      </c>
      <c r="BD25" s="71">
        <f t="shared" si="334"/>
        <v>8.085325899005284E-5</v>
      </c>
      <c r="BE25" s="71">
        <f t="shared" si="334"/>
        <v>8.085325899005284E-5</v>
      </c>
      <c r="BF25" s="71">
        <f t="shared" si="334"/>
        <v>8.085325899005284E-5</v>
      </c>
      <c r="BG25" s="71">
        <f t="shared" si="334"/>
        <v>8.085325899005284E-5</v>
      </c>
      <c r="BH25" s="71">
        <f t="shared" si="334"/>
        <v>8.085325899005284E-5</v>
      </c>
      <c r="BI25" s="71">
        <f t="shared" si="334"/>
        <v>8.085325899005284E-5</v>
      </c>
      <c r="BJ25" s="71">
        <f t="shared" si="334"/>
        <v>8.085325899005284E-5</v>
      </c>
      <c r="BK25" s="71">
        <f t="shared" si="334"/>
        <v>8.085325899005284E-5</v>
      </c>
      <c r="BL25" s="119">
        <v>3.5509283656928357E-6</v>
      </c>
      <c r="BM25" s="71">
        <f t="shared" ref="BM25:CI25" si="335">IF(BM24="","",BL25)</f>
        <v>3.5509283656928357E-6</v>
      </c>
      <c r="BN25" s="71">
        <f t="shared" si="335"/>
        <v>3.5509283656928357E-6</v>
      </c>
      <c r="BO25" s="71">
        <f t="shared" si="335"/>
        <v>3.5509283656928357E-6</v>
      </c>
      <c r="BP25" s="71">
        <f t="shared" si="335"/>
        <v>3.5509283656928357E-6</v>
      </c>
      <c r="BQ25" s="71">
        <f t="shared" si="335"/>
        <v>3.5509283656928357E-6</v>
      </c>
      <c r="BR25" s="71">
        <f t="shared" si="335"/>
        <v>3.5509283656928357E-6</v>
      </c>
      <c r="BS25" s="71">
        <f t="shared" si="335"/>
        <v>3.5509283656928357E-6</v>
      </c>
      <c r="BT25" s="71">
        <f t="shared" si="335"/>
        <v>3.5509283656928357E-6</v>
      </c>
      <c r="BU25" s="71">
        <f t="shared" si="335"/>
        <v>3.5509283656928357E-6</v>
      </c>
      <c r="BV25" s="71">
        <f t="shared" si="335"/>
        <v>3.5509283656928357E-6</v>
      </c>
      <c r="BW25" s="71">
        <f t="shared" si="335"/>
        <v>3.5509283656928357E-6</v>
      </c>
      <c r="BX25" s="119">
        <v>0</v>
      </c>
      <c r="BY25" s="71">
        <f t="shared" si="335"/>
        <v>0</v>
      </c>
      <c r="BZ25" s="71">
        <f t="shared" si="335"/>
        <v>0</v>
      </c>
      <c r="CA25" s="71">
        <f t="shared" si="335"/>
        <v>0</v>
      </c>
      <c r="CB25" s="71">
        <f t="shared" si="335"/>
        <v>0</v>
      </c>
      <c r="CC25" s="71">
        <f t="shared" si="335"/>
        <v>0</v>
      </c>
      <c r="CD25" s="71">
        <f t="shared" si="335"/>
        <v>0</v>
      </c>
      <c r="CE25" s="71">
        <f t="shared" si="335"/>
        <v>0</v>
      </c>
      <c r="CF25" s="71">
        <f t="shared" si="335"/>
        <v>0</v>
      </c>
      <c r="CG25" s="71">
        <f t="shared" si="335"/>
        <v>0</v>
      </c>
      <c r="CH25" s="71">
        <f t="shared" si="335"/>
        <v>0</v>
      </c>
      <c r="CI25" s="71">
        <f t="shared" si="335"/>
        <v>0</v>
      </c>
    </row>
    <row r="26" spans="1:87" x14ac:dyDescent="0.25">
      <c r="A26" s="306"/>
      <c r="B26" s="73" t="s">
        <v>54</v>
      </c>
      <c r="C26" s="42">
        <v>0</v>
      </c>
      <c r="D26" s="87">
        <v>7.2900000000000005E-4</v>
      </c>
      <c r="E26" s="71">
        <f>+D26</f>
        <v>7.2900000000000005E-4</v>
      </c>
      <c r="F26" s="71">
        <f>IF(F24="","",E26)</f>
        <v>7.2900000000000005E-4</v>
      </c>
      <c r="G26" s="71">
        <f t="shared" ref="G26:Z26" si="336">IF(G24="","",F26)</f>
        <v>7.2900000000000005E-4</v>
      </c>
      <c r="H26" s="71">
        <f t="shared" si="336"/>
        <v>7.2900000000000005E-4</v>
      </c>
      <c r="I26" s="71">
        <f t="shared" si="336"/>
        <v>7.2900000000000005E-4</v>
      </c>
      <c r="J26" s="71">
        <f t="shared" si="336"/>
        <v>7.2900000000000005E-4</v>
      </c>
      <c r="K26" s="71">
        <f t="shared" si="336"/>
        <v>7.2900000000000005E-4</v>
      </c>
      <c r="L26" s="71">
        <f t="shared" si="336"/>
        <v>7.2900000000000005E-4</v>
      </c>
      <c r="M26" s="71">
        <f t="shared" si="336"/>
        <v>7.2900000000000005E-4</v>
      </c>
      <c r="N26" s="71">
        <f t="shared" si="336"/>
        <v>7.2900000000000005E-4</v>
      </c>
      <c r="O26" s="71">
        <f t="shared" si="336"/>
        <v>7.2900000000000005E-4</v>
      </c>
      <c r="P26" s="91">
        <v>-1.0652584799076657E-5</v>
      </c>
      <c r="Q26" s="90">
        <f t="shared" si="336"/>
        <v>-1.0652584799076657E-5</v>
      </c>
      <c r="R26" s="90">
        <f t="shared" si="336"/>
        <v>-1.0652584799076657E-5</v>
      </c>
      <c r="S26" s="90">
        <f t="shared" si="336"/>
        <v>-1.0652584799076657E-5</v>
      </c>
      <c r="T26" s="90">
        <f t="shared" si="336"/>
        <v>-1.0652584799076657E-5</v>
      </c>
      <c r="U26" s="90">
        <f t="shared" si="336"/>
        <v>-1.0652584799076657E-5</v>
      </c>
      <c r="V26" s="90">
        <f t="shared" si="336"/>
        <v>-1.0652584799076657E-5</v>
      </c>
      <c r="W26" s="90">
        <f t="shared" si="336"/>
        <v>-1.0652584799076657E-5</v>
      </c>
      <c r="X26" s="90">
        <f t="shared" si="336"/>
        <v>-1.0652584799076657E-5</v>
      </c>
      <c r="Y26" s="90">
        <f t="shared" si="336"/>
        <v>-1.0652584799076657E-5</v>
      </c>
      <c r="Z26" s="90">
        <f t="shared" si="336"/>
        <v>-1.0652584799076657E-5</v>
      </c>
      <c r="AA26" s="90">
        <f t="shared" ref="AA26" si="337">IF(AA24="","",Z26)</f>
        <v>-1.0652584799076657E-5</v>
      </c>
      <c r="AB26" s="91">
        <v>-1.8549729178825712E-4</v>
      </c>
      <c r="AC26" s="90">
        <f t="shared" ref="AC26" si="338">IF(AC24="","",AB26)</f>
        <v>-1.8549729178825712E-4</v>
      </c>
      <c r="AD26" s="90">
        <f t="shared" ref="AD26" si="339">IF(AD24="","",AC26)</f>
        <v>-1.8549729178825712E-4</v>
      </c>
      <c r="AE26" s="90">
        <f t="shared" ref="AE26" si="340">IF(AE24="","",AD26)</f>
        <v>-1.8549729178825712E-4</v>
      </c>
      <c r="AF26" s="90">
        <f t="shared" ref="AF26" si="341">IF(AF24="","",AE26)</f>
        <v>-1.8549729178825712E-4</v>
      </c>
      <c r="AG26" s="90">
        <f t="shared" ref="AG26" si="342">IF(AG24="","",AF26)</f>
        <v>-1.8549729178825712E-4</v>
      </c>
      <c r="AH26" s="90">
        <f t="shared" ref="AH26" si="343">IF(AH24="","",AG26)</f>
        <v>-1.8549729178825712E-4</v>
      </c>
      <c r="AI26" s="90">
        <f t="shared" ref="AI26" si="344">IF(AI24="","",AH26)</f>
        <v>-1.8549729178825712E-4</v>
      </c>
      <c r="AJ26" s="90">
        <f t="shared" ref="AJ26" si="345">IF(AJ24="","",AI26)</f>
        <v>-1.8549729178825712E-4</v>
      </c>
      <c r="AK26" s="90">
        <f t="shared" ref="AK26" si="346">IF(AK24="","",AJ26)</f>
        <v>-1.8549729178825712E-4</v>
      </c>
      <c r="AL26" s="90">
        <f t="shared" ref="AL26" si="347">IF(AL24="","",AK26)</f>
        <v>-1.8549729178825712E-4</v>
      </c>
      <c r="AM26" s="90">
        <f t="shared" ref="AM26" si="348">IF(AM24="","",AL26)</f>
        <v>-1.8549729178825712E-4</v>
      </c>
      <c r="AN26" s="120">
        <v>1.5247620220748583E-4</v>
      </c>
      <c r="AO26" s="90">
        <f t="shared" ref="AO26:BK26" si="349">IF(AO24="","",AN26)</f>
        <v>1.5247620220748583E-4</v>
      </c>
      <c r="AP26" s="90">
        <f t="shared" si="349"/>
        <v>1.5247620220748583E-4</v>
      </c>
      <c r="AQ26" s="90">
        <f t="shared" si="349"/>
        <v>1.5247620220748583E-4</v>
      </c>
      <c r="AR26" s="90">
        <f t="shared" si="349"/>
        <v>1.5247620220748583E-4</v>
      </c>
      <c r="AS26" s="90">
        <f t="shared" si="349"/>
        <v>1.5247620220748583E-4</v>
      </c>
      <c r="AT26" s="90">
        <f t="shared" si="349"/>
        <v>1.5247620220748583E-4</v>
      </c>
      <c r="AU26" s="90">
        <f t="shared" si="349"/>
        <v>1.5247620220748583E-4</v>
      </c>
      <c r="AV26" s="90">
        <f t="shared" si="349"/>
        <v>1.5247620220748583E-4</v>
      </c>
      <c r="AW26" s="90">
        <f t="shared" si="349"/>
        <v>1.5247620220748583E-4</v>
      </c>
      <c r="AX26" s="90">
        <f t="shared" si="349"/>
        <v>1.5247620220748583E-4</v>
      </c>
      <c r="AY26" s="90">
        <f t="shared" si="349"/>
        <v>1.5247620220748583E-4</v>
      </c>
      <c r="AZ26" s="120">
        <v>-1.9899392382553466E-4</v>
      </c>
      <c r="BA26" s="90">
        <f t="shared" si="349"/>
        <v>-1.9899392382553466E-4</v>
      </c>
      <c r="BB26" s="90">
        <f t="shared" si="349"/>
        <v>-1.9899392382553466E-4</v>
      </c>
      <c r="BC26" s="90">
        <f t="shared" si="349"/>
        <v>-1.9899392382553466E-4</v>
      </c>
      <c r="BD26" s="90">
        <f t="shared" si="349"/>
        <v>-1.9899392382553466E-4</v>
      </c>
      <c r="BE26" s="90">
        <f t="shared" si="349"/>
        <v>-1.9899392382553466E-4</v>
      </c>
      <c r="BF26" s="90">
        <f t="shared" si="349"/>
        <v>-1.9899392382553466E-4</v>
      </c>
      <c r="BG26" s="90">
        <f t="shared" si="349"/>
        <v>-1.9899392382553466E-4</v>
      </c>
      <c r="BH26" s="90">
        <f t="shared" si="349"/>
        <v>-1.9899392382553466E-4</v>
      </c>
      <c r="BI26" s="90">
        <f t="shared" si="349"/>
        <v>-1.9899392382553466E-4</v>
      </c>
      <c r="BJ26" s="90">
        <f t="shared" si="349"/>
        <v>-1.9899392382553466E-4</v>
      </c>
      <c r="BK26" s="90">
        <f t="shared" si="349"/>
        <v>-1.9899392382553466E-4</v>
      </c>
      <c r="BL26" s="120">
        <v>-4.4098973354007227E-5</v>
      </c>
      <c r="BM26" s="90">
        <f t="shared" ref="BM26:CI26" si="350">IF(BM24="","",BL26)</f>
        <v>-4.4098973354007227E-5</v>
      </c>
      <c r="BN26" s="90">
        <f t="shared" si="350"/>
        <v>-4.4098973354007227E-5</v>
      </c>
      <c r="BO26" s="90">
        <f t="shared" si="350"/>
        <v>-4.4098973354007227E-5</v>
      </c>
      <c r="BP26" s="90">
        <f t="shared" si="350"/>
        <v>-4.4098973354007227E-5</v>
      </c>
      <c r="BQ26" s="90">
        <f t="shared" si="350"/>
        <v>-4.4098973354007227E-5</v>
      </c>
      <c r="BR26" s="90">
        <f t="shared" si="350"/>
        <v>-4.4098973354007227E-5</v>
      </c>
      <c r="BS26" s="90">
        <f t="shared" si="350"/>
        <v>-4.4098973354007227E-5</v>
      </c>
      <c r="BT26" s="90">
        <f t="shared" si="350"/>
        <v>-4.4098973354007227E-5</v>
      </c>
      <c r="BU26" s="90">
        <f t="shared" si="350"/>
        <v>-4.4098973354007227E-5</v>
      </c>
      <c r="BV26" s="90">
        <f t="shared" si="350"/>
        <v>-4.4098973354007227E-5</v>
      </c>
      <c r="BW26" s="90">
        <f t="shared" si="350"/>
        <v>-4.4098973354007227E-5</v>
      </c>
      <c r="BX26" s="120">
        <v>3.5567583786550491E-6</v>
      </c>
      <c r="BY26" s="90">
        <f t="shared" si="350"/>
        <v>3.5567583786550491E-6</v>
      </c>
      <c r="BZ26" s="90">
        <f t="shared" si="350"/>
        <v>3.5567583786550491E-6</v>
      </c>
      <c r="CA26" s="90">
        <f t="shared" si="350"/>
        <v>3.5567583786550491E-6</v>
      </c>
      <c r="CB26" s="90">
        <f t="shared" si="350"/>
        <v>3.5567583786550491E-6</v>
      </c>
      <c r="CC26" s="90">
        <f t="shared" si="350"/>
        <v>3.5567583786550491E-6</v>
      </c>
      <c r="CD26" s="90">
        <f t="shared" si="350"/>
        <v>3.5567583786550491E-6</v>
      </c>
      <c r="CE26" s="90">
        <f t="shared" si="350"/>
        <v>3.5567583786550491E-6</v>
      </c>
      <c r="CF26" s="90">
        <f t="shared" si="350"/>
        <v>3.5567583786550491E-6</v>
      </c>
      <c r="CG26" s="90">
        <f t="shared" si="350"/>
        <v>3.5567583786550491E-6</v>
      </c>
      <c r="CH26" s="90">
        <f t="shared" si="350"/>
        <v>3.5567583786550491E-6</v>
      </c>
      <c r="CI26" s="90">
        <f t="shared" si="350"/>
        <v>3.5567583786550491E-6</v>
      </c>
    </row>
    <row r="27" spans="1:87" x14ac:dyDescent="0.25">
      <c r="A27" s="306"/>
      <c r="B27" s="73" t="s">
        <v>63</v>
      </c>
      <c r="C27" s="62">
        <f>SUM(C25:C26)</f>
        <v>6.2000000000000003E-5</v>
      </c>
      <c r="D27" s="62">
        <f t="shared" ref="D27:E27" si="351">SUM(D25:D26)</f>
        <v>1.096E-3</v>
      </c>
      <c r="E27" s="62">
        <f t="shared" si="351"/>
        <v>1.096E-3</v>
      </c>
      <c r="F27" s="62">
        <f>IF(F24="","",SUM(F25:F26))</f>
        <v>1.096E-3</v>
      </c>
      <c r="G27" s="62">
        <f t="shared" ref="G27:Z27" si="352">IF(G24="","",SUM(G25:G26))</f>
        <v>1.096E-3</v>
      </c>
      <c r="H27" s="62">
        <f t="shared" si="352"/>
        <v>1.096E-3</v>
      </c>
      <c r="I27" s="62">
        <f t="shared" si="352"/>
        <v>1.096E-3</v>
      </c>
      <c r="J27" s="62">
        <f t="shared" si="352"/>
        <v>1.096E-3</v>
      </c>
      <c r="K27" s="62">
        <f t="shared" si="352"/>
        <v>1.096E-3</v>
      </c>
      <c r="L27" s="62">
        <f t="shared" si="352"/>
        <v>1.096E-3</v>
      </c>
      <c r="M27" s="62">
        <f t="shared" si="352"/>
        <v>1.096E-3</v>
      </c>
      <c r="N27" s="62">
        <f t="shared" si="352"/>
        <v>1.096E-3</v>
      </c>
      <c r="O27" s="62">
        <f t="shared" si="352"/>
        <v>1.096E-3</v>
      </c>
      <c r="P27" s="62">
        <f t="shared" si="352"/>
        <v>1.1269049591843105E-3</v>
      </c>
      <c r="Q27" s="62">
        <f t="shared" si="352"/>
        <v>1.1269049591843105E-3</v>
      </c>
      <c r="R27" s="62">
        <f t="shared" si="352"/>
        <v>1.1269049591843105E-3</v>
      </c>
      <c r="S27" s="62">
        <f t="shared" si="352"/>
        <v>1.1269049591843105E-3</v>
      </c>
      <c r="T27" s="62">
        <f t="shared" si="352"/>
        <v>1.1269049591843105E-3</v>
      </c>
      <c r="U27" s="62">
        <f t="shared" si="352"/>
        <v>1.1269049591843105E-3</v>
      </c>
      <c r="V27" s="62">
        <f t="shared" si="352"/>
        <v>1.1269049591843105E-3</v>
      </c>
      <c r="W27" s="62">
        <f t="shared" si="352"/>
        <v>1.1269049591843105E-3</v>
      </c>
      <c r="X27" s="62">
        <f t="shared" si="352"/>
        <v>1.1269049591843105E-3</v>
      </c>
      <c r="Y27" s="62">
        <f t="shared" si="352"/>
        <v>1.1269049591843105E-3</v>
      </c>
      <c r="Z27" s="62">
        <f t="shared" si="352"/>
        <v>1.1269049591843105E-3</v>
      </c>
      <c r="AA27" s="62">
        <f t="shared" ref="AA27:AC27" si="353">IF(AA24="","",SUM(AA25:AA26))</f>
        <v>1.1269049591843105E-3</v>
      </c>
      <c r="AB27" s="62">
        <f t="shared" si="353"/>
        <v>1.4917653821666294E-3</v>
      </c>
      <c r="AC27" s="62">
        <f t="shared" si="353"/>
        <v>1.4917653821666294E-3</v>
      </c>
      <c r="AD27" s="62">
        <f t="shared" ref="AD27:AM27" si="354">IF(AD24="","",SUM(AD25:AD26))</f>
        <v>1.4917653821666294E-3</v>
      </c>
      <c r="AE27" s="62">
        <f t="shared" si="354"/>
        <v>1.4917653821666294E-3</v>
      </c>
      <c r="AF27" s="62">
        <f t="shared" si="354"/>
        <v>1.4917653821666294E-3</v>
      </c>
      <c r="AG27" s="62">
        <f t="shared" si="354"/>
        <v>1.4917653821666294E-3</v>
      </c>
      <c r="AH27" s="62">
        <f t="shared" si="354"/>
        <v>1.4917653821666294E-3</v>
      </c>
      <c r="AI27" s="62">
        <f t="shared" si="354"/>
        <v>1.4917653821666294E-3</v>
      </c>
      <c r="AJ27" s="62">
        <f t="shared" si="354"/>
        <v>1.4917653821666294E-3</v>
      </c>
      <c r="AK27" s="62">
        <f t="shared" si="354"/>
        <v>1.4917653821666294E-3</v>
      </c>
      <c r="AL27" s="62">
        <f t="shared" si="354"/>
        <v>1.4917653821666294E-3</v>
      </c>
      <c r="AM27" s="62">
        <f t="shared" si="354"/>
        <v>1.4917653821666294E-3</v>
      </c>
      <c r="AN27" s="62">
        <f t="shared" ref="AN27:AO27" si="355">IF(AN24="","",SUM(AN25:AN26))</f>
        <v>5.4071302894116778E-4</v>
      </c>
      <c r="AO27" s="62">
        <f t="shared" si="355"/>
        <v>5.4071302894116778E-4</v>
      </c>
      <c r="AP27" s="62">
        <f t="shared" ref="AP27:AQ27" si="356">IF(AP24="","",SUM(AP25:AP26))</f>
        <v>5.4071302894116778E-4</v>
      </c>
      <c r="AQ27" s="62">
        <f t="shared" si="356"/>
        <v>5.4071302894116778E-4</v>
      </c>
      <c r="AR27" s="62">
        <f t="shared" ref="AR27:AS27" si="357">IF(AR24="","",SUM(AR25:AR26))</f>
        <v>5.4071302894116778E-4</v>
      </c>
      <c r="AS27" s="62">
        <f t="shared" si="357"/>
        <v>5.4071302894116778E-4</v>
      </c>
      <c r="AT27" s="62">
        <f t="shared" ref="AT27:AU27" si="358">IF(AT24="","",SUM(AT25:AT26))</f>
        <v>5.4071302894116778E-4</v>
      </c>
      <c r="AU27" s="62">
        <f t="shared" si="358"/>
        <v>5.4071302894116778E-4</v>
      </c>
      <c r="AV27" s="62">
        <f t="shared" ref="AV27:AW27" si="359">IF(AV24="","",SUM(AV25:AV26))</f>
        <v>5.4071302894116778E-4</v>
      </c>
      <c r="AW27" s="62">
        <f t="shared" si="359"/>
        <v>5.4071302894116778E-4</v>
      </c>
      <c r="AX27" s="62">
        <f t="shared" ref="AX27:AY27" si="360">IF(AX24="","",SUM(AX25:AX26))</f>
        <v>5.4071302894116778E-4</v>
      </c>
      <c r="AY27" s="62">
        <f t="shared" si="360"/>
        <v>5.4071302894116778E-4</v>
      </c>
      <c r="AZ27" s="62">
        <f t="shared" ref="AZ27:BA27" si="361">IF(AZ24="","",SUM(AZ25:AZ26))</f>
        <v>-1.1814066483548182E-4</v>
      </c>
      <c r="BA27" s="62">
        <f t="shared" si="361"/>
        <v>-1.1814066483548182E-4</v>
      </c>
      <c r="BB27" s="62">
        <f t="shared" ref="BB27:BC27" si="362">IF(BB24="","",SUM(BB25:BB26))</f>
        <v>-1.1814066483548182E-4</v>
      </c>
      <c r="BC27" s="62">
        <f t="shared" si="362"/>
        <v>-1.1814066483548182E-4</v>
      </c>
      <c r="BD27" s="62">
        <f t="shared" ref="BD27:BE27" si="363">IF(BD24="","",SUM(BD25:BD26))</f>
        <v>-1.1814066483548182E-4</v>
      </c>
      <c r="BE27" s="62">
        <f t="shared" si="363"/>
        <v>-1.1814066483548182E-4</v>
      </c>
      <c r="BF27" s="62">
        <f t="shared" ref="BF27:BG27" si="364">IF(BF24="","",SUM(BF25:BF26))</f>
        <v>-1.1814066483548182E-4</v>
      </c>
      <c r="BG27" s="62">
        <f t="shared" si="364"/>
        <v>-1.1814066483548182E-4</v>
      </c>
      <c r="BH27" s="62">
        <f t="shared" ref="BH27:BI27" si="365">IF(BH24="","",SUM(BH25:BH26))</f>
        <v>-1.1814066483548182E-4</v>
      </c>
      <c r="BI27" s="62">
        <f t="shared" si="365"/>
        <v>-1.1814066483548182E-4</v>
      </c>
      <c r="BJ27" s="62">
        <f t="shared" ref="BJ27:BK27" si="366">IF(BJ24="","",SUM(BJ25:BJ26))</f>
        <v>-1.1814066483548182E-4</v>
      </c>
      <c r="BK27" s="62">
        <f t="shared" si="366"/>
        <v>-1.1814066483548182E-4</v>
      </c>
      <c r="BL27" s="62">
        <f t="shared" ref="BL27:BM27" si="367">IF(BL24="","",SUM(BL25:BL26))</f>
        <v>-4.054804498831439E-5</v>
      </c>
      <c r="BM27" s="62">
        <f t="shared" si="367"/>
        <v>-4.054804498831439E-5</v>
      </c>
      <c r="BN27" s="62">
        <f t="shared" ref="BN27:BO27" si="368">IF(BN24="","",SUM(BN25:BN26))</f>
        <v>-4.054804498831439E-5</v>
      </c>
      <c r="BO27" s="62">
        <f t="shared" si="368"/>
        <v>-4.054804498831439E-5</v>
      </c>
      <c r="BP27" s="62">
        <f t="shared" ref="BP27:BQ27" si="369">IF(BP24="","",SUM(BP25:BP26))</f>
        <v>-4.054804498831439E-5</v>
      </c>
      <c r="BQ27" s="62">
        <f t="shared" si="369"/>
        <v>-4.054804498831439E-5</v>
      </c>
      <c r="BR27" s="62">
        <f t="shared" ref="BR27:BS27" si="370">IF(BR24="","",SUM(BR25:BR26))</f>
        <v>-4.054804498831439E-5</v>
      </c>
      <c r="BS27" s="62">
        <f t="shared" si="370"/>
        <v>-4.054804498831439E-5</v>
      </c>
      <c r="BT27" s="62">
        <f t="shared" ref="BT27:BU27" si="371">IF(BT24="","",SUM(BT25:BT26))</f>
        <v>-4.054804498831439E-5</v>
      </c>
      <c r="BU27" s="62">
        <f t="shared" si="371"/>
        <v>-4.054804498831439E-5</v>
      </c>
      <c r="BV27" s="62">
        <f t="shared" ref="BV27:BW27" si="372">IF(BV24="","",SUM(BV25:BV26))</f>
        <v>-4.054804498831439E-5</v>
      </c>
      <c r="BW27" s="62">
        <f t="shared" si="372"/>
        <v>-4.054804498831439E-5</v>
      </c>
      <c r="BX27" s="62">
        <f t="shared" ref="BX27:BY27" si="373">IF(BX24="","",SUM(BX25:BX26))</f>
        <v>3.5567583786550491E-6</v>
      </c>
      <c r="BY27" s="62">
        <f t="shared" si="373"/>
        <v>3.5567583786550491E-6</v>
      </c>
      <c r="BZ27" s="62">
        <f t="shared" ref="BZ27:CA27" si="374">IF(BZ24="","",SUM(BZ25:BZ26))</f>
        <v>3.5567583786550491E-6</v>
      </c>
      <c r="CA27" s="62">
        <f t="shared" si="374"/>
        <v>3.5567583786550491E-6</v>
      </c>
      <c r="CB27" s="62">
        <f t="shared" ref="CB27:CC27" si="375">IF(CB24="","",SUM(CB25:CB26))</f>
        <v>3.5567583786550491E-6</v>
      </c>
      <c r="CC27" s="62">
        <f t="shared" si="375"/>
        <v>3.5567583786550491E-6</v>
      </c>
      <c r="CD27" s="62">
        <f t="shared" ref="CD27:CE27" si="376">IF(CD24="","",SUM(CD25:CD26))</f>
        <v>3.5567583786550491E-6</v>
      </c>
      <c r="CE27" s="62">
        <f t="shared" si="376"/>
        <v>3.5567583786550491E-6</v>
      </c>
      <c r="CF27" s="62">
        <f t="shared" ref="CF27:CG27" si="377">IF(CF24="","",SUM(CF25:CF26))</f>
        <v>3.5567583786550491E-6</v>
      </c>
      <c r="CG27" s="62">
        <f t="shared" si="377"/>
        <v>3.5567583786550491E-6</v>
      </c>
      <c r="CH27" s="62">
        <f t="shared" ref="CH27:CI27" si="378">IF(CH24="","",SUM(CH25:CH26))</f>
        <v>3.5567583786550491E-6</v>
      </c>
      <c r="CI27" s="62">
        <f t="shared" si="378"/>
        <v>3.5567583786550491E-6</v>
      </c>
    </row>
    <row r="28" spans="1:87" x14ac:dyDescent="0.25">
      <c r="A28" s="306"/>
      <c r="B28" s="73" t="s">
        <v>56</v>
      </c>
      <c r="C28" s="66">
        <f>+C26/C27</f>
        <v>0</v>
      </c>
      <c r="D28" s="66">
        <f>+IFERROR(D26/D27,"")</f>
        <v>0.66514598540145986</v>
      </c>
      <c r="E28" s="66">
        <f>+IFERROR(E26/E27,"")</f>
        <v>0.66514598540145986</v>
      </c>
      <c r="F28" s="66">
        <f>IF(F24="","",IFERROR(F26/F27,""))</f>
        <v>0.66514598540145986</v>
      </c>
      <c r="G28" s="66">
        <f t="shared" ref="G28:Z28" si="379">IF(G24="","",IFERROR(G26/G27,""))</f>
        <v>0.66514598540145986</v>
      </c>
      <c r="H28" s="66">
        <f t="shared" si="379"/>
        <v>0.66514598540145986</v>
      </c>
      <c r="I28" s="66">
        <f t="shared" si="379"/>
        <v>0.66514598540145986</v>
      </c>
      <c r="J28" s="66">
        <f t="shared" si="379"/>
        <v>0.66514598540145986</v>
      </c>
      <c r="K28" s="66">
        <f t="shared" si="379"/>
        <v>0.66514598540145986</v>
      </c>
      <c r="L28" s="66">
        <f t="shared" si="379"/>
        <v>0.66514598540145986</v>
      </c>
      <c r="M28" s="66">
        <f t="shared" si="379"/>
        <v>0.66514598540145986</v>
      </c>
      <c r="N28" s="66">
        <f t="shared" si="379"/>
        <v>0.66514598540145986</v>
      </c>
      <c r="O28" s="66">
        <f t="shared" si="379"/>
        <v>0.66514598540145986</v>
      </c>
      <c r="P28" s="66">
        <f t="shared" si="379"/>
        <v>-9.4529576006013288E-3</v>
      </c>
      <c r="Q28" s="66">
        <f t="shared" si="379"/>
        <v>-9.4529576006013288E-3</v>
      </c>
      <c r="R28" s="66">
        <f t="shared" si="379"/>
        <v>-9.4529576006013288E-3</v>
      </c>
      <c r="S28" s="66">
        <f t="shared" si="379"/>
        <v>-9.4529576006013288E-3</v>
      </c>
      <c r="T28" s="66">
        <f t="shared" si="379"/>
        <v>-9.4529576006013288E-3</v>
      </c>
      <c r="U28" s="66">
        <f t="shared" si="379"/>
        <v>-9.4529576006013288E-3</v>
      </c>
      <c r="V28" s="66">
        <f t="shared" si="379"/>
        <v>-9.4529576006013288E-3</v>
      </c>
      <c r="W28" s="66">
        <f t="shared" si="379"/>
        <v>-9.4529576006013288E-3</v>
      </c>
      <c r="X28" s="66">
        <f t="shared" si="379"/>
        <v>-9.4529576006013288E-3</v>
      </c>
      <c r="Y28" s="66">
        <f t="shared" si="379"/>
        <v>-9.4529576006013288E-3</v>
      </c>
      <c r="Z28" s="66">
        <f t="shared" si="379"/>
        <v>-9.4529576006013288E-3</v>
      </c>
      <c r="AA28" s="66">
        <f t="shared" ref="AA28:AC28" si="380">IF(AA24="","",IFERROR(AA26/AA27,""))</f>
        <v>-9.4529576006013288E-3</v>
      </c>
      <c r="AB28" s="66">
        <f t="shared" si="380"/>
        <v>-0.12434749727121444</v>
      </c>
      <c r="AC28" s="66">
        <f t="shared" si="380"/>
        <v>-0.12434749727121444</v>
      </c>
      <c r="AD28" s="66">
        <f t="shared" ref="AD28:AM28" si="381">IF(AD24="","",IFERROR(AD26/AD27,""))</f>
        <v>-0.12434749727121444</v>
      </c>
      <c r="AE28" s="66">
        <f t="shared" si="381"/>
        <v>-0.12434749727121444</v>
      </c>
      <c r="AF28" s="66">
        <f t="shared" si="381"/>
        <v>-0.12434749727121444</v>
      </c>
      <c r="AG28" s="66">
        <f t="shared" si="381"/>
        <v>-0.12434749727121444</v>
      </c>
      <c r="AH28" s="66">
        <f t="shared" si="381"/>
        <v>-0.12434749727121444</v>
      </c>
      <c r="AI28" s="66">
        <f t="shared" si="381"/>
        <v>-0.12434749727121444</v>
      </c>
      <c r="AJ28" s="66">
        <f t="shared" si="381"/>
        <v>-0.12434749727121444</v>
      </c>
      <c r="AK28" s="66">
        <f t="shared" si="381"/>
        <v>-0.12434749727121444</v>
      </c>
      <c r="AL28" s="66">
        <f t="shared" si="381"/>
        <v>-0.12434749727121444</v>
      </c>
      <c r="AM28" s="66">
        <f t="shared" si="381"/>
        <v>-0.12434749727121444</v>
      </c>
      <c r="AN28" s="66">
        <f t="shared" ref="AN28:AO28" si="382">IF(AN24="","",IFERROR(AN26/AN27,""))</f>
        <v>0.2819909897604409</v>
      </c>
      <c r="AO28" s="66">
        <f t="shared" si="382"/>
        <v>0.2819909897604409</v>
      </c>
      <c r="AP28" s="66">
        <f t="shared" ref="AP28:AQ28" si="383">IF(AP24="","",IFERROR(AP26/AP27,""))</f>
        <v>0.2819909897604409</v>
      </c>
      <c r="AQ28" s="66">
        <f t="shared" si="383"/>
        <v>0.2819909897604409</v>
      </c>
      <c r="AR28" s="66">
        <f t="shared" ref="AR28:AS28" si="384">IF(AR24="","",IFERROR(AR26/AR27,""))</f>
        <v>0.2819909897604409</v>
      </c>
      <c r="AS28" s="66">
        <f t="shared" si="384"/>
        <v>0.2819909897604409</v>
      </c>
      <c r="AT28" s="66">
        <f t="shared" ref="AT28:AU28" si="385">IF(AT24="","",IFERROR(AT26/AT27,""))</f>
        <v>0.2819909897604409</v>
      </c>
      <c r="AU28" s="66">
        <f t="shared" si="385"/>
        <v>0.2819909897604409</v>
      </c>
      <c r="AV28" s="66">
        <f t="shared" ref="AV28:AW28" si="386">IF(AV24="","",IFERROR(AV26/AV27,""))</f>
        <v>0.2819909897604409</v>
      </c>
      <c r="AW28" s="66">
        <f t="shared" si="386"/>
        <v>0.2819909897604409</v>
      </c>
      <c r="AX28" s="66">
        <f t="shared" ref="AX28:AY28" si="387">IF(AX24="","",IFERROR(AX26/AX27,""))</f>
        <v>0.2819909897604409</v>
      </c>
      <c r="AY28" s="66">
        <f t="shared" si="387"/>
        <v>0.2819909897604409</v>
      </c>
      <c r="AZ28" s="66">
        <f t="shared" ref="AZ28:BA28" si="388">IF(AZ24="","",IFERROR(AZ26/AZ27,""))</f>
        <v>1.6843812763593806</v>
      </c>
      <c r="BA28" s="66">
        <f t="shared" si="388"/>
        <v>1.6843812763593806</v>
      </c>
      <c r="BB28" s="66">
        <f t="shared" ref="BB28:BC28" si="389">IF(BB24="","",IFERROR(BB26/BB27,""))</f>
        <v>1.6843812763593806</v>
      </c>
      <c r="BC28" s="66">
        <f t="shared" si="389"/>
        <v>1.6843812763593806</v>
      </c>
      <c r="BD28" s="66">
        <f t="shared" ref="BD28:BE28" si="390">IF(BD24="","",IFERROR(BD26/BD27,""))</f>
        <v>1.6843812763593806</v>
      </c>
      <c r="BE28" s="66">
        <f t="shared" si="390"/>
        <v>1.6843812763593806</v>
      </c>
      <c r="BF28" s="66">
        <f t="shared" ref="BF28:BG28" si="391">IF(BF24="","",IFERROR(BF26/BF27,""))</f>
        <v>1.6843812763593806</v>
      </c>
      <c r="BG28" s="66">
        <f t="shared" si="391"/>
        <v>1.6843812763593806</v>
      </c>
      <c r="BH28" s="66">
        <f t="shared" ref="BH28:BI28" si="392">IF(BH24="","",IFERROR(BH26/BH27,""))</f>
        <v>1.6843812763593806</v>
      </c>
      <c r="BI28" s="66">
        <f t="shared" si="392"/>
        <v>1.6843812763593806</v>
      </c>
      <c r="BJ28" s="66">
        <f t="shared" ref="BJ28:BK28" si="393">IF(BJ24="","",IFERROR(BJ26/BJ27,""))</f>
        <v>1.6843812763593806</v>
      </c>
      <c r="BK28" s="66">
        <f t="shared" si="393"/>
        <v>1.6843812763593806</v>
      </c>
      <c r="BL28" s="66">
        <f t="shared" ref="BL28:BM28" si="394">IF(BL24="","",IFERROR(BL26/BL27,""))</f>
        <v>1.0875733556751301</v>
      </c>
      <c r="BM28" s="66">
        <f t="shared" si="394"/>
        <v>1.0875733556751301</v>
      </c>
      <c r="BN28" s="66">
        <f t="shared" ref="BN28:BO28" si="395">IF(BN24="","",IFERROR(BN26/BN27,""))</f>
        <v>1.0875733556751301</v>
      </c>
      <c r="BO28" s="66">
        <f t="shared" si="395"/>
        <v>1.0875733556751301</v>
      </c>
      <c r="BP28" s="66">
        <f t="shared" ref="BP28:BQ28" si="396">IF(BP24="","",IFERROR(BP26/BP27,""))</f>
        <v>1.0875733556751301</v>
      </c>
      <c r="BQ28" s="66">
        <f t="shared" si="396"/>
        <v>1.0875733556751301</v>
      </c>
      <c r="BR28" s="66">
        <f t="shared" ref="BR28:BS28" si="397">IF(BR24="","",IFERROR(BR26/BR27,""))</f>
        <v>1.0875733556751301</v>
      </c>
      <c r="BS28" s="66">
        <f t="shared" si="397"/>
        <v>1.0875733556751301</v>
      </c>
      <c r="BT28" s="66">
        <f t="shared" ref="BT28:BU28" si="398">IF(BT24="","",IFERROR(BT26/BT27,""))</f>
        <v>1.0875733556751301</v>
      </c>
      <c r="BU28" s="66">
        <f t="shared" si="398"/>
        <v>1.0875733556751301</v>
      </c>
      <c r="BV28" s="66">
        <f t="shared" ref="BV28:BW28" si="399">IF(BV24="","",IFERROR(BV26/BV27,""))</f>
        <v>1.0875733556751301</v>
      </c>
      <c r="BW28" s="66">
        <f t="shared" si="399"/>
        <v>1.0875733556751301</v>
      </c>
      <c r="BX28" s="66">
        <f t="shared" ref="BX28:BY28" si="400">IF(BX24="","",IFERROR(BX26/BX27,""))</f>
        <v>1</v>
      </c>
      <c r="BY28" s="66">
        <f t="shared" si="400"/>
        <v>1</v>
      </c>
      <c r="BZ28" s="66">
        <f t="shared" ref="BZ28:CA28" si="401">IF(BZ24="","",IFERROR(BZ26/BZ27,""))</f>
        <v>1</v>
      </c>
      <c r="CA28" s="66">
        <f t="shared" si="401"/>
        <v>1</v>
      </c>
      <c r="CB28" s="66">
        <f t="shared" ref="CB28:CC28" si="402">IF(CB24="","",IFERROR(CB26/CB27,""))</f>
        <v>1</v>
      </c>
      <c r="CC28" s="66">
        <f t="shared" si="402"/>
        <v>1</v>
      </c>
      <c r="CD28" s="66">
        <f t="shared" ref="CD28:CE28" si="403">IF(CD24="","",IFERROR(CD26/CD27,""))</f>
        <v>1</v>
      </c>
      <c r="CE28" s="66">
        <f t="shared" si="403"/>
        <v>1</v>
      </c>
      <c r="CF28" s="66">
        <f t="shared" ref="CF28:CG28" si="404">IF(CF24="","",IFERROR(CF26/CF27,""))</f>
        <v>1</v>
      </c>
      <c r="CG28" s="66">
        <f t="shared" si="404"/>
        <v>1</v>
      </c>
      <c r="CH28" s="66">
        <f t="shared" ref="CH28:CI28" si="405">IF(CH24="","",IFERROR(CH26/CH27,""))</f>
        <v>1</v>
      </c>
      <c r="CI28" s="66">
        <f t="shared" si="405"/>
        <v>1</v>
      </c>
    </row>
    <row r="29" spans="1:87" s="48" customFormat="1" x14ac:dyDescent="0.25">
      <c r="A29" s="306"/>
      <c r="B29" s="74" t="s">
        <v>57</v>
      </c>
      <c r="C29" s="64">
        <f>+C28*C24</f>
        <v>0</v>
      </c>
      <c r="D29" s="64">
        <f>+ROUND(D28*D24,2)</f>
        <v>218471.8</v>
      </c>
      <c r="E29" s="64">
        <f>+ROUND(E28*E24,2)</f>
        <v>177710.71</v>
      </c>
      <c r="F29" s="64">
        <f>IF(F24="","",ROUND(F28*F24,2))</f>
        <v>191229.73</v>
      </c>
      <c r="G29" s="64">
        <f t="shared" ref="G29:Z29" si="406">IF(G24="","",ROUND(G28*G24,2))</f>
        <v>193716.84</v>
      </c>
      <c r="H29" s="64">
        <f t="shared" si="406"/>
        <v>222624.92</v>
      </c>
      <c r="I29" s="64">
        <f t="shared" si="406"/>
        <v>218073.95</v>
      </c>
      <c r="J29" s="64">
        <f t="shared" si="406"/>
        <v>230059.35</v>
      </c>
      <c r="K29" s="64">
        <f t="shared" si="406"/>
        <v>221358.47</v>
      </c>
      <c r="L29" s="64">
        <f t="shared" si="406"/>
        <v>216663.84</v>
      </c>
      <c r="M29" s="64">
        <f t="shared" si="406"/>
        <v>195061.62</v>
      </c>
      <c r="N29" s="64">
        <f t="shared" si="406"/>
        <v>204414.35</v>
      </c>
      <c r="O29" s="64">
        <f t="shared" si="406"/>
        <v>225860.94</v>
      </c>
      <c r="P29" s="64">
        <f t="shared" si="406"/>
        <v>-2910.27</v>
      </c>
      <c r="Q29" s="64">
        <f t="shared" si="406"/>
        <v>-2901.71</v>
      </c>
      <c r="R29" s="64">
        <f t="shared" si="406"/>
        <v>-2678.69</v>
      </c>
      <c r="S29" s="64">
        <f t="shared" si="406"/>
        <v>-3084.99</v>
      </c>
      <c r="T29" s="64">
        <f t="shared" si="406"/>
        <v>-3345.54</v>
      </c>
      <c r="U29" s="64">
        <f t="shared" si="406"/>
        <v>-3464.54</v>
      </c>
      <c r="V29" s="64">
        <f t="shared" si="406"/>
        <v>-3405.5</v>
      </c>
      <c r="W29" s="64">
        <f t="shared" si="406"/>
        <v>-3314.25</v>
      </c>
      <c r="X29" s="64">
        <f t="shared" si="406"/>
        <v>-3107.88</v>
      </c>
      <c r="Y29" s="64">
        <f t="shared" si="406"/>
        <v>-2892.34</v>
      </c>
      <c r="Z29" s="64">
        <f t="shared" si="406"/>
        <v>-3110.11</v>
      </c>
      <c r="AA29" s="64">
        <f t="shared" ref="AA29:AC29" si="407">IF(AA24="","",ROUND(AA28*AA24,2))</f>
        <v>-2854.53</v>
      </c>
      <c r="AB29" s="64">
        <f t="shared" si="407"/>
        <v>-44923.25</v>
      </c>
      <c r="AC29" s="64">
        <f t="shared" si="407"/>
        <v>-44472.76</v>
      </c>
      <c r="AD29" s="64">
        <f t="shared" ref="AD29:AM29" si="408">IF(AD24="","",ROUND(AD28*AD24,2))</f>
        <v>-42630.31</v>
      </c>
      <c r="AE29" s="64">
        <f t="shared" si="408"/>
        <v>-42527.18</v>
      </c>
      <c r="AF29" s="64">
        <f t="shared" si="408"/>
        <v>-49414.85</v>
      </c>
      <c r="AG29" s="64">
        <f t="shared" si="408"/>
        <v>-49660.75</v>
      </c>
      <c r="AH29" s="64">
        <f t="shared" si="408"/>
        <v>-52133.62</v>
      </c>
      <c r="AI29" s="64">
        <f t="shared" si="408"/>
        <v>-51817.96</v>
      </c>
      <c r="AJ29" s="64">
        <f t="shared" si="408"/>
        <v>-48015.69</v>
      </c>
      <c r="AK29" s="64">
        <f t="shared" si="408"/>
        <v>-44402.83</v>
      </c>
      <c r="AL29" s="64">
        <f t="shared" si="408"/>
        <v>-44707.199999999997</v>
      </c>
      <c r="AM29" s="64">
        <f t="shared" si="408"/>
        <v>-45991.89</v>
      </c>
      <c r="AN29" s="64">
        <f t="shared" ref="AN29:AO29" si="409">IF(AN24="","",ROUND(AN28*AN24,2))</f>
        <v>82846.45</v>
      </c>
      <c r="AO29" s="64">
        <f t="shared" si="409"/>
        <v>34821.199999999997</v>
      </c>
      <c r="AP29" s="64">
        <f t="shared" ref="AP29:AQ29" si="410">IF(AP24="","",ROUND(AP28*AP24,2))</f>
        <v>33556.67</v>
      </c>
      <c r="AQ29" s="64">
        <f t="shared" si="410"/>
        <v>31590.7</v>
      </c>
      <c r="AR29" s="64">
        <f t="shared" ref="AR29:AS29" si="411">IF(AR24="","",ROUND(AR28*AR24,2))</f>
        <v>36791.480000000003</v>
      </c>
      <c r="AS29" s="64">
        <f t="shared" si="411"/>
        <v>38724.1</v>
      </c>
      <c r="AT29" s="64">
        <f t="shared" ref="AT29:AU29" si="412">IF(AT24="","",ROUND(AT28*AT24,2))</f>
        <v>40589.17</v>
      </c>
      <c r="AU29" s="64">
        <f t="shared" si="412"/>
        <v>40599.53</v>
      </c>
      <c r="AV29" s="64">
        <f t="shared" ref="AV29:AW29" si="413">IF(AV24="","",ROUND(AV28*AV24,2))</f>
        <v>36087.699999999997</v>
      </c>
      <c r="AW29" s="64">
        <f t="shared" si="413"/>
        <v>35832.050000000003</v>
      </c>
      <c r="AX29" s="64">
        <f t="shared" ref="AX29:AY29" si="414">IF(AX24="","",ROUND(AX28*AX24,2))</f>
        <v>37492.33</v>
      </c>
      <c r="AY29" s="64">
        <f t="shared" si="414"/>
        <v>36812.410000000003</v>
      </c>
      <c r="AZ29" s="64">
        <f t="shared" ref="AZ29:BA29" si="415">IF(AZ24="","",ROUND(AZ28*AZ24,2))</f>
        <v>123157.44</v>
      </c>
      <c r="BA29" s="64">
        <f t="shared" si="415"/>
        <v>-40007.54</v>
      </c>
      <c r="BB29" s="64">
        <f t="shared" ref="BB29:BC29" si="416">IF(BB24="","",ROUND(BB28*BB24,2))</f>
        <v>-42694.89</v>
      </c>
      <c r="BC29" s="64">
        <f t="shared" si="416"/>
        <v>-45615.15</v>
      </c>
      <c r="BD29" s="64">
        <f t="shared" ref="BD29:BE29" si="417">IF(BD24="","",ROUND(BD28*BD24,2))</f>
        <v>-41162.83</v>
      </c>
      <c r="BE29" s="64">
        <f t="shared" si="417"/>
        <v>-56959.49</v>
      </c>
      <c r="BF29" s="64">
        <f t="shared" ref="BF29:BG29" si="418">IF(BF24="","",ROUND(BF28*BF24,2))</f>
        <v>-52295.71</v>
      </c>
      <c r="BG29" s="64">
        <f t="shared" si="418"/>
        <v>-52959.66</v>
      </c>
      <c r="BH29" s="64">
        <f t="shared" ref="BH29:BI29" si="419">IF(BH24="","",ROUND(BH28*BH24,2))</f>
        <v>-45730.01</v>
      </c>
      <c r="BI29" s="64">
        <f t="shared" si="419"/>
        <v>-39890.089999999997</v>
      </c>
      <c r="BJ29" s="64">
        <f t="shared" ref="BJ29:BK29" si="420">IF(BJ24="","",ROUND(BJ28*BJ24,2))</f>
        <v>-52432.800000000003</v>
      </c>
      <c r="BK29" s="64">
        <f t="shared" si="420"/>
        <v>-50635.33</v>
      </c>
      <c r="BL29" s="64">
        <f t="shared" ref="BL29:BM29" si="421">IF(BL24="","",ROUND(BL28*BL24,2))</f>
        <v>-23630.6</v>
      </c>
      <c r="BM29" s="64">
        <f t="shared" si="421"/>
        <v>-10235.24</v>
      </c>
      <c r="BN29" s="64">
        <f t="shared" ref="BN29:BO29" si="422">IF(BN24="","",ROUND(BN28*BN24,2))</f>
        <v>-10302.52</v>
      </c>
      <c r="BO29" s="64">
        <f t="shared" si="422"/>
        <v>-10077.35</v>
      </c>
      <c r="BP29" s="64">
        <f t="shared" ref="BP29:BQ29" si="423">IF(BP24="","",ROUND(BP28*BP24,2))</f>
        <v>-11463.99</v>
      </c>
      <c r="BQ29" s="64">
        <f t="shared" si="423"/>
        <v>-11928.19</v>
      </c>
      <c r="BR29" s="64">
        <f t="shared" ref="BR29:BS29" si="424">IF(BR24="","",ROUND(BR28*BR24,2))</f>
        <v>-11832.42</v>
      </c>
      <c r="BS29" s="64">
        <f t="shared" si="424"/>
        <v>-11526.06</v>
      </c>
      <c r="BT29" s="64">
        <f t="shared" ref="BT29:BU29" si="425">IF(BT24="","",ROUND(BT28*BT24,2))</f>
        <v>-10219.18</v>
      </c>
      <c r="BU29" s="64">
        <f t="shared" si="425"/>
        <v>-10320.07</v>
      </c>
      <c r="BV29" s="64">
        <f t="shared" ref="BV29:BW29" si="426">IF(BV24="","",ROUND(BV28*BV24,2))</f>
        <v>-10712.45</v>
      </c>
      <c r="BW29" s="64">
        <f t="shared" si="426"/>
        <v>-10198.379999999999</v>
      </c>
      <c r="BX29" s="64">
        <f t="shared" ref="BX29:BY29" si="427">IF(BX24="","",ROUND(BX28*BX24,2))</f>
        <v>-6080.44</v>
      </c>
      <c r="BY29" s="64">
        <f t="shared" si="427"/>
        <v>667.65</v>
      </c>
      <c r="BZ29" s="64">
        <f t="shared" ref="BZ29:CA29" si="428">IF(BZ24="","",ROUND(BZ28*BZ24,2))</f>
        <v>877.65</v>
      </c>
      <c r="CA29" s="64">
        <f t="shared" si="428"/>
        <v>877.06</v>
      </c>
      <c r="CB29" s="64">
        <f t="shared" ref="CB29:CC29" si="429">IF(CB24="","",ROUND(CB28*CB24,2))</f>
        <v>917.12</v>
      </c>
      <c r="CC29" s="64">
        <f t="shared" si="429"/>
        <v>941.31</v>
      </c>
      <c r="CD29" s="64">
        <f t="shared" ref="CD29:CE29" si="430">IF(CD24="","",ROUND(CD28*CD24,2))</f>
        <v>1063.3</v>
      </c>
      <c r="CE29" s="64">
        <f t="shared" si="430"/>
        <v>1016.76</v>
      </c>
      <c r="CF29" s="64">
        <f t="shared" ref="CF29:CG29" si="431">IF(CF24="","",ROUND(CF28*CF24,2))</f>
        <v>882.85</v>
      </c>
      <c r="CG29" s="64">
        <f t="shared" si="431"/>
        <v>889.04</v>
      </c>
      <c r="CH29" s="64">
        <f t="shared" ref="CH29:CI29" si="432">IF(CH24="","",ROUND(CH28*CH24,2))</f>
        <v>874.1</v>
      </c>
      <c r="CI29" s="64">
        <f t="shared" si="432"/>
        <v>923.35</v>
      </c>
    </row>
    <row r="30" spans="1:87" s="48" customFormat="1" ht="9" customHeight="1" x14ac:dyDescent="0.25">
      <c r="A30" s="77"/>
      <c r="B30" s="7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row>
    <row r="31" spans="1:87" x14ac:dyDescent="0.25">
      <c r="A31" s="306" t="s">
        <v>37</v>
      </c>
      <c r="B31" s="73" t="s">
        <v>53</v>
      </c>
      <c r="C31" s="63">
        <f>+'MEEIA 2 calcs'!O68</f>
        <v>7958.8</v>
      </c>
      <c r="D31" s="63">
        <f>+'MEEIA 2 calcs'!P68</f>
        <v>202699.47</v>
      </c>
      <c r="E31" s="63">
        <f>+'MEEIA 2 calcs'!Q68</f>
        <v>167678.56</v>
      </c>
      <c r="F31" s="63">
        <f>+'M2 Allocations - TD'!Q54</f>
        <v>185826.61</v>
      </c>
      <c r="G31" s="63">
        <f>IF(+'M2 Allocations - TD'!R54="","",'M2 Allocations - TD'!R54)</f>
        <v>189002.31</v>
      </c>
      <c r="H31" s="63">
        <f>IF(+'M2 Allocations - TD'!S54="","",'M2 Allocations - TD'!S54)</f>
        <v>225674.13</v>
      </c>
      <c r="I31" s="63">
        <f>IF(+'M2 Allocations - TD'!T54="","",'M2 Allocations - TD'!T54)</f>
        <v>213450.91</v>
      </c>
      <c r="J31" s="63">
        <f>IF(+'M2 Allocations - TD'!U54="","",'M2 Allocations - TD'!U54)</f>
        <v>236566.37</v>
      </c>
      <c r="K31" s="63">
        <f>IF(+'M2 Allocations - TD'!V54="","",'M2 Allocations - TD'!V54)</f>
        <v>225419.26</v>
      </c>
      <c r="L31" s="63">
        <f>IF(+'M2 Allocations - TD'!W54="","",'M2 Allocations - TD'!W54)</f>
        <v>214922.7</v>
      </c>
      <c r="M31" s="63">
        <f>IF(+'M2 Allocations - TD'!X54="","",'M2 Allocations - TD'!X54)</f>
        <v>204773.48</v>
      </c>
      <c r="N31" s="63">
        <f>IF(+'M2 Allocations - TD'!Y54="","",'M2 Allocations - TD'!Y54)</f>
        <v>187770.83</v>
      </c>
      <c r="O31" s="63">
        <f>IF(+'M2 Allocations - TD'!Z54="","",'M2 Allocations - TD'!Z54)</f>
        <v>190411.74</v>
      </c>
      <c r="P31" s="63">
        <f>IF(+'M2 Allocations - TD'!AA54="","",'M2 Allocations - TD'!AA54)</f>
        <v>104692.59</v>
      </c>
      <c r="Q31" s="63">
        <f>IF(+'M2 Allocations - TD'!AB54="","",'M2 Allocations - TD'!AB54)</f>
        <v>18094.560000000001</v>
      </c>
      <c r="R31" s="63">
        <f>IF(+'M2 Allocations - TD'!AC54="","",'M2 Allocations - TD'!AC54)</f>
        <v>17212.91</v>
      </c>
      <c r="S31" s="63">
        <f>IF(+'M2 Allocations - TD'!AD54="","",'M2 Allocations - TD'!AD54)</f>
        <v>19682.41</v>
      </c>
      <c r="T31" s="63">
        <f>IF(+'M2 Allocations - TD'!AE54="","",'M2 Allocations - TD'!AE54)</f>
        <v>21781.17</v>
      </c>
      <c r="U31" s="63">
        <f>IF(+'M2 Allocations - TD'!AF54="","",'M2 Allocations - TD'!AF54)</f>
        <v>13233.54</v>
      </c>
      <c r="V31" s="63">
        <f>IF(+'M2 Allocations - TD'!AG54="","",'M2 Allocations - TD'!AG54)</f>
        <v>22431.52</v>
      </c>
      <c r="W31" s="63">
        <f>IF(+'M2 Allocations - TD'!AH54="","",'M2 Allocations - TD'!AH54)</f>
        <v>21067.32</v>
      </c>
      <c r="X31" s="63">
        <f>IF(+'M2 Allocations - TD'!AI54="","",'M2 Allocations - TD'!AI54)</f>
        <v>20801.22</v>
      </c>
      <c r="Y31" s="63">
        <f>IF(+'M2 Allocations - TD'!AJ54="","",'M2 Allocations - TD'!AJ54)</f>
        <v>19547.939999999999</v>
      </c>
      <c r="Z31" s="63">
        <f>IF(+'M2 Allocations - TD'!AK54="","",'M2 Allocations - TD'!AK54)</f>
        <v>19036.14</v>
      </c>
      <c r="AA31" s="63">
        <f>IF(+'M2 Allocations - TD'!AL54="","",'M2 Allocations - TD'!AL54)</f>
        <v>21300.85</v>
      </c>
      <c r="AB31" s="63">
        <f>IF(+'M2 Allocations - TD'!AM54="","",'M2 Allocations - TD'!AM54)</f>
        <v>41051.660000000003</v>
      </c>
      <c r="AC31" s="63">
        <f>IF(+'M2 Allocations - TD'!AN54="","",'M2 Allocations - TD'!AN54)</f>
        <v>64352.88</v>
      </c>
      <c r="AD31" s="63">
        <f>IF(+'M2 Allocations - TD'!AO54="","",'M2 Allocations - TD'!AO54)</f>
        <v>64072.1</v>
      </c>
      <c r="AE31" s="63">
        <f>IF(+'M2 Allocations - TD'!AP54="","",'M2 Allocations - TD'!AP54)</f>
        <v>62519.33</v>
      </c>
      <c r="AF31" s="63">
        <f>IF(+'M2 Allocations - TD'!AQ54="","",'M2 Allocations - TD'!AQ54)</f>
        <v>78748.960000000006</v>
      </c>
      <c r="AG31" s="63">
        <f>IF(+'M2 Allocations - TD'!AR54="","",'M2 Allocations - TD'!AR54)</f>
        <v>73304.259999999995</v>
      </c>
      <c r="AH31" s="63">
        <f>IF(+'M2 Allocations - TD'!AS54="","",'M2 Allocations - TD'!AS54)</f>
        <v>81170.33</v>
      </c>
      <c r="AI31" s="63">
        <f>IF(+'M2 Allocations - TD'!AT54="","",'M2 Allocations - TD'!AT54)</f>
        <v>82260.42</v>
      </c>
      <c r="AJ31" s="63">
        <f>IF(+'M2 Allocations - TD'!AU54="","",'M2 Allocations - TD'!AU54)</f>
        <v>77599.5</v>
      </c>
      <c r="AK31" s="63">
        <f>IF(+'M2 Allocations - TD'!AV54="","",'M2 Allocations - TD'!AV54)</f>
        <v>68913.850000000006</v>
      </c>
      <c r="AL31" s="63">
        <f>IF(+'M2 Allocations - TD'!AW54="","",'M2 Allocations - TD'!AW54)</f>
        <v>64843.48</v>
      </c>
      <c r="AM31" s="63">
        <f>IF(+'M2 Allocations - TD'!AX54="","",'M2 Allocations - TD'!AX54)</f>
        <v>68622.929999999993</v>
      </c>
      <c r="AN31" s="63">
        <f>IF(+'M2 Allocations - TD'!AY54="","",'M2 Allocations - TD'!AY54)</f>
        <v>67842.5</v>
      </c>
      <c r="AO31" s="63">
        <f>IF(+'M2 Allocations - TD'!AZ54="","",'M2 Allocations - TD'!AZ54)</f>
        <v>38688.33</v>
      </c>
      <c r="AP31" s="63">
        <f>IF(+'M2 Allocations - TD'!BA54="","",'M2 Allocations - TD'!BA54)</f>
        <v>44298.87</v>
      </c>
      <c r="AQ31" s="63">
        <f>IF(+'M2 Allocations - TD'!BB54="","",'M2 Allocations - TD'!BB54)</f>
        <v>44976.56</v>
      </c>
      <c r="AR31" s="63">
        <f>IF(+'M2 Allocations - TD'!BC54="","",'M2 Allocations - TD'!BC54)</f>
        <v>11431.37</v>
      </c>
      <c r="AS31" s="63">
        <f>IF(+'M2 Allocations - TD'!BD54="","",'M2 Allocations - TD'!BD54)</f>
        <v>50558.239999999998</v>
      </c>
      <c r="AT31" s="63">
        <f>IF(+'M2 Allocations - TD'!BE54="","",'M2 Allocations - TD'!BE54)</f>
        <v>52075.91</v>
      </c>
      <c r="AU31" s="63">
        <f>IF(+'M2 Allocations - TD'!BF54="","",'M2 Allocations - TD'!BF54)</f>
        <v>52816.959999999999</v>
      </c>
      <c r="AV31" s="63">
        <f>IF(+'M2 Allocations - TD'!BG54="","",'M2 Allocations - TD'!BG54)</f>
        <v>46523.24</v>
      </c>
      <c r="AW31" s="63">
        <f>IF(+'M2 Allocations - TD'!BH54="","",'M2 Allocations - TD'!BH54)</f>
        <v>45630.69</v>
      </c>
      <c r="AX31" s="63">
        <f>IF(+'M2 Allocations - TD'!BI54="","",'M2 Allocations - TD'!BI54)</f>
        <v>46596.58</v>
      </c>
      <c r="AY31" s="63">
        <f>IF(+'M2 Allocations - TD'!BJ54="","",'M2 Allocations - TD'!BJ54)</f>
        <v>42614.78</v>
      </c>
      <c r="AZ31" s="63">
        <f>IF(+'M2 Allocations - TD'!BK54="","",'M2 Allocations - TD'!BK54)</f>
        <v>37690.370000000003</v>
      </c>
      <c r="BA31" s="63">
        <f>IF(+'M2 Allocations - TD'!BL54="","",'M2 Allocations - TD'!BL54)</f>
        <v>-999.06</v>
      </c>
      <c r="BB31" s="63">
        <f>IF(+'M2 Allocations - TD'!BM54="","",'M2 Allocations - TD'!BM54)</f>
        <v>1068.3499999999999</v>
      </c>
      <c r="BC31" s="63">
        <f>IF(+'M2 Allocations - TD'!BN54="","",'M2 Allocations - TD'!BN54)</f>
        <v>1085.3800000000001</v>
      </c>
      <c r="BD31" s="63">
        <f>IF(+'M2 Allocations - TD'!BO54="","",'M2 Allocations - TD'!BO54)</f>
        <v>1047.53</v>
      </c>
      <c r="BE31" s="63">
        <f>IF(+'M2 Allocations - TD'!BP54="","",'M2 Allocations - TD'!BP54)</f>
        <v>1336.85</v>
      </c>
      <c r="BF31" s="63">
        <f>IF(+'M2 Allocations - TD'!BQ54="","",'M2 Allocations - TD'!BQ54)</f>
        <v>1272.6199999999999</v>
      </c>
      <c r="BG31" s="63">
        <f>IF(+'M2 Allocations - TD'!BR54="","",'M2 Allocations - TD'!BR54)</f>
        <v>1376.1</v>
      </c>
      <c r="BH31" s="63">
        <f>IF(+'M2 Allocations - TD'!BS54="","",'M2 Allocations - TD'!BS54)</f>
        <v>1261.3</v>
      </c>
      <c r="BI31" s="63">
        <f>IF(+'M2 Allocations - TD'!BT54="","",'M2 Allocations - TD'!BT54)</f>
        <v>837.34</v>
      </c>
      <c r="BJ31" s="63">
        <f>IF(+'M2 Allocations - TD'!BU54="","",'M2 Allocations - TD'!BU54)</f>
        <v>1174.03</v>
      </c>
      <c r="BK31" s="63">
        <f>IF(+'M2 Allocations - TD'!BV54="","",'M2 Allocations - TD'!BV54)</f>
        <v>1093.94</v>
      </c>
      <c r="BL31" s="63">
        <f>IF(+'M2 Allocations - TD'!BW54="","",'M2 Allocations - TD'!BW54)</f>
        <v>596.12</v>
      </c>
      <c r="BM31" s="63">
        <f>IF(+'M2 Allocations - TD'!BX54="","",'M2 Allocations - TD'!BX54)</f>
        <v>-2115.3000000000002</v>
      </c>
      <c r="BN31" s="63">
        <f>IF(+'M2 Allocations - TD'!BY54="","",'M2 Allocations - TD'!BY54)</f>
        <v>-9955.1299999999992</v>
      </c>
      <c r="BO31" s="63">
        <f>IF(+'M2 Allocations - TD'!BZ54="","",'M2 Allocations - TD'!BZ54)</f>
        <v>-1926.46</v>
      </c>
      <c r="BP31" s="63">
        <f>IF(+'M2 Allocations - TD'!CA54="","",'M2 Allocations - TD'!CA54)</f>
        <v>-2348.37</v>
      </c>
      <c r="BQ31" s="63">
        <f>IF(+'M2 Allocations - TD'!CB54="","",'M2 Allocations - TD'!CB54)</f>
        <v>-2694.11</v>
      </c>
      <c r="BR31" s="63">
        <f>IF(+'M2 Allocations - TD'!CC54="","",'M2 Allocations - TD'!CC54)</f>
        <v>-2663.91</v>
      </c>
      <c r="BS31" s="63">
        <f>IF(+'M2 Allocations - TD'!CD54="","",'M2 Allocations - TD'!CD54)</f>
        <v>-2777.2</v>
      </c>
      <c r="BT31" s="63">
        <f>IF(+'M2 Allocations - TD'!CE54="","",'M2 Allocations - TD'!CE54)</f>
        <v>-2385.87</v>
      </c>
      <c r="BU31" s="63">
        <f>IF(+'M2 Allocations - TD'!CF54="","",'M2 Allocations - TD'!CF54)</f>
        <v>-2383.12</v>
      </c>
      <c r="BV31" s="63">
        <f>IF(+'M2 Allocations - TD'!CG54="","",'M2 Allocations - TD'!CG54)</f>
        <v>-2339.5100000000002</v>
      </c>
      <c r="BW31" s="63">
        <f>IF(+'M2 Allocations - TD'!CH54="","",'M2 Allocations - TD'!CH54)</f>
        <v>-1974.96</v>
      </c>
      <c r="BX31" s="63">
        <f>IF(+'M2 Allocations - TD'!CI54="","",'M2 Allocations - TD'!CI54)</f>
        <v>-1623.82</v>
      </c>
      <c r="BY31" s="63">
        <f>IF(+'M2 Allocations - TD'!CJ54="","",'M2 Allocations - TD'!CJ54)</f>
        <v>-8.4700000000000006</v>
      </c>
      <c r="BZ31" s="63">
        <f>IF(+'M2 Allocations - TD'!CK54="","",'M2 Allocations - TD'!CK54)</f>
        <v>0</v>
      </c>
      <c r="CA31" s="63">
        <f>IF(+'M2 Allocations - TD'!CL54="","",'M2 Allocations - TD'!CL54)</f>
        <v>0</v>
      </c>
      <c r="CB31" s="63">
        <f>IF(+'M2 Allocations - TD'!CM54="","",'M2 Allocations - TD'!CM54)</f>
        <v>0</v>
      </c>
      <c r="CC31" s="63">
        <f>IF(+'M2 Allocations - TD'!CN54="","",'M2 Allocations - TD'!CN54)</f>
        <v>0</v>
      </c>
      <c r="CD31" s="63">
        <f>IF(+'M2 Allocations - TD'!CO54="","",'M2 Allocations - TD'!CO54)</f>
        <v>0</v>
      </c>
      <c r="CE31" s="63">
        <f>IF(+'M2 Allocations - TD'!CP54="","",'M2 Allocations - TD'!CP54)</f>
        <v>0</v>
      </c>
      <c r="CF31" s="63">
        <f>IF(+'M2 Allocations - TD'!CQ54="","",'M2 Allocations - TD'!CQ54)</f>
        <v>0</v>
      </c>
      <c r="CG31" s="63">
        <f>IF(+'M2 Allocations - TD'!CR54="","",'M2 Allocations - TD'!CR54)</f>
        <v>0</v>
      </c>
      <c r="CH31" s="63">
        <f>IF(+'M2 Allocations - TD'!CS54="","",'M2 Allocations - TD'!CS54)</f>
        <v>0</v>
      </c>
      <c r="CI31" s="63">
        <f>IF(+'M2 Allocations - TD'!CT54="","",'M2 Allocations - TD'!CT54)</f>
        <v>0</v>
      </c>
    </row>
    <row r="32" spans="1:87" x14ac:dyDescent="0.25">
      <c r="A32" s="306"/>
      <c r="B32" s="73" t="s">
        <v>55</v>
      </c>
      <c r="C32" s="87">
        <v>6.0000000000000002E-5</v>
      </c>
      <c r="D32" s="87">
        <v>3.8400000000000001E-4</v>
      </c>
      <c r="E32" s="71">
        <f>+D32</f>
        <v>3.8400000000000001E-4</v>
      </c>
      <c r="F32" s="71">
        <f>IF(F31="","",E32)</f>
        <v>3.8400000000000001E-4</v>
      </c>
      <c r="G32" s="71">
        <f t="shared" ref="G32:Z32" si="433">IF(G31="","",F32)</f>
        <v>3.8400000000000001E-4</v>
      </c>
      <c r="H32" s="71">
        <f t="shared" si="433"/>
        <v>3.8400000000000001E-4</v>
      </c>
      <c r="I32" s="71">
        <f t="shared" si="433"/>
        <v>3.8400000000000001E-4</v>
      </c>
      <c r="J32" s="71">
        <f t="shared" si="433"/>
        <v>3.8400000000000001E-4</v>
      </c>
      <c r="K32" s="71">
        <f t="shared" si="433"/>
        <v>3.8400000000000001E-4</v>
      </c>
      <c r="L32" s="71">
        <f t="shared" si="433"/>
        <v>3.8400000000000001E-4</v>
      </c>
      <c r="M32" s="71">
        <f t="shared" si="433"/>
        <v>3.8400000000000001E-4</v>
      </c>
      <c r="N32" s="71">
        <f t="shared" si="433"/>
        <v>3.8400000000000001E-4</v>
      </c>
      <c r="O32" s="71">
        <f t="shared" si="433"/>
        <v>3.8400000000000001E-4</v>
      </c>
      <c r="P32" s="87">
        <v>3.5731019249486359E-4</v>
      </c>
      <c r="Q32" s="71">
        <f t="shared" si="433"/>
        <v>3.5731019249486359E-4</v>
      </c>
      <c r="R32" s="90">
        <f t="shared" si="433"/>
        <v>3.5731019249486359E-4</v>
      </c>
      <c r="S32" s="90">
        <f t="shared" si="433"/>
        <v>3.5731019249486359E-4</v>
      </c>
      <c r="T32" s="90">
        <f t="shared" si="433"/>
        <v>3.5731019249486359E-4</v>
      </c>
      <c r="U32" s="90">
        <f t="shared" si="433"/>
        <v>3.5731019249486359E-4</v>
      </c>
      <c r="V32" s="90">
        <f t="shared" si="433"/>
        <v>3.5731019249486359E-4</v>
      </c>
      <c r="W32" s="90">
        <f t="shared" si="433"/>
        <v>3.5731019249486359E-4</v>
      </c>
      <c r="X32" s="90">
        <f t="shared" si="433"/>
        <v>3.5731019249486359E-4</v>
      </c>
      <c r="Y32" s="90">
        <f t="shared" si="433"/>
        <v>3.5731019249486359E-4</v>
      </c>
      <c r="Z32" s="90">
        <f t="shared" si="433"/>
        <v>3.5731019249486359E-4</v>
      </c>
      <c r="AA32" s="90">
        <f t="shared" ref="AA32" si="434">IF(AA31="","",Z32)</f>
        <v>3.5731019249486359E-4</v>
      </c>
      <c r="AB32" s="87">
        <v>6.7202311992673749E-4</v>
      </c>
      <c r="AC32" s="71">
        <f t="shared" ref="AC32" si="435">IF(AC31="","",AB32)</f>
        <v>6.7202311992673749E-4</v>
      </c>
      <c r="AD32" s="71">
        <f t="shared" ref="AD32" si="436">IF(AD31="","",AC32)</f>
        <v>6.7202311992673749E-4</v>
      </c>
      <c r="AE32" s="71">
        <f t="shared" ref="AE32" si="437">IF(AE31="","",AD32)</f>
        <v>6.7202311992673749E-4</v>
      </c>
      <c r="AF32" s="71">
        <f t="shared" ref="AF32" si="438">IF(AF31="","",AE32)</f>
        <v>6.7202311992673749E-4</v>
      </c>
      <c r="AG32" s="71">
        <f t="shared" ref="AG32" si="439">IF(AG31="","",AF32)</f>
        <v>6.7202311992673749E-4</v>
      </c>
      <c r="AH32" s="71">
        <f t="shared" ref="AH32" si="440">IF(AH31="","",AG32)</f>
        <v>6.7202311992673749E-4</v>
      </c>
      <c r="AI32" s="71">
        <f t="shared" ref="AI32" si="441">IF(AI31="","",AH32)</f>
        <v>6.7202311992673749E-4</v>
      </c>
      <c r="AJ32" s="71">
        <f t="shared" ref="AJ32" si="442">IF(AJ31="","",AI32)</f>
        <v>6.7202311992673749E-4</v>
      </c>
      <c r="AK32" s="71">
        <f t="shared" ref="AK32" si="443">IF(AK31="","",AJ32)</f>
        <v>6.7202311992673749E-4</v>
      </c>
      <c r="AL32" s="71">
        <f t="shared" ref="AL32" si="444">IF(AL31="","",AK32)</f>
        <v>6.7202311992673749E-4</v>
      </c>
      <c r="AM32" s="71">
        <f t="shared" ref="AM32" si="445">IF(AM31="","",AL32)</f>
        <v>6.7202311992673749E-4</v>
      </c>
      <c r="AN32" s="119">
        <v>1.712590854401589E-4</v>
      </c>
      <c r="AO32" s="71">
        <f t="shared" ref="AO32:AS32" si="446">IF(AO31="","",AN32)</f>
        <v>1.712590854401589E-4</v>
      </c>
      <c r="AP32" s="71">
        <f t="shared" si="446"/>
        <v>1.712590854401589E-4</v>
      </c>
      <c r="AQ32" s="71">
        <f t="shared" si="446"/>
        <v>1.712590854401589E-4</v>
      </c>
      <c r="AR32" s="71">
        <f t="shared" si="446"/>
        <v>1.712590854401589E-4</v>
      </c>
      <c r="AS32" s="71">
        <f t="shared" si="446"/>
        <v>1.712590854401589E-4</v>
      </c>
      <c r="AT32" s="71">
        <f t="shared" ref="AT32:BK32" si="447">IF(AT31="","",AS32)</f>
        <v>1.712590854401589E-4</v>
      </c>
      <c r="AU32" s="71">
        <f t="shared" si="447"/>
        <v>1.712590854401589E-4</v>
      </c>
      <c r="AV32" s="71">
        <f t="shared" si="447"/>
        <v>1.712590854401589E-4</v>
      </c>
      <c r="AW32" s="71">
        <f t="shared" si="447"/>
        <v>1.712590854401589E-4</v>
      </c>
      <c r="AX32" s="71">
        <f t="shared" si="447"/>
        <v>1.712590854401589E-4</v>
      </c>
      <c r="AY32" s="71">
        <f t="shared" si="447"/>
        <v>1.712590854401589E-4</v>
      </c>
      <c r="AZ32" s="119">
        <v>0</v>
      </c>
      <c r="BA32" s="71">
        <f t="shared" si="447"/>
        <v>0</v>
      </c>
      <c r="BB32" s="71">
        <f t="shared" si="447"/>
        <v>0</v>
      </c>
      <c r="BC32" s="71">
        <f t="shared" si="447"/>
        <v>0</v>
      </c>
      <c r="BD32" s="71">
        <f t="shared" si="447"/>
        <v>0</v>
      </c>
      <c r="BE32" s="71">
        <f t="shared" si="447"/>
        <v>0</v>
      </c>
      <c r="BF32" s="71">
        <f t="shared" si="447"/>
        <v>0</v>
      </c>
      <c r="BG32" s="71">
        <f t="shared" si="447"/>
        <v>0</v>
      </c>
      <c r="BH32" s="71">
        <f t="shared" si="447"/>
        <v>0</v>
      </c>
      <c r="BI32" s="71">
        <f t="shared" si="447"/>
        <v>0</v>
      </c>
      <c r="BJ32" s="71">
        <f t="shared" si="447"/>
        <v>0</v>
      </c>
      <c r="BK32" s="71">
        <f t="shared" si="447"/>
        <v>0</v>
      </c>
      <c r="BL32" s="120">
        <v>-4.1979797794062399E-8</v>
      </c>
      <c r="BM32" s="71">
        <f t="shared" ref="BM32:CI32" si="448">IF(BM31="","",BL32)</f>
        <v>-4.1979797794062399E-8</v>
      </c>
      <c r="BN32" s="71">
        <f t="shared" si="448"/>
        <v>-4.1979797794062399E-8</v>
      </c>
      <c r="BO32" s="71">
        <f t="shared" si="448"/>
        <v>-4.1979797794062399E-8</v>
      </c>
      <c r="BP32" s="71">
        <f t="shared" si="448"/>
        <v>-4.1979797794062399E-8</v>
      </c>
      <c r="BQ32" s="71">
        <f t="shared" si="448"/>
        <v>-4.1979797794062399E-8</v>
      </c>
      <c r="BR32" s="71">
        <f t="shared" si="448"/>
        <v>-4.1979797794062399E-8</v>
      </c>
      <c r="BS32" s="71">
        <f t="shared" si="448"/>
        <v>-4.1979797794062399E-8</v>
      </c>
      <c r="BT32" s="71">
        <f t="shared" si="448"/>
        <v>-4.1979797794062399E-8</v>
      </c>
      <c r="BU32" s="71">
        <f t="shared" si="448"/>
        <v>-4.1979797794062399E-8</v>
      </c>
      <c r="BV32" s="71">
        <f t="shared" si="448"/>
        <v>-4.1979797794062399E-8</v>
      </c>
      <c r="BW32" s="71">
        <f t="shared" si="448"/>
        <v>-4.1979797794062399E-8</v>
      </c>
      <c r="BX32" s="119">
        <v>0</v>
      </c>
      <c r="BY32" s="71">
        <f t="shared" si="448"/>
        <v>0</v>
      </c>
      <c r="BZ32" s="71">
        <f t="shared" si="448"/>
        <v>0</v>
      </c>
      <c r="CA32" s="71">
        <f t="shared" si="448"/>
        <v>0</v>
      </c>
      <c r="CB32" s="71">
        <f t="shared" si="448"/>
        <v>0</v>
      </c>
      <c r="CC32" s="71">
        <f t="shared" si="448"/>
        <v>0</v>
      </c>
      <c r="CD32" s="71">
        <f t="shared" si="448"/>
        <v>0</v>
      </c>
      <c r="CE32" s="71">
        <f t="shared" si="448"/>
        <v>0</v>
      </c>
      <c r="CF32" s="71">
        <f t="shared" si="448"/>
        <v>0</v>
      </c>
      <c r="CG32" s="71">
        <f t="shared" si="448"/>
        <v>0</v>
      </c>
      <c r="CH32" s="71">
        <f t="shared" si="448"/>
        <v>0</v>
      </c>
      <c r="CI32" s="71">
        <f t="shared" si="448"/>
        <v>0</v>
      </c>
    </row>
    <row r="33" spans="1:87" x14ac:dyDescent="0.25">
      <c r="A33" s="306"/>
      <c r="B33" s="73" t="s">
        <v>54</v>
      </c>
      <c r="C33" s="42">
        <v>0</v>
      </c>
      <c r="D33" s="87">
        <v>1.0369999999999999E-3</v>
      </c>
      <c r="E33" s="71">
        <f>+D33</f>
        <v>1.0369999999999999E-3</v>
      </c>
      <c r="F33" s="71">
        <f>IF(F31="","",E33)</f>
        <v>1.0369999999999999E-3</v>
      </c>
      <c r="G33" s="71">
        <f t="shared" ref="G33:Z33" si="449">IF(G31="","",F33)</f>
        <v>1.0369999999999999E-3</v>
      </c>
      <c r="H33" s="71">
        <f t="shared" si="449"/>
        <v>1.0369999999999999E-3</v>
      </c>
      <c r="I33" s="71">
        <f t="shared" si="449"/>
        <v>1.0369999999999999E-3</v>
      </c>
      <c r="J33" s="71">
        <f t="shared" si="449"/>
        <v>1.0369999999999999E-3</v>
      </c>
      <c r="K33" s="71">
        <f t="shared" si="449"/>
        <v>1.0369999999999999E-3</v>
      </c>
      <c r="L33" s="71">
        <f t="shared" si="449"/>
        <v>1.0369999999999999E-3</v>
      </c>
      <c r="M33" s="71">
        <f t="shared" si="449"/>
        <v>1.0369999999999999E-3</v>
      </c>
      <c r="N33" s="71">
        <f t="shared" si="449"/>
        <v>1.0369999999999999E-3</v>
      </c>
      <c r="O33" s="71">
        <f t="shared" si="449"/>
        <v>1.0369999999999999E-3</v>
      </c>
      <c r="P33" s="91">
        <v>-2.1760723836864655E-4</v>
      </c>
      <c r="Q33" s="90">
        <f t="shared" si="449"/>
        <v>-2.1760723836864655E-4</v>
      </c>
      <c r="R33" s="90">
        <f t="shared" si="449"/>
        <v>-2.1760723836864655E-4</v>
      </c>
      <c r="S33" s="90">
        <f t="shared" si="449"/>
        <v>-2.1760723836864655E-4</v>
      </c>
      <c r="T33" s="90">
        <f t="shared" si="449"/>
        <v>-2.1760723836864655E-4</v>
      </c>
      <c r="U33" s="90">
        <f t="shared" si="449"/>
        <v>-2.1760723836864655E-4</v>
      </c>
      <c r="V33" s="90">
        <f t="shared" si="449"/>
        <v>-2.1760723836864655E-4</v>
      </c>
      <c r="W33" s="90">
        <f t="shared" si="449"/>
        <v>-2.1760723836864655E-4</v>
      </c>
      <c r="X33" s="90">
        <f t="shared" si="449"/>
        <v>-2.1760723836864655E-4</v>
      </c>
      <c r="Y33" s="90">
        <f t="shared" si="449"/>
        <v>-2.1760723836864655E-4</v>
      </c>
      <c r="Z33" s="90">
        <f t="shared" si="449"/>
        <v>-2.1760723836864655E-4</v>
      </c>
      <c r="AA33" s="90">
        <f t="shared" ref="AA33" si="450">IF(AA31="","",Z33)</f>
        <v>-2.1760723836864655E-4</v>
      </c>
      <c r="AB33" s="91">
        <v>-2.3696165881846651E-5</v>
      </c>
      <c r="AC33" s="90">
        <f t="shared" ref="AC33" si="451">IF(AC31="","",AB33)</f>
        <v>-2.3696165881846651E-5</v>
      </c>
      <c r="AD33" s="90">
        <f t="shared" ref="AD33" si="452">IF(AD31="","",AC33)</f>
        <v>-2.3696165881846651E-5</v>
      </c>
      <c r="AE33" s="90">
        <f t="shared" ref="AE33" si="453">IF(AE31="","",AD33)</f>
        <v>-2.3696165881846651E-5</v>
      </c>
      <c r="AF33" s="90">
        <f t="shared" ref="AF33" si="454">IF(AF31="","",AE33)</f>
        <v>-2.3696165881846651E-5</v>
      </c>
      <c r="AG33" s="90">
        <f t="shared" ref="AG33" si="455">IF(AG31="","",AF33)</f>
        <v>-2.3696165881846651E-5</v>
      </c>
      <c r="AH33" s="90">
        <f t="shared" ref="AH33" si="456">IF(AH31="","",AG33)</f>
        <v>-2.3696165881846651E-5</v>
      </c>
      <c r="AI33" s="90">
        <f t="shared" ref="AI33" si="457">IF(AI31="","",AH33)</f>
        <v>-2.3696165881846651E-5</v>
      </c>
      <c r="AJ33" s="90">
        <f t="shared" ref="AJ33" si="458">IF(AJ31="","",AI33)</f>
        <v>-2.3696165881846651E-5</v>
      </c>
      <c r="AK33" s="90">
        <f t="shared" ref="AK33" si="459">IF(AK31="","",AJ33)</f>
        <v>-2.3696165881846651E-5</v>
      </c>
      <c r="AL33" s="90">
        <f t="shared" ref="AL33" si="460">IF(AL31="","",AK33)</f>
        <v>-2.3696165881846651E-5</v>
      </c>
      <c r="AM33" s="90">
        <f t="shared" ref="AM33" si="461">IF(AM31="","",AL33)</f>
        <v>-2.3696165881846651E-5</v>
      </c>
      <c r="AN33" s="120">
        <v>3.0940916964556395E-4</v>
      </c>
      <c r="AO33" s="90">
        <f t="shared" ref="AO33:AS33" si="462">IF(AO31="","",AN33)</f>
        <v>3.0940916964556395E-4</v>
      </c>
      <c r="AP33" s="90">
        <f t="shared" si="462"/>
        <v>3.0940916964556395E-4</v>
      </c>
      <c r="AQ33" s="90">
        <f t="shared" si="462"/>
        <v>3.0940916964556395E-4</v>
      </c>
      <c r="AR33" s="90">
        <f t="shared" si="462"/>
        <v>3.0940916964556395E-4</v>
      </c>
      <c r="AS33" s="90">
        <f t="shared" si="462"/>
        <v>3.0940916964556395E-4</v>
      </c>
      <c r="AT33" s="90">
        <f t="shared" ref="AT33:BA33" si="463">IF(AT31="","",AS33)</f>
        <v>3.0940916964556395E-4</v>
      </c>
      <c r="AU33" s="90">
        <f t="shared" si="463"/>
        <v>3.0940916964556395E-4</v>
      </c>
      <c r="AV33" s="90">
        <f t="shared" si="463"/>
        <v>3.0940916964556395E-4</v>
      </c>
      <c r="AW33" s="90">
        <f t="shared" si="463"/>
        <v>3.0940916964556395E-4</v>
      </c>
      <c r="AX33" s="90">
        <f t="shared" si="463"/>
        <v>3.0940916964556395E-4</v>
      </c>
      <c r="AY33" s="90">
        <f t="shared" si="463"/>
        <v>3.0940916964556395E-4</v>
      </c>
      <c r="AZ33" s="120">
        <v>1.2474670529833156E-5</v>
      </c>
      <c r="BA33" s="90">
        <f t="shared" si="463"/>
        <v>1.2474670529833156E-5</v>
      </c>
      <c r="BB33" s="90">
        <f t="shared" ref="BB33:BK33" si="464">IF(BB31="","",BA33)</f>
        <v>1.2474670529833156E-5</v>
      </c>
      <c r="BC33" s="90">
        <f t="shared" si="464"/>
        <v>1.2474670529833156E-5</v>
      </c>
      <c r="BD33" s="90">
        <f t="shared" si="464"/>
        <v>1.2474670529833156E-5</v>
      </c>
      <c r="BE33" s="90">
        <f t="shared" si="464"/>
        <v>1.2474670529833156E-5</v>
      </c>
      <c r="BF33" s="90">
        <f t="shared" si="464"/>
        <v>1.2474670529833156E-5</v>
      </c>
      <c r="BG33" s="90">
        <f t="shared" si="464"/>
        <v>1.2474670529833156E-5</v>
      </c>
      <c r="BH33" s="90">
        <f t="shared" si="464"/>
        <v>1.2474670529833156E-5</v>
      </c>
      <c r="BI33" s="90">
        <f t="shared" si="464"/>
        <v>1.2474670529833156E-5</v>
      </c>
      <c r="BJ33" s="90">
        <f t="shared" si="464"/>
        <v>1.2474670529833156E-5</v>
      </c>
      <c r="BK33" s="90">
        <f t="shared" si="464"/>
        <v>1.2474670529833156E-5</v>
      </c>
      <c r="BL33" s="120">
        <v>-2.6627233071059429E-5</v>
      </c>
      <c r="BM33" s="90">
        <f t="shared" ref="BM33:CI33" si="465">IF(BM31="","",BL33)</f>
        <v>-2.6627233071059429E-5</v>
      </c>
      <c r="BN33" s="90">
        <f t="shared" si="465"/>
        <v>-2.6627233071059429E-5</v>
      </c>
      <c r="BO33" s="90">
        <f t="shared" si="465"/>
        <v>-2.6627233071059429E-5</v>
      </c>
      <c r="BP33" s="90">
        <f t="shared" si="465"/>
        <v>-2.6627233071059429E-5</v>
      </c>
      <c r="BQ33" s="90">
        <f t="shared" si="465"/>
        <v>-2.6627233071059429E-5</v>
      </c>
      <c r="BR33" s="90">
        <f t="shared" si="465"/>
        <v>-2.6627233071059429E-5</v>
      </c>
      <c r="BS33" s="90">
        <f t="shared" si="465"/>
        <v>-2.6627233071059429E-5</v>
      </c>
      <c r="BT33" s="90">
        <f t="shared" si="465"/>
        <v>-2.6627233071059429E-5</v>
      </c>
      <c r="BU33" s="90">
        <f t="shared" si="465"/>
        <v>-2.6627233071059429E-5</v>
      </c>
      <c r="BV33" s="90">
        <f t="shared" si="465"/>
        <v>-2.6627233071059429E-5</v>
      </c>
      <c r="BW33" s="90">
        <f t="shared" si="465"/>
        <v>-2.6627233071059429E-5</v>
      </c>
      <c r="BX33" s="120">
        <v>-2.4783906963725389E-7</v>
      </c>
      <c r="BY33" s="90">
        <f t="shared" si="465"/>
        <v>-2.4783906963725389E-7</v>
      </c>
      <c r="BZ33" s="90">
        <f t="shared" si="465"/>
        <v>-2.4783906963725389E-7</v>
      </c>
      <c r="CA33" s="90">
        <f t="shared" si="465"/>
        <v>-2.4783906963725389E-7</v>
      </c>
      <c r="CB33" s="90">
        <f t="shared" si="465"/>
        <v>-2.4783906963725389E-7</v>
      </c>
      <c r="CC33" s="90">
        <f t="shared" si="465"/>
        <v>-2.4783906963725389E-7</v>
      </c>
      <c r="CD33" s="90">
        <f t="shared" si="465"/>
        <v>-2.4783906963725389E-7</v>
      </c>
      <c r="CE33" s="90">
        <f t="shared" si="465"/>
        <v>-2.4783906963725389E-7</v>
      </c>
      <c r="CF33" s="90">
        <f t="shared" si="465"/>
        <v>-2.4783906963725389E-7</v>
      </c>
      <c r="CG33" s="90">
        <f t="shared" si="465"/>
        <v>-2.4783906963725389E-7</v>
      </c>
      <c r="CH33" s="90">
        <f t="shared" si="465"/>
        <v>-2.4783906963725389E-7</v>
      </c>
      <c r="CI33" s="90">
        <f t="shared" si="465"/>
        <v>-2.4783906963725389E-7</v>
      </c>
    </row>
    <row r="34" spans="1:87" x14ac:dyDescent="0.25">
      <c r="A34" s="306"/>
      <c r="B34" s="73" t="s">
        <v>63</v>
      </c>
      <c r="C34" s="62">
        <f>SUM(C32:C33)</f>
        <v>6.0000000000000002E-5</v>
      </c>
      <c r="D34" s="62">
        <f t="shared" ref="D34:E34" si="466">SUM(D32:D33)</f>
        <v>1.421E-3</v>
      </c>
      <c r="E34" s="62">
        <f t="shared" si="466"/>
        <v>1.421E-3</v>
      </c>
      <c r="F34" s="62">
        <f>IF(F31="","",SUM(F32:F33))</f>
        <v>1.421E-3</v>
      </c>
      <c r="G34" s="62">
        <f t="shared" ref="G34:Z34" si="467">IF(G31="","",SUM(G32:G33))</f>
        <v>1.421E-3</v>
      </c>
      <c r="H34" s="62">
        <f t="shared" si="467"/>
        <v>1.421E-3</v>
      </c>
      <c r="I34" s="62">
        <f t="shared" si="467"/>
        <v>1.421E-3</v>
      </c>
      <c r="J34" s="62">
        <f t="shared" si="467"/>
        <v>1.421E-3</v>
      </c>
      <c r="K34" s="62">
        <f t="shared" si="467"/>
        <v>1.421E-3</v>
      </c>
      <c r="L34" s="62">
        <f t="shared" si="467"/>
        <v>1.421E-3</v>
      </c>
      <c r="M34" s="62">
        <f t="shared" si="467"/>
        <v>1.421E-3</v>
      </c>
      <c r="N34" s="62">
        <f t="shared" si="467"/>
        <v>1.421E-3</v>
      </c>
      <c r="O34" s="62">
        <f t="shared" si="467"/>
        <v>1.421E-3</v>
      </c>
      <c r="P34" s="62">
        <f t="shared" si="467"/>
        <v>1.3970295412621704E-4</v>
      </c>
      <c r="Q34" s="62">
        <f t="shared" si="467"/>
        <v>1.3970295412621704E-4</v>
      </c>
      <c r="R34" s="62">
        <f t="shared" si="467"/>
        <v>1.3970295412621704E-4</v>
      </c>
      <c r="S34" s="62">
        <f t="shared" si="467"/>
        <v>1.3970295412621704E-4</v>
      </c>
      <c r="T34" s="62">
        <f t="shared" si="467"/>
        <v>1.3970295412621704E-4</v>
      </c>
      <c r="U34" s="62">
        <f t="shared" si="467"/>
        <v>1.3970295412621704E-4</v>
      </c>
      <c r="V34" s="62">
        <f t="shared" si="467"/>
        <v>1.3970295412621704E-4</v>
      </c>
      <c r="W34" s="62">
        <f t="shared" si="467"/>
        <v>1.3970295412621704E-4</v>
      </c>
      <c r="X34" s="62">
        <f t="shared" si="467"/>
        <v>1.3970295412621704E-4</v>
      </c>
      <c r="Y34" s="62">
        <f t="shared" si="467"/>
        <v>1.3970295412621704E-4</v>
      </c>
      <c r="Z34" s="62">
        <f t="shared" si="467"/>
        <v>1.3970295412621704E-4</v>
      </c>
      <c r="AA34" s="62">
        <f t="shared" ref="AA34:AC34" si="468">IF(AA31="","",SUM(AA32:AA33))</f>
        <v>1.3970295412621704E-4</v>
      </c>
      <c r="AB34" s="62">
        <f t="shared" si="468"/>
        <v>6.4832695404489079E-4</v>
      </c>
      <c r="AC34" s="62">
        <f t="shared" si="468"/>
        <v>6.4832695404489079E-4</v>
      </c>
      <c r="AD34" s="62">
        <f t="shared" ref="AD34:AM34" si="469">IF(AD31="","",SUM(AD32:AD33))</f>
        <v>6.4832695404489079E-4</v>
      </c>
      <c r="AE34" s="62">
        <f t="shared" si="469"/>
        <v>6.4832695404489079E-4</v>
      </c>
      <c r="AF34" s="62">
        <f t="shared" si="469"/>
        <v>6.4832695404489079E-4</v>
      </c>
      <c r="AG34" s="62">
        <f t="shared" si="469"/>
        <v>6.4832695404489079E-4</v>
      </c>
      <c r="AH34" s="62">
        <f t="shared" si="469"/>
        <v>6.4832695404489079E-4</v>
      </c>
      <c r="AI34" s="62">
        <f t="shared" si="469"/>
        <v>6.4832695404489079E-4</v>
      </c>
      <c r="AJ34" s="62">
        <f t="shared" si="469"/>
        <v>6.4832695404489079E-4</v>
      </c>
      <c r="AK34" s="62">
        <f t="shared" si="469"/>
        <v>6.4832695404489079E-4</v>
      </c>
      <c r="AL34" s="62">
        <f t="shared" si="469"/>
        <v>6.4832695404489079E-4</v>
      </c>
      <c r="AM34" s="62">
        <f t="shared" si="469"/>
        <v>6.4832695404489079E-4</v>
      </c>
      <c r="AN34" s="62">
        <f t="shared" ref="AN34:AO34" si="470">IF(AN31="","",SUM(AN32:AN33))</f>
        <v>4.8066825508572285E-4</v>
      </c>
      <c r="AO34" s="62">
        <f t="shared" si="470"/>
        <v>4.8066825508572285E-4</v>
      </c>
      <c r="AP34" s="62">
        <f t="shared" ref="AP34:AQ34" si="471">IF(AP31="","",SUM(AP32:AP33))</f>
        <v>4.8066825508572285E-4</v>
      </c>
      <c r="AQ34" s="62">
        <f t="shared" si="471"/>
        <v>4.8066825508572285E-4</v>
      </c>
      <c r="AR34" s="62">
        <f t="shared" ref="AR34:AS34" si="472">IF(AR31="","",SUM(AR32:AR33))</f>
        <v>4.8066825508572285E-4</v>
      </c>
      <c r="AS34" s="62">
        <f t="shared" si="472"/>
        <v>4.8066825508572285E-4</v>
      </c>
      <c r="AT34" s="62">
        <f t="shared" ref="AT34:AU34" si="473">IF(AT31="","",SUM(AT32:AT33))</f>
        <v>4.8066825508572285E-4</v>
      </c>
      <c r="AU34" s="62">
        <f t="shared" si="473"/>
        <v>4.8066825508572285E-4</v>
      </c>
      <c r="AV34" s="62">
        <f t="shared" ref="AV34:AW34" si="474">IF(AV31="","",SUM(AV32:AV33))</f>
        <v>4.8066825508572285E-4</v>
      </c>
      <c r="AW34" s="62">
        <f t="shared" si="474"/>
        <v>4.8066825508572285E-4</v>
      </c>
      <c r="AX34" s="62">
        <f t="shared" ref="AX34:AY34" si="475">IF(AX31="","",SUM(AX32:AX33))</f>
        <v>4.8066825508572285E-4</v>
      </c>
      <c r="AY34" s="62">
        <f t="shared" si="475"/>
        <v>4.8066825508572285E-4</v>
      </c>
      <c r="AZ34" s="62">
        <f t="shared" ref="AZ34:BA34" si="476">IF(AZ31="","",SUM(AZ32:AZ33))</f>
        <v>1.2474670529833156E-5</v>
      </c>
      <c r="BA34" s="62">
        <f t="shared" si="476"/>
        <v>1.2474670529833156E-5</v>
      </c>
      <c r="BB34" s="62">
        <f t="shared" ref="BB34:BC34" si="477">IF(BB31="","",SUM(BB32:BB33))</f>
        <v>1.2474670529833156E-5</v>
      </c>
      <c r="BC34" s="62">
        <f t="shared" si="477"/>
        <v>1.2474670529833156E-5</v>
      </c>
      <c r="BD34" s="62">
        <f t="shared" ref="BD34:BE34" si="478">IF(BD31="","",SUM(BD32:BD33))</f>
        <v>1.2474670529833156E-5</v>
      </c>
      <c r="BE34" s="62">
        <f t="shared" si="478"/>
        <v>1.2474670529833156E-5</v>
      </c>
      <c r="BF34" s="62">
        <f t="shared" ref="BF34:BG34" si="479">IF(BF31="","",SUM(BF32:BF33))</f>
        <v>1.2474670529833156E-5</v>
      </c>
      <c r="BG34" s="62">
        <f t="shared" si="479"/>
        <v>1.2474670529833156E-5</v>
      </c>
      <c r="BH34" s="62">
        <f t="shared" ref="BH34:BI34" si="480">IF(BH31="","",SUM(BH32:BH33))</f>
        <v>1.2474670529833156E-5</v>
      </c>
      <c r="BI34" s="62">
        <f t="shared" si="480"/>
        <v>1.2474670529833156E-5</v>
      </c>
      <c r="BJ34" s="62">
        <f t="shared" ref="BJ34:BK34" si="481">IF(BJ31="","",SUM(BJ32:BJ33))</f>
        <v>1.2474670529833156E-5</v>
      </c>
      <c r="BK34" s="62">
        <f t="shared" si="481"/>
        <v>1.2474670529833156E-5</v>
      </c>
      <c r="BL34" s="62">
        <f t="shared" ref="BL34:BM34" si="482">IF(BL31="","",SUM(BL32:BL33))</f>
        <v>-2.666921286885349E-5</v>
      </c>
      <c r="BM34" s="62">
        <f t="shared" si="482"/>
        <v>-2.666921286885349E-5</v>
      </c>
      <c r="BN34" s="62">
        <f t="shared" ref="BN34:BO34" si="483">IF(BN31="","",SUM(BN32:BN33))</f>
        <v>-2.666921286885349E-5</v>
      </c>
      <c r="BO34" s="62">
        <f t="shared" si="483"/>
        <v>-2.666921286885349E-5</v>
      </c>
      <c r="BP34" s="62">
        <f t="shared" ref="BP34:BQ34" si="484">IF(BP31="","",SUM(BP32:BP33))</f>
        <v>-2.666921286885349E-5</v>
      </c>
      <c r="BQ34" s="62">
        <f t="shared" si="484"/>
        <v>-2.666921286885349E-5</v>
      </c>
      <c r="BR34" s="62">
        <f t="shared" ref="BR34:BS34" si="485">IF(BR31="","",SUM(BR32:BR33))</f>
        <v>-2.666921286885349E-5</v>
      </c>
      <c r="BS34" s="62">
        <f t="shared" si="485"/>
        <v>-2.666921286885349E-5</v>
      </c>
      <c r="BT34" s="62">
        <f t="shared" ref="BT34:BU34" si="486">IF(BT31="","",SUM(BT32:BT33))</f>
        <v>-2.666921286885349E-5</v>
      </c>
      <c r="BU34" s="62">
        <f t="shared" si="486"/>
        <v>-2.666921286885349E-5</v>
      </c>
      <c r="BV34" s="62">
        <f t="shared" ref="BV34:BW34" si="487">IF(BV31="","",SUM(BV32:BV33))</f>
        <v>-2.666921286885349E-5</v>
      </c>
      <c r="BW34" s="62">
        <f t="shared" si="487"/>
        <v>-2.666921286885349E-5</v>
      </c>
      <c r="BX34" s="62">
        <f t="shared" ref="BX34:BY34" si="488">IF(BX31="","",SUM(BX32:BX33))</f>
        <v>-2.4783906963725389E-7</v>
      </c>
      <c r="BY34" s="62">
        <f t="shared" si="488"/>
        <v>-2.4783906963725389E-7</v>
      </c>
      <c r="BZ34" s="62">
        <f t="shared" ref="BZ34:CA34" si="489">IF(BZ31="","",SUM(BZ32:BZ33))</f>
        <v>-2.4783906963725389E-7</v>
      </c>
      <c r="CA34" s="62">
        <f t="shared" si="489"/>
        <v>-2.4783906963725389E-7</v>
      </c>
      <c r="CB34" s="62">
        <f t="shared" ref="CB34:CC34" si="490">IF(CB31="","",SUM(CB32:CB33))</f>
        <v>-2.4783906963725389E-7</v>
      </c>
      <c r="CC34" s="62">
        <f t="shared" si="490"/>
        <v>-2.4783906963725389E-7</v>
      </c>
      <c r="CD34" s="62">
        <f t="shared" ref="CD34:CE34" si="491">IF(CD31="","",SUM(CD32:CD33))</f>
        <v>-2.4783906963725389E-7</v>
      </c>
      <c r="CE34" s="62">
        <f t="shared" si="491"/>
        <v>-2.4783906963725389E-7</v>
      </c>
      <c r="CF34" s="62">
        <f t="shared" ref="CF34:CG34" si="492">IF(CF31="","",SUM(CF32:CF33))</f>
        <v>-2.4783906963725389E-7</v>
      </c>
      <c r="CG34" s="62">
        <f t="shared" si="492"/>
        <v>-2.4783906963725389E-7</v>
      </c>
      <c r="CH34" s="62">
        <f t="shared" ref="CH34:CI34" si="493">IF(CH31="","",SUM(CH32:CH33))</f>
        <v>-2.4783906963725389E-7</v>
      </c>
      <c r="CI34" s="62">
        <f t="shared" si="493"/>
        <v>-2.4783906963725389E-7</v>
      </c>
    </row>
    <row r="35" spans="1:87" x14ac:dyDescent="0.25">
      <c r="A35" s="306"/>
      <c r="B35" s="73" t="s">
        <v>56</v>
      </c>
      <c r="C35" s="66">
        <f>+C33/C34</f>
        <v>0</v>
      </c>
      <c r="D35" s="66">
        <f>+IFERROR(D33/D34,"")</f>
        <v>0.72976776917663611</v>
      </c>
      <c r="E35" s="66">
        <f>+IFERROR(E33/E34,"")</f>
        <v>0.72976776917663611</v>
      </c>
      <c r="F35" s="66">
        <f>IF(F31="","",IFERROR(F33/F34,""))</f>
        <v>0.72976776917663611</v>
      </c>
      <c r="G35" s="66">
        <f t="shared" ref="G35:Z35" si="494">IF(G31="","",IFERROR(G33/G34,""))</f>
        <v>0.72976776917663611</v>
      </c>
      <c r="H35" s="66">
        <f t="shared" si="494"/>
        <v>0.72976776917663611</v>
      </c>
      <c r="I35" s="66">
        <f t="shared" si="494"/>
        <v>0.72976776917663611</v>
      </c>
      <c r="J35" s="66">
        <f t="shared" si="494"/>
        <v>0.72976776917663611</v>
      </c>
      <c r="K35" s="66">
        <f t="shared" si="494"/>
        <v>0.72976776917663611</v>
      </c>
      <c r="L35" s="66">
        <f t="shared" si="494"/>
        <v>0.72976776917663611</v>
      </c>
      <c r="M35" s="66">
        <f t="shared" si="494"/>
        <v>0.72976776917663611</v>
      </c>
      <c r="N35" s="66">
        <f t="shared" si="494"/>
        <v>0.72976776917663611</v>
      </c>
      <c r="O35" s="66">
        <f t="shared" si="494"/>
        <v>0.72976776917663611</v>
      </c>
      <c r="P35" s="66">
        <f>IF(P31="","",IFERROR(P33/P34,""))</f>
        <v>-1.5576423543058764</v>
      </c>
      <c r="Q35" s="66">
        <f t="shared" si="494"/>
        <v>-1.5576423543058764</v>
      </c>
      <c r="R35" s="66">
        <f t="shared" si="494"/>
        <v>-1.5576423543058764</v>
      </c>
      <c r="S35" s="66">
        <f t="shared" si="494"/>
        <v>-1.5576423543058764</v>
      </c>
      <c r="T35" s="66">
        <f t="shared" si="494"/>
        <v>-1.5576423543058764</v>
      </c>
      <c r="U35" s="66">
        <f t="shared" si="494"/>
        <v>-1.5576423543058764</v>
      </c>
      <c r="V35" s="66">
        <f t="shared" si="494"/>
        <v>-1.5576423543058764</v>
      </c>
      <c r="W35" s="66">
        <f t="shared" si="494"/>
        <v>-1.5576423543058764</v>
      </c>
      <c r="X35" s="66">
        <f t="shared" si="494"/>
        <v>-1.5576423543058764</v>
      </c>
      <c r="Y35" s="66">
        <f t="shared" si="494"/>
        <v>-1.5576423543058764</v>
      </c>
      <c r="Z35" s="66">
        <f t="shared" si="494"/>
        <v>-1.5576423543058764</v>
      </c>
      <c r="AA35" s="66">
        <f t="shared" ref="AA35:AC35" si="495">IF(AA31="","",IFERROR(AA33/AA34,""))</f>
        <v>-1.5576423543058764</v>
      </c>
      <c r="AB35" s="66">
        <f t="shared" si="495"/>
        <v>-3.6549715747597786E-2</v>
      </c>
      <c r="AC35" s="66">
        <f t="shared" si="495"/>
        <v>-3.6549715747597786E-2</v>
      </c>
      <c r="AD35" s="66">
        <f t="shared" ref="AD35:AM35" si="496">IF(AD31="","",IFERROR(AD33/AD34,""))</f>
        <v>-3.6549715747597786E-2</v>
      </c>
      <c r="AE35" s="66">
        <f t="shared" si="496"/>
        <v>-3.6549715747597786E-2</v>
      </c>
      <c r="AF35" s="66">
        <f t="shared" si="496"/>
        <v>-3.6549715747597786E-2</v>
      </c>
      <c r="AG35" s="66">
        <f t="shared" si="496"/>
        <v>-3.6549715747597786E-2</v>
      </c>
      <c r="AH35" s="66">
        <f t="shared" si="496"/>
        <v>-3.6549715747597786E-2</v>
      </c>
      <c r="AI35" s="66">
        <f t="shared" si="496"/>
        <v>-3.6549715747597786E-2</v>
      </c>
      <c r="AJ35" s="66">
        <f t="shared" si="496"/>
        <v>-3.6549715747597786E-2</v>
      </c>
      <c r="AK35" s="66">
        <f t="shared" si="496"/>
        <v>-3.6549715747597786E-2</v>
      </c>
      <c r="AL35" s="66">
        <f t="shared" si="496"/>
        <v>-3.6549715747597786E-2</v>
      </c>
      <c r="AM35" s="66">
        <f t="shared" si="496"/>
        <v>-3.6549715747597786E-2</v>
      </c>
      <c r="AN35" s="66">
        <f t="shared" ref="AN35:AO35" si="497">IF(AN31="","",IFERROR(AN33/AN34,""))</f>
        <v>0.6437062701184284</v>
      </c>
      <c r="AO35" s="66">
        <f t="shared" si="497"/>
        <v>0.6437062701184284</v>
      </c>
      <c r="AP35" s="66">
        <f t="shared" ref="AP35:AQ35" si="498">IF(AP31="","",IFERROR(AP33/AP34,""))</f>
        <v>0.6437062701184284</v>
      </c>
      <c r="AQ35" s="66">
        <f t="shared" si="498"/>
        <v>0.6437062701184284</v>
      </c>
      <c r="AR35" s="66">
        <f t="shared" ref="AR35:AS35" si="499">IF(AR31="","",IFERROR(AR33/AR34,""))</f>
        <v>0.6437062701184284</v>
      </c>
      <c r="AS35" s="66">
        <f t="shared" si="499"/>
        <v>0.6437062701184284</v>
      </c>
      <c r="AT35" s="66">
        <f t="shared" ref="AT35:AY35" si="500">IF(AT31="","",IFERROR(AT33/AT34,""))</f>
        <v>0.6437062701184284</v>
      </c>
      <c r="AU35" s="66">
        <f t="shared" si="500"/>
        <v>0.6437062701184284</v>
      </c>
      <c r="AV35" s="66">
        <f t="shared" si="500"/>
        <v>0.6437062701184284</v>
      </c>
      <c r="AW35" s="66">
        <f t="shared" si="500"/>
        <v>0.6437062701184284</v>
      </c>
      <c r="AX35" s="66">
        <f t="shared" si="500"/>
        <v>0.6437062701184284</v>
      </c>
      <c r="AY35" s="66">
        <f t="shared" si="500"/>
        <v>0.6437062701184284</v>
      </c>
      <c r="AZ35" s="66">
        <f t="shared" ref="AZ35:BA35" si="501">IF(AZ31="","",IFERROR(AZ33/AZ34,""))</f>
        <v>1</v>
      </c>
      <c r="BA35" s="66">
        <f t="shared" si="501"/>
        <v>1</v>
      </c>
      <c r="BB35" s="66">
        <f t="shared" ref="BB35:BC35" si="502">IF(BB31="","",IFERROR(BB33/BB34,""))</f>
        <v>1</v>
      </c>
      <c r="BC35" s="66">
        <f t="shared" si="502"/>
        <v>1</v>
      </c>
      <c r="BD35" s="66">
        <f t="shared" ref="BD35:BE35" si="503">IF(BD31="","",IFERROR(BD33/BD34,""))</f>
        <v>1</v>
      </c>
      <c r="BE35" s="66">
        <f t="shared" si="503"/>
        <v>1</v>
      </c>
      <c r="BF35" s="66">
        <f t="shared" ref="BF35:BG35" si="504">IF(BF31="","",IFERROR(BF33/BF34,""))</f>
        <v>1</v>
      </c>
      <c r="BG35" s="66">
        <f t="shared" si="504"/>
        <v>1</v>
      </c>
      <c r="BH35" s="66">
        <f t="shared" ref="BH35:BI35" si="505">IF(BH31="","",IFERROR(BH33/BH34,""))</f>
        <v>1</v>
      </c>
      <c r="BI35" s="66">
        <f t="shared" si="505"/>
        <v>1</v>
      </c>
      <c r="BJ35" s="66">
        <f t="shared" ref="BJ35:BK35" si="506">IF(BJ31="","",IFERROR(BJ33/BJ34,""))</f>
        <v>1</v>
      </c>
      <c r="BK35" s="66">
        <f t="shared" si="506"/>
        <v>1</v>
      </c>
      <c r="BL35" s="66">
        <f t="shared" ref="BL35:BM35" si="507">IF(BL31="","",IFERROR(BL33/BL34,""))</f>
        <v>0.99842590788110253</v>
      </c>
      <c r="BM35" s="66">
        <f t="shared" si="507"/>
        <v>0.99842590788110253</v>
      </c>
      <c r="BN35" s="66">
        <f t="shared" ref="BN35:BO35" si="508">IF(BN31="","",IFERROR(BN33/BN34,""))</f>
        <v>0.99842590788110253</v>
      </c>
      <c r="BO35" s="66">
        <f t="shared" si="508"/>
        <v>0.99842590788110253</v>
      </c>
      <c r="BP35" s="66">
        <f t="shared" ref="BP35:BQ35" si="509">IF(BP31="","",IFERROR(BP33/BP34,""))</f>
        <v>0.99842590788110253</v>
      </c>
      <c r="BQ35" s="66">
        <f t="shared" si="509"/>
        <v>0.99842590788110253</v>
      </c>
      <c r="BR35" s="66">
        <f t="shared" ref="BR35:BS35" si="510">IF(BR31="","",IFERROR(BR33/BR34,""))</f>
        <v>0.99842590788110253</v>
      </c>
      <c r="BS35" s="66">
        <f t="shared" si="510"/>
        <v>0.99842590788110253</v>
      </c>
      <c r="BT35" s="66">
        <f t="shared" ref="BT35:BU35" si="511">IF(BT31="","",IFERROR(BT33/BT34,""))</f>
        <v>0.99842590788110253</v>
      </c>
      <c r="BU35" s="66">
        <f t="shared" si="511"/>
        <v>0.99842590788110253</v>
      </c>
      <c r="BV35" s="66">
        <f t="shared" ref="BV35:BW35" si="512">IF(BV31="","",IFERROR(BV33/BV34,""))</f>
        <v>0.99842590788110253</v>
      </c>
      <c r="BW35" s="66">
        <f t="shared" si="512"/>
        <v>0.99842590788110253</v>
      </c>
      <c r="BX35" s="66">
        <f t="shared" ref="BX35:BY35" si="513">IF(BX31="","",IFERROR(BX33/BX34,""))</f>
        <v>1</v>
      </c>
      <c r="BY35" s="66">
        <f t="shared" si="513"/>
        <v>1</v>
      </c>
      <c r="BZ35" s="66">
        <f t="shared" ref="BZ35:CA35" si="514">IF(BZ31="","",IFERROR(BZ33/BZ34,""))</f>
        <v>1</v>
      </c>
      <c r="CA35" s="66">
        <f t="shared" si="514"/>
        <v>1</v>
      </c>
      <c r="CB35" s="66">
        <f t="shared" ref="CB35:CC35" si="515">IF(CB31="","",IFERROR(CB33/CB34,""))</f>
        <v>1</v>
      </c>
      <c r="CC35" s="66">
        <f t="shared" si="515"/>
        <v>1</v>
      </c>
      <c r="CD35" s="66">
        <f t="shared" ref="CD35:CE35" si="516">IF(CD31="","",IFERROR(CD33/CD34,""))</f>
        <v>1</v>
      </c>
      <c r="CE35" s="66">
        <f t="shared" si="516"/>
        <v>1</v>
      </c>
      <c r="CF35" s="66">
        <f t="shared" ref="CF35:CG35" si="517">IF(CF31="","",IFERROR(CF33/CF34,""))</f>
        <v>1</v>
      </c>
      <c r="CG35" s="66">
        <f t="shared" si="517"/>
        <v>1</v>
      </c>
      <c r="CH35" s="66">
        <f t="shared" ref="CH35:CI35" si="518">IF(CH31="","",IFERROR(CH33/CH34,""))</f>
        <v>1</v>
      </c>
      <c r="CI35" s="66">
        <f t="shared" si="518"/>
        <v>1</v>
      </c>
    </row>
    <row r="36" spans="1:87" s="48" customFormat="1" x14ac:dyDescent="0.25">
      <c r="A36" s="306"/>
      <c r="B36" s="74" t="s">
        <v>57</v>
      </c>
      <c r="C36" s="64">
        <f>+C35*C31</f>
        <v>0</v>
      </c>
      <c r="D36" s="64">
        <f>+ROUND(D35*D31,2)</f>
        <v>147923.54</v>
      </c>
      <c r="E36" s="64">
        <f>+ROUND(E35*E31,2)</f>
        <v>122366.41</v>
      </c>
      <c r="F36" s="64">
        <f>IF(F31="","",ROUND(F35*F31,2))</f>
        <v>135610.26999999999</v>
      </c>
      <c r="G36" s="64">
        <f t="shared" ref="G36:Z36" si="519">IF(G31="","",ROUND(G35*G31,2))</f>
        <v>137927.79</v>
      </c>
      <c r="H36" s="64">
        <f t="shared" si="519"/>
        <v>164689.71</v>
      </c>
      <c r="I36" s="64">
        <f t="shared" si="519"/>
        <v>155769.59</v>
      </c>
      <c r="J36" s="64">
        <f t="shared" si="519"/>
        <v>172638.51</v>
      </c>
      <c r="K36" s="64">
        <f t="shared" si="519"/>
        <v>164503.71</v>
      </c>
      <c r="L36" s="64">
        <f t="shared" si="519"/>
        <v>156843.66</v>
      </c>
      <c r="M36" s="64">
        <f t="shared" si="519"/>
        <v>149437.09</v>
      </c>
      <c r="N36" s="64">
        <f t="shared" si="519"/>
        <v>137029.1</v>
      </c>
      <c r="O36" s="64">
        <f t="shared" si="519"/>
        <v>138956.35</v>
      </c>
      <c r="P36" s="64">
        <f t="shared" si="519"/>
        <v>-163073.60999999999</v>
      </c>
      <c r="Q36" s="64">
        <f t="shared" si="519"/>
        <v>-28184.85</v>
      </c>
      <c r="R36" s="64">
        <f t="shared" si="519"/>
        <v>-26811.56</v>
      </c>
      <c r="S36" s="64">
        <f t="shared" si="519"/>
        <v>-30658.16</v>
      </c>
      <c r="T36" s="64">
        <f t="shared" si="519"/>
        <v>-33927.269999999997</v>
      </c>
      <c r="U36" s="64">
        <f t="shared" si="519"/>
        <v>-20613.12</v>
      </c>
      <c r="V36" s="64">
        <f t="shared" si="519"/>
        <v>-34940.29</v>
      </c>
      <c r="W36" s="64">
        <f t="shared" si="519"/>
        <v>-32815.35</v>
      </c>
      <c r="X36" s="64">
        <f t="shared" si="519"/>
        <v>-32400.86</v>
      </c>
      <c r="Y36" s="64">
        <f t="shared" si="519"/>
        <v>-30448.7</v>
      </c>
      <c r="Z36" s="64">
        <f t="shared" si="519"/>
        <v>-29651.5</v>
      </c>
      <c r="AA36" s="64">
        <f t="shared" ref="AA36:AC36" si="520">IF(AA31="","",ROUND(AA35*AA31,2))</f>
        <v>-33179.11</v>
      </c>
      <c r="AB36" s="64">
        <f t="shared" si="520"/>
        <v>-1500.43</v>
      </c>
      <c r="AC36" s="64">
        <f t="shared" si="520"/>
        <v>-2352.08</v>
      </c>
      <c r="AD36" s="64">
        <f t="shared" ref="AD36:AM36" si="521">IF(AD31="","",ROUND(AD35*AD31,2))</f>
        <v>-2341.8200000000002</v>
      </c>
      <c r="AE36" s="64">
        <f t="shared" si="521"/>
        <v>-2285.06</v>
      </c>
      <c r="AF36" s="64">
        <f t="shared" si="521"/>
        <v>-2878.25</v>
      </c>
      <c r="AG36" s="64">
        <f t="shared" si="521"/>
        <v>-2679.25</v>
      </c>
      <c r="AH36" s="64">
        <f t="shared" si="521"/>
        <v>-2966.75</v>
      </c>
      <c r="AI36" s="64">
        <f t="shared" si="521"/>
        <v>-3006.59</v>
      </c>
      <c r="AJ36" s="64">
        <f t="shared" si="521"/>
        <v>-2836.24</v>
      </c>
      <c r="AK36" s="64">
        <f t="shared" si="521"/>
        <v>-2518.7800000000002</v>
      </c>
      <c r="AL36" s="64">
        <f t="shared" si="521"/>
        <v>-2370.0100000000002</v>
      </c>
      <c r="AM36" s="64">
        <f t="shared" si="521"/>
        <v>-2508.15</v>
      </c>
      <c r="AN36" s="64">
        <f t="shared" ref="AN36:AO36" si="522">IF(AN31="","",ROUND(AN35*AN31,2))</f>
        <v>43670.64</v>
      </c>
      <c r="AO36" s="64">
        <f t="shared" si="522"/>
        <v>24903.919999999998</v>
      </c>
      <c r="AP36" s="64">
        <f t="shared" ref="AP36:AQ36" si="523">IF(AP31="","",ROUND(AP35*AP31,2))</f>
        <v>28515.46</v>
      </c>
      <c r="AQ36" s="64">
        <f t="shared" si="523"/>
        <v>28951.69</v>
      </c>
      <c r="AR36" s="64">
        <f t="shared" ref="AR36:AS36" si="524">IF(AR31="","",ROUND(AR35*AR31,2))</f>
        <v>7358.44</v>
      </c>
      <c r="AS36" s="64">
        <f t="shared" si="524"/>
        <v>32544.66</v>
      </c>
      <c r="AT36" s="64">
        <f t="shared" ref="AT36:AY36" si="525">IF(AT31="","",ROUND(AT35*AT31,2))</f>
        <v>33521.589999999997</v>
      </c>
      <c r="AU36" s="64">
        <f t="shared" si="525"/>
        <v>33998.61</v>
      </c>
      <c r="AV36" s="64">
        <f t="shared" si="525"/>
        <v>29947.3</v>
      </c>
      <c r="AW36" s="64">
        <f t="shared" si="525"/>
        <v>29372.76</v>
      </c>
      <c r="AX36" s="64">
        <f t="shared" si="525"/>
        <v>29994.51</v>
      </c>
      <c r="AY36" s="64">
        <f t="shared" si="525"/>
        <v>27431.4</v>
      </c>
      <c r="AZ36" s="64">
        <f t="shared" ref="AZ36:BA36" si="526">IF(AZ31="","",ROUND(AZ35*AZ31,2))</f>
        <v>37690.370000000003</v>
      </c>
      <c r="BA36" s="64">
        <f t="shared" si="526"/>
        <v>-999.06</v>
      </c>
      <c r="BB36" s="64">
        <f t="shared" ref="BB36:BC36" si="527">IF(BB31="","",ROUND(BB35*BB31,2))</f>
        <v>1068.3499999999999</v>
      </c>
      <c r="BC36" s="64">
        <f t="shared" si="527"/>
        <v>1085.3800000000001</v>
      </c>
      <c r="BD36" s="64">
        <f t="shared" ref="BD36:BE36" si="528">IF(BD31="","",ROUND(BD35*BD31,2))</f>
        <v>1047.53</v>
      </c>
      <c r="BE36" s="64">
        <f t="shared" si="528"/>
        <v>1336.85</v>
      </c>
      <c r="BF36" s="64">
        <f t="shared" ref="BF36:BG36" si="529">IF(BF31="","",ROUND(BF35*BF31,2))</f>
        <v>1272.6199999999999</v>
      </c>
      <c r="BG36" s="64">
        <f t="shared" si="529"/>
        <v>1376.1</v>
      </c>
      <c r="BH36" s="64">
        <f t="shared" ref="BH36:BI36" si="530">IF(BH31="","",ROUND(BH35*BH31,2))</f>
        <v>1261.3</v>
      </c>
      <c r="BI36" s="64">
        <f t="shared" si="530"/>
        <v>837.34</v>
      </c>
      <c r="BJ36" s="64">
        <f t="shared" ref="BJ36:BK36" si="531">IF(BJ31="","",ROUND(BJ35*BJ31,2))</f>
        <v>1174.03</v>
      </c>
      <c r="BK36" s="64">
        <f t="shared" si="531"/>
        <v>1093.94</v>
      </c>
      <c r="BL36" s="64">
        <f t="shared" ref="BL36:BM36" si="532">IF(BL31="","",ROUND(BL35*BL31,2))</f>
        <v>595.17999999999995</v>
      </c>
      <c r="BM36" s="64">
        <f t="shared" si="532"/>
        <v>-2111.9699999999998</v>
      </c>
      <c r="BN36" s="64">
        <f t="shared" ref="BN36:BO36" si="533">IF(BN31="","",ROUND(BN35*BN31,2))</f>
        <v>-9939.4599999999991</v>
      </c>
      <c r="BO36" s="64">
        <f t="shared" si="533"/>
        <v>-1923.43</v>
      </c>
      <c r="BP36" s="64">
        <f t="shared" ref="BP36:BQ36" si="534">IF(BP31="","",ROUND(BP35*BP31,2))</f>
        <v>-2344.67</v>
      </c>
      <c r="BQ36" s="64">
        <f t="shared" si="534"/>
        <v>-2689.87</v>
      </c>
      <c r="BR36" s="64">
        <f t="shared" ref="BR36:BS36" si="535">IF(BR31="","",ROUND(BR35*BR31,2))</f>
        <v>-2659.72</v>
      </c>
      <c r="BS36" s="64">
        <f t="shared" si="535"/>
        <v>-2772.83</v>
      </c>
      <c r="BT36" s="64">
        <f t="shared" ref="BT36:BU36" si="536">IF(BT31="","",ROUND(BT35*BT31,2))</f>
        <v>-2382.11</v>
      </c>
      <c r="BU36" s="64">
        <f t="shared" si="536"/>
        <v>-2379.37</v>
      </c>
      <c r="BV36" s="64">
        <f t="shared" ref="BV36:BW36" si="537">IF(BV31="","",ROUND(BV35*BV31,2))</f>
        <v>-2335.83</v>
      </c>
      <c r="BW36" s="64">
        <f t="shared" si="537"/>
        <v>-1971.85</v>
      </c>
      <c r="BX36" s="64">
        <f t="shared" ref="BX36:BY36" si="538">IF(BX31="","",ROUND(BX35*BX31,2))</f>
        <v>-1623.82</v>
      </c>
      <c r="BY36" s="64">
        <f t="shared" si="538"/>
        <v>-8.4700000000000006</v>
      </c>
      <c r="BZ36" s="64">
        <f t="shared" ref="BZ36:CA36" si="539">IF(BZ31="","",ROUND(BZ35*BZ31,2))</f>
        <v>0</v>
      </c>
      <c r="CA36" s="64">
        <f t="shared" si="539"/>
        <v>0</v>
      </c>
      <c r="CB36" s="64">
        <f t="shared" ref="CB36:CC36" si="540">IF(CB31="","",ROUND(CB35*CB31,2))</f>
        <v>0</v>
      </c>
      <c r="CC36" s="64">
        <f t="shared" si="540"/>
        <v>0</v>
      </c>
      <c r="CD36" s="64">
        <f t="shared" ref="CD36:CE36" si="541">IF(CD31="","",ROUND(CD35*CD31,2))</f>
        <v>0</v>
      </c>
      <c r="CE36" s="64">
        <f t="shared" si="541"/>
        <v>0</v>
      </c>
      <c r="CF36" s="64">
        <f t="shared" ref="CF36:CG36" si="542">IF(CF31="","",ROUND(CF35*CF31,2))</f>
        <v>0</v>
      </c>
      <c r="CG36" s="64">
        <f t="shared" si="542"/>
        <v>0</v>
      </c>
      <c r="CH36" s="64">
        <f t="shared" ref="CH36:CI36" si="543">IF(CH31="","",ROUND(CH35*CH31,2))</f>
        <v>0</v>
      </c>
      <c r="CI36" s="64">
        <f t="shared" si="543"/>
        <v>0</v>
      </c>
    </row>
    <row r="37" spans="1:87" s="48" customFormat="1" ht="9" customHeight="1" x14ac:dyDescent="0.25">
      <c r="A37" s="78"/>
      <c r="B37" s="76"/>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row>
    <row r="38" spans="1:87" x14ac:dyDescent="0.25">
      <c r="P38" s="83"/>
    </row>
  </sheetData>
  <mergeCells count="5">
    <mergeCell ref="A3:A8"/>
    <mergeCell ref="A10:A15"/>
    <mergeCell ref="A17:A22"/>
    <mergeCell ref="A24:A29"/>
    <mergeCell ref="A31:A3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4EDA2-3116-494B-981C-98C993A58E7F}">
  <dimension ref="A1:P83"/>
  <sheetViews>
    <sheetView tabSelected="1" workbookViewId="0">
      <pane xSplit="1" ySplit="3" topLeftCell="B18" activePane="bottomRight" state="frozen"/>
      <selection activeCell="P79" sqref="P78:P79"/>
      <selection pane="topRight" activeCell="P79" sqref="P78:P79"/>
      <selection pane="bottomLeft" activeCell="P79" sqref="P78:P79"/>
      <selection pane="bottomRight" activeCell="H41" sqref="H41"/>
    </sheetView>
  </sheetViews>
  <sheetFormatPr defaultRowHeight="15" x14ac:dyDescent="0.25"/>
  <cols>
    <col min="1" max="1" width="39.140625" customWidth="1"/>
    <col min="2" max="16" width="16" bestFit="1" customWidth="1"/>
  </cols>
  <sheetData>
    <row r="1" spans="1:16" x14ac:dyDescent="0.25">
      <c r="A1" s="33" t="s">
        <v>30</v>
      </c>
    </row>
    <row r="2" spans="1:16" x14ac:dyDescent="0.25">
      <c r="A2" s="25"/>
      <c r="B2" s="47"/>
      <c r="C2" s="47"/>
      <c r="D2" s="47"/>
      <c r="E2" s="47"/>
      <c r="F2" s="47"/>
      <c r="G2" s="47"/>
      <c r="H2" s="47"/>
      <c r="I2" s="47"/>
      <c r="J2" s="47"/>
      <c r="K2" s="47"/>
      <c r="L2" s="47"/>
      <c r="M2" s="47"/>
      <c r="N2" s="47"/>
      <c r="O2" s="47"/>
      <c r="P2" s="47"/>
    </row>
    <row r="3" spans="1:16" x14ac:dyDescent="0.25">
      <c r="B3" s="10">
        <v>45597</v>
      </c>
      <c r="C3" s="10">
        <v>45627</v>
      </c>
      <c r="D3" s="10">
        <v>45658</v>
      </c>
      <c r="E3" s="10">
        <v>45689</v>
      </c>
      <c r="F3" s="10">
        <v>45717</v>
      </c>
      <c r="G3" s="10">
        <v>45748</v>
      </c>
      <c r="H3" s="10">
        <v>45778</v>
      </c>
      <c r="I3" s="10">
        <v>45809</v>
      </c>
      <c r="J3" s="10">
        <v>45839</v>
      </c>
      <c r="K3" s="10">
        <v>45870</v>
      </c>
      <c r="L3" s="10">
        <v>45901</v>
      </c>
      <c r="M3" s="10">
        <v>45931</v>
      </c>
      <c r="N3" s="10">
        <v>45962</v>
      </c>
      <c r="O3" s="10">
        <v>45992</v>
      </c>
      <c r="P3" s="10">
        <v>46023</v>
      </c>
    </row>
    <row r="4" spans="1:16" x14ac:dyDescent="0.25">
      <c r="A4" s="36" t="s">
        <v>38</v>
      </c>
      <c r="B4" s="29"/>
      <c r="C4" s="29"/>
      <c r="D4" s="29"/>
      <c r="E4" s="29"/>
      <c r="F4" s="29"/>
      <c r="G4" s="29"/>
      <c r="H4" s="29"/>
      <c r="I4" s="29"/>
      <c r="J4" s="29"/>
      <c r="K4" s="29"/>
      <c r="L4" s="29"/>
      <c r="M4" s="29"/>
      <c r="N4" s="29"/>
      <c r="O4" s="29"/>
      <c r="P4" s="29"/>
    </row>
    <row r="5" spans="1:16" x14ac:dyDescent="0.25">
      <c r="A5" t="s">
        <v>33</v>
      </c>
      <c r="B5" s="122">
        <f t="shared" ref="B5:B10" si="0">B14</f>
        <v>0</v>
      </c>
      <c r="C5" s="122">
        <f t="shared" ref="C5:P5" si="1">B5+C14</f>
        <v>0</v>
      </c>
      <c r="D5" s="122">
        <f t="shared" si="1"/>
        <v>1644.2188249136059</v>
      </c>
      <c r="E5" s="122">
        <f t="shared" si="1"/>
        <v>5759.4628773017575</v>
      </c>
      <c r="F5" s="122">
        <f t="shared" si="1"/>
        <v>11373.38094112193</v>
      </c>
      <c r="G5" s="122">
        <f t="shared" si="1"/>
        <v>17988.98963250198</v>
      </c>
      <c r="H5" s="122">
        <f t="shared" si="1"/>
        <v>30038.349716868994</v>
      </c>
      <c r="I5" s="122">
        <f t="shared" si="1"/>
        <v>95448.344613265159</v>
      </c>
      <c r="J5" s="122">
        <f t="shared" si="1"/>
        <v>198734.48021065618</v>
      </c>
      <c r="K5" s="122">
        <f t="shared" si="1"/>
        <v>315746.26439822902</v>
      </c>
      <c r="L5" s="122">
        <f t="shared" si="1"/>
        <v>390407.25488816225</v>
      </c>
      <c r="M5" s="122">
        <f t="shared" si="1"/>
        <v>412935.32136642619</v>
      </c>
      <c r="N5" s="122">
        <f t="shared" si="1"/>
        <v>447906.44753101317</v>
      </c>
      <c r="O5" s="122">
        <f t="shared" si="1"/>
        <v>506116.06477680203</v>
      </c>
      <c r="P5" s="122">
        <f t="shared" si="1"/>
        <v>569058.39825297892</v>
      </c>
    </row>
    <row r="6" spans="1:16" x14ac:dyDescent="0.25">
      <c r="A6" t="s">
        <v>34</v>
      </c>
      <c r="B6" s="122">
        <f t="shared" si="0"/>
        <v>0</v>
      </c>
      <c r="C6" s="122">
        <f t="shared" ref="C6:P10" si="2">B6+C15</f>
        <v>0</v>
      </c>
      <c r="D6" s="122">
        <f t="shared" si="2"/>
        <v>0</v>
      </c>
      <c r="E6" s="122">
        <f t="shared" si="2"/>
        <v>23.034365312094945</v>
      </c>
      <c r="F6" s="122">
        <f t="shared" si="2"/>
        <v>109.1869309518559</v>
      </c>
      <c r="G6" s="122">
        <f t="shared" si="2"/>
        <v>317.55939052201973</v>
      </c>
      <c r="H6" s="122">
        <f t="shared" si="2"/>
        <v>908.76574751060787</v>
      </c>
      <c r="I6" s="122">
        <f t="shared" si="2"/>
        <v>3434.3989652658556</v>
      </c>
      <c r="J6" s="122">
        <f t="shared" si="2"/>
        <v>7692.5280534342646</v>
      </c>
      <c r="K6" s="122">
        <f t="shared" si="2"/>
        <v>12761.398269867574</v>
      </c>
      <c r="L6" s="122">
        <f t="shared" si="2"/>
        <v>16471.950158884476</v>
      </c>
      <c r="M6" s="122">
        <f t="shared" si="2"/>
        <v>18573.329967278722</v>
      </c>
      <c r="N6" s="122">
        <f t="shared" si="2"/>
        <v>21412.613002682461</v>
      </c>
      <c r="O6" s="122">
        <f t="shared" si="2"/>
        <v>25938.683573167327</v>
      </c>
      <c r="P6" s="122">
        <f t="shared" si="2"/>
        <v>31414.901852105697</v>
      </c>
    </row>
    <row r="7" spans="1:16" x14ac:dyDescent="0.25">
      <c r="A7" t="s">
        <v>35</v>
      </c>
      <c r="B7" s="122">
        <f t="shared" si="0"/>
        <v>0</v>
      </c>
      <c r="C7" s="122">
        <f t="shared" si="2"/>
        <v>0</v>
      </c>
      <c r="D7" s="122">
        <f t="shared" si="2"/>
        <v>0</v>
      </c>
      <c r="E7" s="122">
        <f t="shared" si="2"/>
        <v>139.89228394176408</v>
      </c>
      <c r="F7" s="122">
        <f t="shared" si="2"/>
        <v>631.66442636823888</v>
      </c>
      <c r="G7" s="122">
        <f t="shared" si="2"/>
        <v>3320.8955025071668</v>
      </c>
      <c r="H7" s="122">
        <f t="shared" si="2"/>
        <v>11268.050611713581</v>
      </c>
      <c r="I7" s="122">
        <f t="shared" si="2"/>
        <v>57978.431965308759</v>
      </c>
      <c r="J7" s="122">
        <f t="shared" si="2"/>
        <v>124261.84856372405</v>
      </c>
      <c r="K7" s="122">
        <f t="shared" si="2"/>
        <v>196725.29347834224</v>
      </c>
      <c r="L7" s="122">
        <f t="shared" si="2"/>
        <v>238048.26795473645</v>
      </c>
      <c r="M7" s="122">
        <f t="shared" si="2"/>
        <v>252432.16093532441</v>
      </c>
      <c r="N7" s="122">
        <f t="shared" si="2"/>
        <v>273714.38060174754</v>
      </c>
      <c r="O7" s="122">
        <f t="shared" si="2"/>
        <v>313691.34246532782</v>
      </c>
      <c r="P7" s="122">
        <f t="shared" si="2"/>
        <v>363019.16233861563</v>
      </c>
    </row>
    <row r="8" spans="1:16" x14ac:dyDescent="0.25">
      <c r="A8" t="s">
        <v>36</v>
      </c>
      <c r="B8" s="122">
        <f t="shared" si="0"/>
        <v>0</v>
      </c>
      <c r="C8" s="122">
        <f t="shared" si="2"/>
        <v>0</v>
      </c>
      <c r="D8" s="122">
        <f t="shared" si="2"/>
        <v>0</v>
      </c>
      <c r="E8" s="122">
        <f t="shared" si="2"/>
        <v>20.701510936707962</v>
      </c>
      <c r="F8" s="122">
        <f t="shared" si="2"/>
        <v>68.115993029606585</v>
      </c>
      <c r="G8" s="122">
        <f t="shared" si="2"/>
        <v>283.51500014149417</v>
      </c>
      <c r="H8" s="122">
        <f t="shared" si="2"/>
        <v>896.90231146526401</v>
      </c>
      <c r="I8" s="122">
        <f t="shared" si="2"/>
        <v>11805.419464527504</v>
      </c>
      <c r="J8" s="122">
        <f t="shared" si="2"/>
        <v>37163.527610829995</v>
      </c>
      <c r="K8" s="122">
        <f t="shared" si="2"/>
        <v>64635.475510652002</v>
      </c>
      <c r="L8" s="122">
        <f t="shared" si="2"/>
        <v>79320.521488142287</v>
      </c>
      <c r="M8" s="122">
        <f t="shared" si="2"/>
        <v>82772.547863638014</v>
      </c>
      <c r="N8" s="122">
        <f t="shared" si="2"/>
        <v>86965.048921497946</v>
      </c>
      <c r="O8" s="122">
        <f t="shared" si="2"/>
        <v>94562.926752001644</v>
      </c>
      <c r="P8" s="122">
        <f t="shared" si="2"/>
        <v>104273.67341583793</v>
      </c>
    </row>
    <row r="9" spans="1:16" x14ac:dyDescent="0.25">
      <c r="A9" t="s">
        <v>37</v>
      </c>
      <c r="B9" s="122">
        <f t="shared" si="0"/>
        <v>0</v>
      </c>
      <c r="C9" s="122">
        <f t="shared" si="2"/>
        <v>0</v>
      </c>
      <c r="D9" s="122">
        <f t="shared" si="2"/>
        <v>0</v>
      </c>
      <c r="E9" s="122">
        <f t="shared" si="2"/>
        <v>0</v>
      </c>
      <c r="F9" s="122">
        <f t="shared" si="2"/>
        <v>1.4330326119078123</v>
      </c>
      <c r="G9" s="122">
        <f t="shared" si="2"/>
        <v>4.4442901668912516</v>
      </c>
      <c r="H9" s="122">
        <f t="shared" si="2"/>
        <v>10.516391418303556</v>
      </c>
      <c r="I9" s="122">
        <f t="shared" si="2"/>
        <v>1224.2164261480834</v>
      </c>
      <c r="J9" s="122">
        <f t="shared" si="2"/>
        <v>4252.2427696500845</v>
      </c>
      <c r="K9" s="122">
        <f t="shared" si="2"/>
        <v>7768.5784895189845</v>
      </c>
      <c r="L9" s="122">
        <f t="shared" si="2"/>
        <v>9452.1354371375328</v>
      </c>
      <c r="M9" s="122">
        <f t="shared" si="2"/>
        <v>9624.1100432267194</v>
      </c>
      <c r="N9" s="122">
        <f t="shared" si="2"/>
        <v>9692.8865991130951</v>
      </c>
      <c r="O9" s="122">
        <f t="shared" si="2"/>
        <v>10528.807730178738</v>
      </c>
      <c r="P9" s="122">
        <f t="shared" si="2"/>
        <v>12394.269401740743</v>
      </c>
    </row>
    <row r="10" spans="1:16" x14ac:dyDescent="0.25">
      <c r="A10" t="s">
        <v>29</v>
      </c>
      <c r="B10" s="122">
        <f t="shared" si="0"/>
        <v>0</v>
      </c>
      <c r="C10" s="122">
        <f t="shared" si="2"/>
        <v>0</v>
      </c>
      <c r="D10" s="122">
        <f t="shared" si="2"/>
        <v>58.60782378892074</v>
      </c>
      <c r="E10" s="122">
        <f t="shared" si="2"/>
        <v>426.07454795893659</v>
      </c>
      <c r="F10" s="122">
        <f t="shared" si="2"/>
        <v>1700.0639741898885</v>
      </c>
      <c r="G10" s="122">
        <f t="shared" si="2"/>
        <v>5528.4221526390211</v>
      </c>
      <c r="H10" s="122">
        <f t="shared" si="2"/>
        <v>16388.241593673349</v>
      </c>
      <c r="I10" s="122">
        <f t="shared" si="2"/>
        <v>57122.402186270148</v>
      </c>
      <c r="J10" s="122">
        <f t="shared" si="2"/>
        <v>125234.93225867269</v>
      </c>
      <c r="K10" s="122">
        <f t="shared" si="2"/>
        <v>217325.4394149399</v>
      </c>
      <c r="L10" s="122">
        <f t="shared" si="2"/>
        <v>304809.97288208385</v>
      </c>
      <c r="M10" s="122">
        <f t="shared" si="2"/>
        <v>349013.95004540024</v>
      </c>
      <c r="N10" s="122">
        <f t="shared" si="2"/>
        <v>406794.92048633716</v>
      </c>
      <c r="O10" s="122">
        <f t="shared" si="2"/>
        <v>486652.07855408581</v>
      </c>
      <c r="P10" s="122">
        <f t="shared" si="2"/>
        <v>571780.88570978935</v>
      </c>
    </row>
    <row r="11" spans="1:16" x14ac:dyDescent="0.25">
      <c r="A11" s="33" t="s">
        <v>31</v>
      </c>
      <c r="B11" s="44">
        <f t="shared" ref="B11:P11" si="3">SUM(B5:B10)</f>
        <v>0</v>
      </c>
      <c r="C11" s="44">
        <f t="shared" si="3"/>
        <v>0</v>
      </c>
      <c r="D11" s="44">
        <f t="shared" si="3"/>
        <v>1702.8266487025267</v>
      </c>
      <c r="E11" s="44">
        <f t="shared" si="3"/>
        <v>6369.165585451261</v>
      </c>
      <c r="F11" s="44">
        <f t="shared" si="3"/>
        <v>13883.845298273427</v>
      </c>
      <c r="G11" s="44">
        <f t="shared" si="3"/>
        <v>27443.825968478573</v>
      </c>
      <c r="H11" s="44">
        <f t="shared" si="3"/>
        <v>59510.826372650103</v>
      </c>
      <c r="I11" s="44">
        <f t="shared" si="3"/>
        <v>227013.21362078551</v>
      </c>
      <c r="J11" s="44">
        <f t="shared" si="3"/>
        <v>497339.55946696724</v>
      </c>
      <c r="K11" s="44">
        <f t="shared" si="3"/>
        <v>814962.44956154958</v>
      </c>
      <c r="L11" s="44">
        <f t="shared" si="3"/>
        <v>1038510.1028091469</v>
      </c>
      <c r="M11" s="44">
        <f t="shared" si="3"/>
        <v>1125351.4202212943</v>
      </c>
      <c r="N11" s="44">
        <f t="shared" si="3"/>
        <v>1246486.2971423913</v>
      </c>
      <c r="O11" s="44">
        <f t="shared" si="3"/>
        <v>1437489.9038515633</v>
      </c>
      <c r="P11" s="44">
        <f t="shared" si="3"/>
        <v>1651941.2909710684</v>
      </c>
    </row>
    <row r="12" spans="1:16" x14ac:dyDescent="0.25">
      <c r="B12" s="45"/>
      <c r="C12" s="45"/>
      <c r="D12" s="45"/>
      <c r="E12" s="45"/>
      <c r="F12" s="45"/>
      <c r="G12" s="45"/>
      <c r="H12" s="45"/>
      <c r="I12" s="45"/>
      <c r="J12" s="45"/>
      <c r="K12" s="45"/>
      <c r="L12" s="45"/>
      <c r="M12" s="45"/>
      <c r="N12" s="45"/>
      <c r="O12" s="45"/>
      <c r="P12" s="45"/>
    </row>
    <row r="13" spans="1:16" x14ac:dyDescent="0.25">
      <c r="A13" s="36" t="s">
        <v>39</v>
      </c>
      <c r="B13" s="275" t="s">
        <v>149</v>
      </c>
      <c r="C13" s="276"/>
      <c r="D13" s="45"/>
      <c r="E13" s="45"/>
      <c r="F13" s="45"/>
      <c r="G13" s="45"/>
      <c r="H13" s="45"/>
      <c r="I13" s="45"/>
      <c r="J13" s="45"/>
      <c r="K13" s="45"/>
      <c r="L13" s="45"/>
      <c r="M13" s="45"/>
      <c r="N13" s="45"/>
      <c r="O13" s="45"/>
      <c r="P13" s="45"/>
    </row>
    <row r="14" spans="1:16" x14ac:dyDescent="0.25">
      <c r="A14" s="38" t="s">
        <v>33</v>
      </c>
      <c r="B14" s="276">
        <v>0</v>
      </c>
      <c r="C14" s="276">
        <v>0</v>
      </c>
      <c r="D14" s="276">
        <v>1644.2188249136059</v>
      </c>
      <c r="E14" s="276">
        <v>4115.2440523881514</v>
      </c>
      <c r="F14" s="276">
        <v>5613.9180638201724</v>
      </c>
      <c r="G14" s="276">
        <v>6615.6086913800482</v>
      </c>
      <c r="H14" s="276">
        <v>12049.360084367016</v>
      </c>
      <c r="I14" s="276">
        <v>65409.994896396158</v>
      </c>
      <c r="J14" s="276">
        <v>103286.13559739101</v>
      </c>
      <c r="K14" s="276">
        <v>117011.78418757285</v>
      </c>
      <c r="L14" s="276">
        <v>74660.990489933232</v>
      </c>
      <c r="M14" s="276">
        <v>22528.066478263914</v>
      </c>
      <c r="N14" s="276">
        <v>34971.126164586989</v>
      </c>
      <c r="O14" s="276">
        <v>58209.617245788861</v>
      </c>
      <c r="P14" s="276">
        <v>62942.333476176929</v>
      </c>
    </row>
    <row r="15" spans="1:16" x14ac:dyDescent="0.25">
      <c r="A15" s="38" t="s">
        <v>34</v>
      </c>
      <c r="B15" s="276">
        <v>0</v>
      </c>
      <c r="C15" s="276">
        <v>0</v>
      </c>
      <c r="D15" s="276">
        <v>0</v>
      </c>
      <c r="E15" s="276">
        <v>23.034365312094945</v>
      </c>
      <c r="F15" s="276">
        <v>86.152565639760951</v>
      </c>
      <c r="G15" s="276">
        <v>208.37245957016384</v>
      </c>
      <c r="H15" s="276">
        <v>591.20635698858814</v>
      </c>
      <c r="I15" s="276">
        <v>2525.6332177552476</v>
      </c>
      <c r="J15" s="276">
        <v>4258.129088168409</v>
      </c>
      <c r="K15" s="276">
        <v>5068.870216433309</v>
      </c>
      <c r="L15" s="276">
        <v>3710.5518890169037</v>
      </c>
      <c r="M15" s="276">
        <v>2101.379808394247</v>
      </c>
      <c r="N15" s="276">
        <v>2839.2830354037405</v>
      </c>
      <c r="O15" s="276">
        <v>4526.0705704848651</v>
      </c>
      <c r="P15" s="276">
        <v>5476.2182789383705</v>
      </c>
    </row>
    <row r="16" spans="1:16" x14ac:dyDescent="0.25">
      <c r="A16" s="38" t="s">
        <v>35</v>
      </c>
      <c r="B16" s="276">
        <v>0</v>
      </c>
      <c r="C16" s="276">
        <v>0</v>
      </c>
      <c r="D16" s="276">
        <v>0</v>
      </c>
      <c r="E16" s="276">
        <v>139.89228394176408</v>
      </c>
      <c r="F16" s="276">
        <v>491.77214242647477</v>
      </c>
      <c r="G16" s="276">
        <v>2689.2310761389281</v>
      </c>
      <c r="H16" s="276">
        <v>7947.1551092064146</v>
      </c>
      <c r="I16" s="276">
        <v>46710.381353595178</v>
      </c>
      <c r="J16" s="276">
        <v>66283.416598415293</v>
      </c>
      <c r="K16" s="276">
        <v>72463.444914618201</v>
      </c>
      <c r="L16" s="276">
        <v>41322.974476394214</v>
      </c>
      <c r="M16" s="276">
        <v>14383.892980587958</v>
      </c>
      <c r="N16" s="276">
        <v>21282.21966642312</v>
      </c>
      <c r="O16" s="276">
        <v>39976.961863580254</v>
      </c>
      <c r="P16" s="276">
        <v>49327.819873287794</v>
      </c>
    </row>
    <row r="17" spans="1:16" x14ac:dyDescent="0.25">
      <c r="A17" s="38" t="s">
        <v>36</v>
      </c>
      <c r="B17" s="276">
        <v>0</v>
      </c>
      <c r="C17" s="276">
        <v>0</v>
      </c>
      <c r="D17" s="276">
        <v>0</v>
      </c>
      <c r="E17" s="276">
        <v>20.701510936707962</v>
      </c>
      <c r="F17" s="276">
        <v>47.414482092898616</v>
      </c>
      <c r="G17" s="276">
        <v>215.39900711188761</v>
      </c>
      <c r="H17" s="276">
        <v>613.38731132376984</v>
      </c>
      <c r="I17" s="276">
        <v>10908.517153062239</v>
      </c>
      <c r="J17" s="276">
        <v>25358.108146302493</v>
      </c>
      <c r="K17" s="276">
        <v>27471.947899822004</v>
      </c>
      <c r="L17" s="276">
        <v>14685.04597749029</v>
      </c>
      <c r="M17" s="276">
        <v>3452.02637549573</v>
      </c>
      <c r="N17" s="276">
        <v>4192.5010578599386</v>
      </c>
      <c r="O17" s="276">
        <v>7597.8778305036958</v>
      </c>
      <c r="P17" s="276">
        <v>9710.7466638362894</v>
      </c>
    </row>
    <row r="18" spans="1:16" x14ac:dyDescent="0.25">
      <c r="A18" s="38" t="s">
        <v>37</v>
      </c>
      <c r="B18" s="276">
        <v>0</v>
      </c>
      <c r="C18" s="276">
        <v>0</v>
      </c>
      <c r="D18" s="276">
        <v>0</v>
      </c>
      <c r="E18" s="276">
        <v>0</v>
      </c>
      <c r="F18" s="276">
        <v>1.4330326119078123</v>
      </c>
      <c r="G18" s="276">
        <v>3.0112575549834388</v>
      </c>
      <c r="H18" s="276">
        <v>6.0721012514123052</v>
      </c>
      <c r="I18" s="276">
        <v>1213.7000347297799</v>
      </c>
      <c r="J18" s="276">
        <v>3028.0263435020011</v>
      </c>
      <c r="K18" s="276">
        <v>3516.3357198689005</v>
      </c>
      <c r="L18" s="276">
        <v>1683.5569476185481</v>
      </c>
      <c r="M18" s="276">
        <v>171.9746060891859</v>
      </c>
      <c r="N18" s="276">
        <v>68.77655588637522</v>
      </c>
      <c r="O18" s="276">
        <v>835.92113106564318</v>
      </c>
      <c r="P18" s="276">
        <v>1865.4616715620048</v>
      </c>
    </row>
    <row r="19" spans="1:16" x14ac:dyDescent="0.25">
      <c r="A19" s="38" t="s">
        <v>29</v>
      </c>
      <c r="B19" s="276">
        <v>0</v>
      </c>
      <c r="C19" s="276">
        <v>0</v>
      </c>
      <c r="D19" s="276">
        <v>58.60782378892074</v>
      </c>
      <c r="E19" s="276">
        <v>367.46672417001588</v>
      </c>
      <c r="F19" s="276">
        <v>1273.9894262309519</v>
      </c>
      <c r="G19" s="276">
        <v>3828.3581784491325</v>
      </c>
      <c r="H19" s="276">
        <v>10859.819441034328</v>
      </c>
      <c r="I19" s="276">
        <v>40734.160592596796</v>
      </c>
      <c r="J19" s="276">
        <v>68112.530072402544</v>
      </c>
      <c r="K19" s="276">
        <v>92090.507156267209</v>
      </c>
      <c r="L19" s="276">
        <v>87484.533467143934</v>
      </c>
      <c r="M19" s="276">
        <v>44203.977163316369</v>
      </c>
      <c r="N19" s="276">
        <v>57780.970440936915</v>
      </c>
      <c r="O19" s="276">
        <v>79857.15806774862</v>
      </c>
      <c r="P19" s="276">
        <v>85128.807155703558</v>
      </c>
    </row>
    <row r="20" spans="1:16" x14ac:dyDescent="0.25">
      <c r="A20" s="35" t="s">
        <v>31</v>
      </c>
      <c r="B20" s="44">
        <f t="shared" ref="B20:P20" si="4">SUM(B14:B19)</f>
        <v>0</v>
      </c>
      <c r="C20" s="44">
        <f t="shared" si="4"/>
        <v>0</v>
      </c>
      <c r="D20" s="44">
        <f t="shared" si="4"/>
        <v>1702.8266487025267</v>
      </c>
      <c r="E20" s="44">
        <f t="shared" si="4"/>
        <v>4666.3389367487343</v>
      </c>
      <c r="F20" s="44">
        <f t="shared" si="4"/>
        <v>7514.679712822166</v>
      </c>
      <c r="G20" s="44">
        <f t="shared" si="4"/>
        <v>13559.980670205145</v>
      </c>
      <c r="H20" s="44">
        <f t="shared" si="4"/>
        <v>32067.000404171529</v>
      </c>
      <c r="I20" s="44">
        <f t="shared" si="4"/>
        <v>167502.3872481354</v>
      </c>
      <c r="J20" s="44">
        <f t="shared" si="4"/>
        <v>270326.34584618174</v>
      </c>
      <c r="K20" s="44">
        <f t="shared" si="4"/>
        <v>317622.89009458246</v>
      </c>
      <c r="L20" s="44">
        <f t="shared" si="4"/>
        <v>223547.6532475971</v>
      </c>
      <c r="M20" s="44">
        <f t="shared" si="4"/>
        <v>86841.3174121474</v>
      </c>
      <c r="N20" s="44">
        <f t="shared" si="4"/>
        <v>121134.87692109708</v>
      </c>
      <c r="O20" s="44">
        <f t="shared" si="4"/>
        <v>191003.60670917196</v>
      </c>
      <c r="P20" s="44">
        <f t="shared" si="4"/>
        <v>214451.38711950494</v>
      </c>
    </row>
    <row r="21" spans="1:16" x14ac:dyDescent="0.25">
      <c r="A21" s="35"/>
    </row>
    <row r="22" spans="1:16" x14ac:dyDescent="0.25">
      <c r="A22" s="27" t="s">
        <v>32</v>
      </c>
      <c r="B22" s="277" t="s">
        <v>150</v>
      </c>
      <c r="C22" s="278"/>
    </row>
    <row r="23" spans="1:16" x14ac:dyDescent="0.25">
      <c r="A23" t="s">
        <v>33</v>
      </c>
      <c r="B23" s="279">
        <f>'[2]PPC.1, PCR.2F, EO.5'!B27</f>
        <v>961721412.71587527</v>
      </c>
      <c r="C23" s="279">
        <f>'[2]PPC.1, PCR.2F, EO.5'!C27</f>
        <v>1214824095.0295494</v>
      </c>
      <c r="D23" s="279">
        <f>'[2]PPC.1, PCR.2F, EO.5'!D27</f>
        <v>1429524901.4319398</v>
      </c>
      <c r="E23" s="279">
        <f>'[2]PPC.1, PCR.2F, EO.5'!E27</f>
        <v>1190064267.3489525</v>
      </c>
      <c r="F23" s="279">
        <f>'[2]PPC.1, PCR.2F, EO.5'!F27</f>
        <v>1014603094.1799415</v>
      </c>
      <c r="G23" s="279">
        <f>'[2]PPC.1, PCR.2F, EO.5'!G27</f>
        <v>769303151.60249138</v>
      </c>
      <c r="H23" s="279">
        <f>'[2]PPC.1, PCR.2F, EO.5'!H27</f>
        <v>927870218.58284807</v>
      </c>
      <c r="I23" s="279">
        <f>'[2]PPC.1, PCR.2F, EO.5'!I27</f>
        <v>1194387015.1541328</v>
      </c>
      <c r="J23" s="279">
        <f>'[2]PPC.1, PCR.2F, EO.5'!J27</f>
        <v>1365782366.0928786</v>
      </c>
      <c r="K23" s="279">
        <f>'[2]PPC.1, PCR.2F, EO.5'!K27</f>
        <v>1314496222.440345</v>
      </c>
      <c r="L23" s="279">
        <f>'[2]PPC.1, PCR.2F, EO.5'!L27</f>
        <v>995414652.60440254</v>
      </c>
      <c r="M23" s="279">
        <f>'[2]PPC.1, PCR.2F, EO.5'!M27</f>
        <v>744037470.45533097</v>
      </c>
      <c r="N23" s="279">
        <f>'[2]PPC.1, PCR.2F, EO.5'!N27</f>
        <v>962466196.97000563</v>
      </c>
      <c r="O23" s="279">
        <f>'[2]PPC.1, PCR.2F, EO.5'!O27</f>
        <v>1215138004.097733</v>
      </c>
      <c r="P23" s="279">
        <f>'[2]PPC.1, PCR.2F, EO.5'!P27</f>
        <v>1429450922.8617308</v>
      </c>
    </row>
    <row r="24" spans="1:16" x14ac:dyDescent="0.25">
      <c r="A24" t="s">
        <v>34</v>
      </c>
      <c r="B24" s="279">
        <f>'[2]PPC.1, PCR.2F, EO.5'!B28</f>
        <v>230556313.97548485</v>
      </c>
      <c r="C24" s="279">
        <f>'[2]PPC.1, PCR.2F, EO.5'!C28</f>
        <v>275979565.87286288</v>
      </c>
      <c r="D24" s="279">
        <f>'[2]PPC.1, PCR.2F, EO.5'!D28</f>
        <v>310395670.82745898</v>
      </c>
      <c r="E24" s="279">
        <f>'[2]PPC.1, PCR.2F, EO.5'!E28</f>
        <v>281276494.88891542</v>
      </c>
      <c r="F24" s="279">
        <f>'[2]PPC.1, PCR.2F, EO.5'!F28</f>
        <v>249236647.45428941</v>
      </c>
      <c r="G24" s="279">
        <f>'[2]PPC.1, PCR.2F, EO.5'!G28</f>
        <v>226767828.98855263</v>
      </c>
      <c r="H24" s="279">
        <f>'[2]PPC.1, PCR.2F, EO.5'!H28</f>
        <v>244827574.56690574</v>
      </c>
      <c r="I24" s="279">
        <f>'[2]PPC.1, PCR.2F, EO.5'!I28</f>
        <v>283225222.41562188</v>
      </c>
      <c r="J24" s="279">
        <f>'[2]PPC.1, PCR.2F, EO.5'!J28</f>
        <v>307995205.45052862</v>
      </c>
      <c r="K24" s="279">
        <f>'[2]PPC.1, PCR.2F, EO.5'!K28</f>
        <v>298959962.50381666</v>
      </c>
      <c r="L24" s="279">
        <f>'[2]PPC.1, PCR.2F, EO.5'!L28</f>
        <v>263905607.13617331</v>
      </c>
      <c r="M24" s="279">
        <f>'[2]PPC.1, PCR.2F, EO.5'!M28</f>
        <v>215412360.63650614</v>
      </c>
      <c r="N24" s="279">
        <f>'[2]PPC.1, PCR.2F, EO.5'!N28</f>
        <v>230921583.85977823</v>
      </c>
      <c r="O24" s="279">
        <f>'[2]PPC.1, PCR.2F, EO.5'!O28</f>
        <v>276273412.16607565</v>
      </c>
      <c r="P24" s="279">
        <f>'[2]PPC.1, PCR.2F, EO.5'!P28</f>
        <v>310697639.29799688</v>
      </c>
    </row>
    <row r="25" spans="1:16" x14ac:dyDescent="0.25">
      <c r="A25" t="s">
        <v>35</v>
      </c>
      <c r="B25" s="279">
        <f>'[2]PPC.1, PCR.2F, EO.5'!B29</f>
        <v>503402364.62291127</v>
      </c>
      <c r="C25" s="279">
        <f>'[2]PPC.1, PCR.2F, EO.5'!C29</f>
        <v>553970107.07777035</v>
      </c>
      <c r="D25" s="279">
        <f>'[2]PPC.1, PCR.2F, EO.5'!D29</f>
        <v>582129216.80663931</v>
      </c>
      <c r="E25" s="279">
        <f>'[2]PPC.1, PCR.2F, EO.5'!E29</f>
        <v>515865693.45582765</v>
      </c>
      <c r="F25" s="279">
        <f>'[2]PPC.1, PCR.2F, EO.5'!F29</f>
        <v>522575519.43424022</v>
      </c>
      <c r="G25" s="279">
        <f>'[2]PPC.1, PCR.2F, EO.5'!G29</f>
        <v>505674054.43839753</v>
      </c>
      <c r="H25" s="279">
        <f>'[2]PPC.1, PCR.2F, EO.5'!H29</f>
        <v>572817819.76956499</v>
      </c>
      <c r="I25" s="279">
        <f>'[2]PPC.1, PCR.2F, EO.5'!I29</f>
        <v>606308434.76448393</v>
      </c>
      <c r="J25" s="279">
        <f>'[2]PPC.1, PCR.2F, EO.5'!J29</f>
        <v>651004657.0920285</v>
      </c>
      <c r="K25" s="279">
        <f>'[2]PPC.1, PCR.2F, EO.5'!K29</f>
        <v>635975233.95183766</v>
      </c>
      <c r="L25" s="279">
        <f>'[2]PPC.1, PCR.2F, EO.5'!L29</f>
        <v>573938163.98230696</v>
      </c>
      <c r="M25" s="279">
        <f>'[2]PPC.1, PCR.2F, EO.5'!M29</f>
        <v>528417686.98890507</v>
      </c>
      <c r="N25" s="279">
        <f>'[2]PPC.1, PCR.2F, EO.5'!N29</f>
        <v>506348801.23189801</v>
      </c>
      <c r="O25" s="279">
        <f>'[2]PPC.1, PCR.2F, EO.5'!O29</f>
        <v>556790182.67338777</v>
      </c>
      <c r="P25" s="279">
        <f>'[2]PPC.1, PCR.2F, EO.5'!P29</f>
        <v>582413683.09713233</v>
      </c>
    </row>
    <row r="26" spans="1:16" x14ac:dyDescent="0.25">
      <c r="A26" t="s">
        <v>36</v>
      </c>
      <c r="B26" s="279">
        <f>'[2]PPC.1, PCR.2F, EO.5'!B30</f>
        <v>220932655.9857884</v>
      </c>
      <c r="C26" s="279">
        <f>'[2]PPC.1, PCR.2F, EO.5'!C30</f>
        <v>233594424.1517618</v>
      </c>
      <c r="D26" s="279">
        <f>'[2]PPC.1, PCR.2F, EO.5'!D30</f>
        <v>243692177.27010703</v>
      </c>
      <c r="E26" s="279">
        <f>'[2]PPC.1, PCR.2F, EO.5'!E30</f>
        <v>223508963.31422031</v>
      </c>
      <c r="F26" s="279">
        <f>'[2]PPC.1, PCR.2F, EO.5'!F30</f>
        <v>225935520.4983165</v>
      </c>
      <c r="G26" s="279">
        <f>'[2]PPC.1, PCR.2F, EO.5'!G30</f>
        <v>225755520.24654862</v>
      </c>
      <c r="H26" s="279">
        <f>'[2]PPC.1, PCR.2F, EO.5'!H30</f>
        <v>236650278.90790892</v>
      </c>
      <c r="I26" s="279">
        <f>'[2]PPC.1, PCR.2F, EO.5'!I30</f>
        <v>249267183.76549473</v>
      </c>
      <c r="J26" s="279">
        <f>'[2]PPC.1, PCR.2F, EO.5'!J30</f>
        <v>265487281.99319294</v>
      </c>
      <c r="K26" s="279">
        <f>'[2]PPC.1, PCR.2F, EO.5'!K30</f>
        <v>265793432.46048093</v>
      </c>
      <c r="L26" s="279">
        <f>'[2]PPC.1, PCR.2F, EO.5'!L30</f>
        <v>249354980.18941644</v>
      </c>
      <c r="M26" s="279">
        <f>'[2]PPC.1, PCR.2F, EO.5'!M30</f>
        <v>232261215.72278216</v>
      </c>
      <c r="N26" s="279">
        <f>'[2]PPC.1, PCR.2F, EO.5'!N30</f>
        <v>221653157.12380189</v>
      </c>
      <c r="O26" s="279">
        <f>'[2]PPC.1, PCR.2F, EO.5'!O30</f>
        <v>234363625.54023194</v>
      </c>
      <c r="P26" s="279">
        <f>'[2]PPC.1, PCR.2F, EO.5'!P30</f>
        <v>243138516.68845567</v>
      </c>
    </row>
    <row r="27" spans="1:16" x14ac:dyDescent="0.25">
      <c r="A27" t="s">
        <v>37</v>
      </c>
      <c r="B27" s="279">
        <f>'[2]PPC.1, PCR.2F, EO.5'!B31</f>
        <v>67785624.340276375</v>
      </c>
      <c r="C27" s="279">
        <f>'[2]PPC.1, PCR.2F, EO.5'!C31</f>
        <v>67021875.10198836</v>
      </c>
      <c r="D27" s="279">
        <f>'[2]PPC.1, PCR.2F, EO.5'!D31</f>
        <v>66767907.568719082</v>
      </c>
      <c r="E27" s="279">
        <f>'[2]PPC.1, PCR.2F, EO.5'!E31</f>
        <v>62741418.197744302</v>
      </c>
      <c r="F27" s="279">
        <f>'[2]PPC.1, PCR.2F, EO.5'!F31</f>
        <v>65152113.496512696</v>
      </c>
      <c r="G27" s="279">
        <f>'[2]PPC.1, PCR.2F, EO.5'!G31</f>
        <v>69133414.966971025</v>
      </c>
      <c r="H27" s="279">
        <f>'[2]PPC.1, PCR.2F, EO.5'!H31</f>
        <v>75596299.297143608</v>
      </c>
      <c r="I27" s="279">
        <f>'[2]PPC.1, PCR.2F, EO.5'!I31</f>
        <v>78385915.566683248</v>
      </c>
      <c r="J27" s="279">
        <f>'[2]PPC.1, PCR.2F, EO.5'!J31</f>
        <v>83584005.816239804</v>
      </c>
      <c r="K27" s="279">
        <f>'[2]PPC.1, PCR.2F, EO.5'!K31</f>
        <v>82353168.95995523</v>
      </c>
      <c r="L27" s="279">
        <f>'[2]PPC.1, PCR.2F, EO.5'!L31</f>
        <v>75919704.330048919</v>
      </c>
      <c r="M27" s="279">
        <f>'[2]PPC.1, PCR.2F, EO.5'!M31</f>
        <v>73493705.531886309</v>
      </c>
      <c r="N27" s="279">
        <f>'[2]PPC.1, PCR.2F, EO.5'!N31</f>
        <v>67867153.794123709</v>
      </c>
      <c r="O27" s="279">
        <f>'[2]PPC.1, PCR.2F, EO.5'!O31</f>
        <v>67101871.772907503</v>
      </c>
      <c r="P27" s="279">
        <f>'[2]PPC.1, PCR.2F, EO.5'!P31</f>
        <v>68603660.857099026</v>
      </c>
    </row>
    <row r="28" spans="1:16" x14ac:dyDescent="0.25">
      <c r="A28" s="33" t="s">
        <v>31</v>
      </c>
      <c r="B28" s="34">
        <f t="shared" ref="B28:P28" si="5">SUM(B23:B27)</f>
        <v>1984398371.640336</v>
      </c>
      <c r="C28" s="34">
        <f t="shared" si="5"/>
        <v>2345390067.233933</v>
      </c>
      <c r="D28" s="34">
        <f t="shared" si="5"/>
        <v>2632509873.9048643</v>
      </c>
      <c r="E28" s="34">
        <f t="shared" si="5"/>
        <v>2273456837.2056603</v>
      </c>
      <c r="F28" s="34">
        <f t="shared" si="5"/>
        <v>2077502895.0633001</v>
      </c>
      <c r="G28" s="34">
        <f t="shared" si="5"/>
        <v>1796633970.2429609</v>
      </c>
      <c r="H28" s="34">
        <f t="shared" si="5"/>
        <v>2057762191.1243713</v>
      </c>
      <c r="I28" s="34">
        <f t="shared" si="5"/>
        <v>2411573771.6664166</v>
      </c>
      <c r="J28" s="34">
        <f t="shared" si="5"/>
        <v>2673853516.4448686</v>
      </c>
      <c r="K28" s="34">
        <f t="shared" si="5"/>
        <v>2597578020.3164358</v>
      </c>
      <c r="L28" s="34">
        <f t="shared" si="5"/>
        <v>2158533108.2423482</v>
      </c>
      <c r="M28" s="34">
        <f t="shared" si="5"/>
        <v>1793622439.3354108</v>
      </c>
      <c r="N28" s="34">
        <f t="shared" si="5"/>
        <v>1989256892.9796076</v>
      </c>
      <c r="O28" s="34">
        <f t="shared" si="5"/>
        <v>2349667096.2503362</v>
      </c>
      <c r="P28" s="34">
        <f t="shared" si="5"/>
        <v>2634304422.8024144</v>
      </c>
    </row>
    <row r="30" spans="1:16" x14ac:dyDescent="0.25">
      <c r="A30" s="27" t="s">
        <v>40</v>
      </c>
      <c r="B30" s="280"/>
      <c r="C30" s="280"/>
      <c r="D30" s="280"/>
    </row>
    <row r="31" spans="1:16" x14ac:dyDescent="0.25">
      <c r="A31" t="s">
        <v>33</v>
      </c>
      <c r="B31" s="281">
        <f>IF(B14="","",B14+(B$19*(B23/B$28)))</f>
        <v>0</v>
      </c>
      <c r="C31" s="281">
        <f t="shared" ref="C31:P35" si="6">IF(C14="","",C14+(C$19*(C23/C$28)))</f>
        <v>0</v>
      </c>
      <c r="D31" s="281">
        <f t="shared" si="6"/>
        <v>1676.0444770623374</v>
      </c>
      <c r="E31" s="282">
        <f t="shared" si="6"/>
        <v>4307.5982729380403</v>
      </c>
      <c r="F31" s="282">
        <f t="shared" si="6"/>
        <v>6236.1042551742248</v>
      </c>
      <c r="G31" s="282">
        <f t="shared" si="6"/>
        <v>8254.8786044084718</v>
      </c>
      <c r="H31" s="282">
        <f t="shared" si="6"/>
        <v>16946.185909034801</v>
      </c>
      <c r="I31" s="282">
        <f t="shared" si="6"/>
        <v>85584.518710105418</v>
      </c>
      <c r="J31" s="282">
        <f t="shared" si="6"/>
        <v>138077.45528290095</v>
      </c>
      <c r="K31" s="282">
        <f t="shared" si="6"/>
        <v>163613.89693750374</v>
      </c>
      <c r="L31" s="282">
        <f t="shared" si="6"/>
        <v>115004.77125332659</v>
      </c>
      <c r="M31" s="282">
        <f t="shared" si="6"/>
        <v>40864.933051390428</v>
      </c>
      <c r="N31" s="282">
        <f t="shared" si="6"/>
        <v>62927.410279418487</v>
      </c>
      <c r="O31" s="282">
        <f t="shared" si="6"/>
        <v>99508.007056931179</v>
      </c>
      <c r="P31" s="282">
        <f t="shared" si="6"/>
        <v>109135.72361648036</v>
      </c>
    </row>
    <row r="32" spans="1:16" x14ac:dyDescent="0.25">
      <c r="A32" t="s">
        <v>34</v>
      </c>
      <c r="B32" s="281">
        <f t="shared" ref="B32:N35" si="7">IF(B15="","",B15+(B$19*(B24/B$28)))</f>
        <v>0</v>
      </c>
      <c r="C32" s="281">
        <f t="shared" si="7"/>
        <v>0</v>
      </c>
      <c r="D32" s="281">
        <f t="shared" si="7"/>
        <v>6.9103690592109759</v>
      </c>
      <c r="E32" s="282">
        <f t="shared" si="7"/>
        <v>68.498062036548703</v>
      </c>
      <c r="F32" s="282">
        <f t="shared" si="7"/>
        <v>238.99223399379298</v>
      </c>
      <c r="G32" s="282">
        <f t="shared" si="7"/>
        <v>691.58077417198501</v>
      </c>
      <c r="H32" s="282">
        <f t="shared" si="7"/>
        <v>1883.2814400331417</v>
      </c>
      <c r="I32" s="282">
        <f t="shared" si="7"/>
        <v>7309.6219264148913</v>
      </c>
      <c r="J32" s="282">
        <f t="shared" si="7"/>
        <v>12103.859067160502</v>
      </c>
      <c r="K32" s="282">
        <f>IF(K15="","",K15+(K$19*(K24/K$28)))</f>
        <v>15667.733600348623</v>
      </c>
      <c r="L32" s="282">
        <f t="shared" si="7"/>
        <v>14406.54669748724</v>
      </c>
      <c r="M32" s="282">
        <f t="shared" si="7"/>
        <v>7410.2357088592271</v>
      </c>
      <c r="N32" s="282">
        <f t="shared" si="7"/>
        <v>9546.749154166595</v>
      </c>
      <c r="O32" s="282">
        <f t="shared" si="6"/>
        <v>13915.660091685706</v>
      </c>
      <c r="P32" s="282">
        <f t="shared" si="6"/>
        <v>15516.56106946306</v>
      </c>
    </row>
    <row r="33" spans="1:16" x14ac:dyDescent="0.25">
      <c r="A33" t="s">
        <v>35</v>
      </c>
      <c r="B33" s="281">
        <f t="shared" si="7"/>
        <v>0</v>
      </c>
      <c r="C33" s="281">
        <f t="shared" si="7"/>
        <v>0</v>
      </c>
      <c r="D33" s="281">
        <f t="shared" si="7"/>
        <v>12.959999466356765</v>
      </c>
      <c r="E33" s="282">
        <f t="shared" si="7"/>
        <v>223.27344754410538</v>
      </c>
      <c r="F33" s="282">
        <f t="shared" si="7"/>
        <v>812.23171326432157</v>
      </c>
      <c r="G33" s="282">
        <f t="shared" si="7"/>
        <v>3766.7468272615547</v>
      </c>
      <c r="H33" s="282">
        <f t="shared" si="7"/>
        <v>10970.195440171676</v>
      </c>
      <c r="I33" s="282">
        <f t="shared" si="7"/>
        <v>56951.604508579294</v>
      </c>
      <c r="J33" s="282">
        <f t="shared" si="7"/>
        <v>82866.81356116703</v>
      </c>
      <c r="K33" s="282">
        <f t="shared" si="7"/>
        <v>95010.325653282518</v>
      </c>
      <c r="L33" s="282">
        <f t="shared" si="7"/>
        <v>64584.471982849835</v>
      </c>
      <c r="M33" s="282">
        <f t="shared" si="7"/>
        <v>27406.791700011257</v>
      </c>
      <c r="N33" s="282">
        <f t="shared" si="7"/>
        <v>35989.885237439972</v>
      </c>
      <c r="O33" s="282">
        <f t="shared" si="6"/>
        <v>58900.358160560252</v>
      </c>
      <c r="P33" s="282">
        <f t="shared" si="6"/>
        <v>68148.796554667177</v>
      </c>
    </row>
    <row r="34" spans="1:16" x14ac:dyDescent="0.25">
      <c r="A34" t="s">
        <v>36</v>
      </c>
      <c r="B34" s="281">
        <f t="shared" si="7"/>
        <v>0</v>
      </c>
      <c r="C34" s="281">
        <f t="shared" si="7"/>
        <v>0</v>
      </c>
      <c r="D34" s="281">
        <f t="shared" si="7"/>
        <v>5.425342683710296</v>
      </c>
      <c r="E34" s="282">
        <f t="shared" si="7"/>
        <v>56.828040909743471</v>
      </c>
      <c r="F34" s="282">
        <f t="shared" si="7"/>
        <v>185.96517427668564</v>
      </c>
      <c r="G34" s="282">
        <f t="shared" si="7"/>
        <v>696.45024324599922</v>
      </c>
      <c r="H34" s="282">
        <f t="shared" si="7"/>
        <v>1862.3067980823714</v>
      </c>
      <c r="I34" s="282">
        <f t="shared" si="7"/>
        <v>15118.916856883749</v>
      </c>
      <c r="J34" s="282">
        <f t="shared" si="7"/>
        <v>32121.010589307214</v>
      </c>
      <c r="K34" s="282">
        <f t="shared" si="7"/>
        <v>36894.97650671981</v>
      </c>
      <c r="L34" s="282">
        <f t="shared" si="7"/>
        <v>24791.309358987972</v>
      </c>
      <c r="M34" s="282">
        <f t="shared" si="7"/>
        <v>9176.1237387836991</v>
      </c>
      <c r="N34" s="282">
        <f t="shared" si="7"/>
        <v>10630.751725790153</v>
      </c>
      <c r="O34" s="282">
        <f t="shared" si="6"/>
        <v>15563.096869389607</v>
      </c>
      <c r="P34" s="282">
        <f t="shared" si="6"/>
        <v>17567.884100244039</v>
      </c>
    </row>
    <row r="35" spans="1:16" x14ac:dyDescent="0.25">
      <c r="A35" t="s">
        <v>37</v>
      </c>
      <c r="B35" s="281">
        <f t="shared" si="7"/>
        <v>0</v>
      </c>
      <c r="C35" s="281">
        <f t="shared" si="7"/>
        <v>0</v>
      </c>
      <c r="D35" s="281">
        <f t="shared" si="7"/>
        <v>1.4864604309111322</v>
      </c>
      <c r="E35" s="282">
        <f t="shared" si="7"/>
        <v>10.141113320296784</v>
      </c>
      <c r="F35" s="282">
        <f t="shared" si="7"/>
        <v>41.386336113141688</v>
      </c>
      <c r="G35" s="282">
        <f t="shared" si="7"/>
        <v>150.32422111713288</v>
      </c>
      <c r="H35" s="282">
        <f t="shared" si="7"/>
        <v>405.03081684954083</v>
      </c>
      <c r="I35" s="282">
        <f t="shared" si="7"/>
        <v>2537.7252461520416</v>
      </c>
      <c r="J35" s="282">
        <f t="shared" si="7"/>
        <v>5157.2073456460603</v>
      </c>
      <c r="K35" s="282">
        <f t="shared" si="7"/>
        <v>6435.9573967277793</v>
      </c>
      <c r="L35" s="282">
        <f t="shared" si="7"/>
        <v>4760.5539549454943</v>
      </c>
      <c r="M35" s="282">
        <f t="shared" si="7"/>
        <v>1983.2332131027908</v>
      </c>
      <c r="N35" s="282">
        <f t="shared" si="7"/>
        <v>2040.0805242818647</v>
      </c>
      <c r="O35" s="282">
        <f t="shared" si="6"/>
        <v>3116.4845306051866</v>
      </c>
      <c r="P35" s="282">
        <f t="shared" si="6"/>
        <v>4082.4217786503232</v>
      </c>
    </row>
    <row r="36" spans="1:16" x14ac:dyDescent="0.25">
      <c r="A36" s="33" t="s">
        <v>31</v>
      </c>
      <c r="B36" s="44">
        <f t="shared" ref="B36:P36" si="8">SUM(B31:B35)</f>
        <v>0</v>
      </c>
      <c r="C36" s="44">
        <f t="shared" si="8"/>
        <v>0</v>
      </c>
      <c r="D36" s="44">
        <f t="shared" si="8"/>
        <v>1702.8266487025267</v>
      </c>
      <c r="E36" s="44">
        <f t="shared" si="8"/>
        <v>4666.3389367487343</v>
      </c>
      <c r="F36" s="44">
        <f t="shared" si="8"/>
        <v>7514.6797128221669</v>
      </c>
      <c r="G36" s="44">
        <f t="shared" si="8"/>
        <v>13559.980670205145</v>
      </c>
      <c r="H36" s="44">
        <f t="shared" si="8"/>
        <v>32067.000404171529</v>
      </c>
      <c r="I36" s="44">
        <f t="shared" si="8"/>
        <v>167502.38724813543</v>
      </c>
      <c r="J36" s="44">
        <f t="shared" si="8"/>
        <v>270326.34584618174</v>
      </c>
      <c r="K36" s="44">
        <f t="shared" si="8"/>
        <v>317622.89009458246</v>
      </c>
      <c r="L36" s="44">
        <f t="shared" si="8"/>
        <v>223547.65324759713</v>
      </c>
      <c r="M36" s="44">
        <f t="shared" si="8"/>
        <v>86841.317412147415</v>
      </c>
      <c r="N36" s="44">
        <f t="shared" si="8"/>
        <v>121134.87692109706</v>
      </c>
      <c r="O36" s="44">
        <f t="shared" si="8"/>
        <v>191003.60670917196</v>
      </c>
      <c r="P36" s="44">
        <f t="shared" si="8"/>
        <v>214451.38711950494</v>
      </c>
    </row>
    <row r="37" spans="1:16" x14ac:dyDescent="0.25">
      <c r="A37" s="33"/>
      <c r="B37" s="80"/>
      <c r="C37" s="80"/>
      <c r="D37" s="80"/>
      <c r="E37" s="80"/>
      <c r="F37" s="80"/>
      <c r="G37" s="80"/>
      <c r="H37" s="80"/>
      <c r="I37" s="80"/>
      <c r="J37" s="80"/>
      <c r="K37" s="80"/>
      <c r="L37" s="80"/>
      <c r="M37" s="80"/>
      <c r="N37" s="80"/>
      <c r="O37" s="80"/>
      <c r="P37" s="80"/>
    </row>
    <row r="38" spans="1:16" x14ac:dyDescent="0.25">
      <c r="A38" s="33"/>
      <c r="B38" s="80"/>
      <c r="C38" s="80"/>
      <c r="D38" s="35" t="s">
        <v>151</v>
      </c>
      <c r="E38" s="80"/>
      <c r="F38" s="80"/>
      <c r="G38" s="80"/>
      <c r="H38" s="80"/>
      <c r="I38" s="80"/>
      <c r="J38" s="80"/>
      <c r="K38" s="80"/>
      <c r="L38" s="80"/>
      <c r="M38" s="80"/>
      <c r="N38" s="80"/>
      <c r="P38" s="35" t="s">
        <v>152</v>
      </c>
    </row>
    <row r="39" spans="1:16" x14ac:dyDescent="0.25">
      <c r="A39" s="33"/>
      <c r="B39" s="80"/>
      <c r="C39" t="s">
        <v>33</v>
      </c>
      <c r="D39" s="283">
        <f>SUM(B31:D31)</f>
        <v>1676.0444770623374</v>
      </c>
      <c r="E39" s="80"/>
      <c r="F39" s="80"/>
      <c r="G39" s="80"/>
      <c r="H39" s="80"/>
      <c r="I39" s="80"/>
      <c r="J39" s="80"/>
      <c r="K39" s="80"/>
      <c r="L39" s="80"/>
      <c r="M39" s="80"/>
      <c r="N39" s="80"/>
      <c r="O39" t="s">
        <v>33</v>
      </c>
      <c r="P39" s="284">
        <f>SUM(E31:P31)</f>
        <v>850461.4832296127</v>
      </c>
    </row>
    <row r="40" spans="1:16" x14ac:dyDescent="0.25">
      <c r="A40" s="33"/>
      <c r="B40" s="80"/>
      <c r="C40" t="s">
        <v>34</v>
      </c>
      <c r="D40" s="283">
        <f t="shared" ref="D40:D44" si="9">SUM(B32:D32)</f>
        <v>6.9103690592109759</v>
      </c>
      <c r="E40" s="80"/>
      <c r="F40" s="80"/>
      <c r="G40" s="80"/>
      <c r="H40" s="80"/>
      <c r="I40" s="80"/>
      <c r="J40" s="80"/>
      <c r="K40" s="80"/>
      <c r="L40" s="80"/>
      <c r="M40" s="80"/>
      <c r="N40" s="80"/>
      <c r="O40" t="s">
        <v>34</v>
      </c>
      <c r="P40" s="284">
        <f t="shared" ref="P40:P42" si="10">SUM(E32:P32)</f>
        <v>98759.319825821323</v>
      </c>
    </row>
    <row r="41" spans="1:16" x14ac:dyDescent="0.25">
      <c r="A41" s="33"/>
      <c r="B41" s="80"/>
      <c r="C41" t="s">
        <v>35</v>
      </c>
      <c r="D41" s="283">
        <f t="shared" si="9"/>
        <v>12.959999466356765</v>
      </c>
      <c r="E41" s="80"/>
      <c r="F41" s="80"/>
      <c r="G41" s="80"/>
      <c r="H41" s="80"/>
      <c r="I41" s="80"/>
      <c r="J41" s="80"/>
      <c r="K41" s="80"/>
      <c r="L41" s="80"/>
      <c r="M41" s="80"/>
      <c r="N41" s="80"/>
      <c r="O41" t="s">
        <v>35</v>
      </c>
      <c r="P41" s="284">
        <f t="shared" si="10"/>
        <v>505631.49478679895</v>
      </c>
    </row>
    <row r="42" spans="1:16" x14ac:dyDescent="0.25">
      <c r="A42" s="33"/>
      <c r="B42" s="80"/>
      <c r="C42" t="s">
        <v>36</v>
      </c>
      <c r="D42" s="283">
        <f t="shared" si="9"/>
        <v>5.425342683710296</v>
      </c>
      <c r="E42" s="80"/>
      <c r="F42" s="80"/>
      <c r="G42" s="80"/>
      <c r="H42" s="80"/>
      <c r="I42" s="80"/>
      <c r="J42" s="80"/>
      <c r="K42" s="80"/>
      <c r="L42" s="80"/>
      <c r="M42" s="80"/>
      <c r="N42" s="80"/>
      <c r="O42" t="s">
        <v>36</v>
      </c>
      <c r="P42" s="284">
        <f t="shared" si="10"/>
        <v>164665.62000262106</v>
      </c>
    </row>
    <row r="43" spans="1:16" x14ac:dyDescent="0.25">
      <c r="A43" s="33"/>
      <c r="B43" s="80"/>
      <c r="C43" t="s">
        <v>37</v>
      </c>
      <c r="D43" s="283">
        <f t="shared" si="9"/>
        <v>1.4864604309111322</v>
      </c>
      <c r="E43" s="80"/>
      <c r="F43" s="80"/>
      <c r="G43" s="80"/>
      <c r="H43" s="80"/>
      <c r="I43" s="80"/>
      <c r="J43" s="80"/>
      <c r="K43" s="80"/>
      <c r="L43" s="80"/>
      <c r="M43" s="80"/>
      <c r="N43" s="80"/>
      <c r="O43" t="s">
        <v>37</v>
      </c>
      <c r="P43" s="284">
        <f>SUM(E35:P35)</f>
        <v>30720.546477511649</v>
      </c>
    </row>
    <row r="44" spans="1:16" x14ac:dyDescent="0.25">
      <c r="A44" s="33"/>
      <c r="B44" s="80"/>
      <c r="C44" s="33" t="s">
        <v>31</v>
      </c>
      <c r="D44" s="283">
        <f t="shared" si="9"/>
        <v>1702.8266487025267</v>
      </c>
      <c r="E44" s="80"/>
      <c r="F44" s="80"/>
      <c r="G44" s="80"/>
      <c r="H44" s="80"/>
      <c r="I44" s="80"/>
      <c r="J44" s="80"/>
      <c r="K44" s="80"/>
      <c r="L44" s="80"/>
      <c r="M44" s="80"/>
      <c r="N44" s="80"/>
      <c r="O44" s="33" t="s">
        <v>31</v>
      </c>
      <c r="P44" s="284">
        <f>SUM(E36:P36)</f>
        <v>1650238.4643223658</v>
      </c>
    </row>
    <row r="45" spans="1:16" x14ac:dyDescent="0.25">
      <c r="A45" s="33"/>
      <c r="B45" s="80"/>
      <c r="C45" s="80"/>
      <c r="D45" s="80"/>
      <c r="E45" s="80"/>
      <c r="F45" s="80"/>
      <c r="G45" s="80"/>
      <c r="H45" s="80"/>
      <c r="I45" s="80"/>
      <c r="J45" s="80"/>
      <c r="K45" s="80"/>
      <c r="L45" s="80"/>
      <c r="M45" s="80"/>
      <c r="N45" s="80"/>
      <c r="O45" s="80"/>
      <c r="P45" s="80"/>
    </row>
    <row r="46" spans="1:16" s="82" customFormat="1" ht="15.75" thickBot="1" x14ac:dyDescent="0.3"/>
    <row r="47" spans="1:16" ht="15.75" x14ac:dyDescent="0.25">
      <c r="A47" s="79" t="s">
        <v>59</v>
      </c>
    </row>
    <row r="49" spans="1:16" x14ac:dyDescent="0.25">
      <c r="B49" s="10">
        <v>45597</v>
      </c>
      <c r="C49" s="10">
        <v>45627</v>
      </c>
      <c r="D49" s="10">
        <v>45658</v>
      </c>
      <c r="E49" s="10">
        <v>45689</v>
      </c>
      <c r="F49" s="10">
        <v>45717</v>
      </c>
      <c r="G49" s="10">
        <v>45748</v>
      </c>
      <c r="H49" s="10">
        <v>45778</v>
      </c>
      <c r="I49" s="10">
        <v>45809</v>
      </c>
      <c r="J49" s="10">
        <v>45839</v>
      </c>
      <c r="K49" s="10">
        <v>45870</v>
      </c>
      <c r="L49" s="10">
        <v>45901</v>
      </c>
      <c r="M49" s="10">
        <v>45931</v>
      </c>
      <c r="N49" s="10">
        <v>45962</v>
      </c>
      <c r="O49" s="10">
        <v>45992</v>
      </c>
      <c r="P49" s="10">
        <v>46023</v>
      </c>
    </row>
    <row r="50" spans="1:16" x14ac:dyDescent="0.25">
      <c r="A50" s="36" t="s">
        <v>60</v>
      </c>
      <c r="B50" s="285" t="s">
        <v>153</v>
      </c>
      <c r="C50" s="286"/>
      <c r="D50" s="29"/>
      <c r="E50" s="29"/>
      <c r="F50" s="29"/>
      <c r="G50" s="29"/>
      <c r="H50" s="29"/>
      <c r="I50" s="29"/>
      <c r="J50" s="29"/>
      <c r="K50" s="29"/>
      <c r="L50" s="29"/>
      <c r="M50" s="29"/>
      <c r="N50" s="29"/>
      <c r="O50" s="29"/>
      <c r="P50" s="29"/>
    </row>
    <row r="51" spans="1:16" x14ac:dyDescent="0.25">
      <c r="A51" t="s">
        <v>33</v>
      </c>
      <c r="B51" s="287">
        <f>'[1]TDR (M4)'!B22</f>
        <v>0</v>
      </c>
      <c r="C51" s="287">
        <f>'[1]TDR (M4)'!C22</f>
        <v>0</v>
      </c>
      <c r="D51" s="287">
        <f>'[1]TDR (M4)'!D22</f>
        <v>0</v>
      </c>
      <c r="E51" s="122"/>
      <c r="F51" s="122"/>
      <c r="G51" s="122"/>
      <c r="H51" s="122"/>
      <c r="I51" s="122"/>
      <c r="J51" s="122"/>
      <c r="K51" s="122"/>
      <c r="L51" s="122"/>
      <c r="M51" s="122"/>
      <c r="N51" s="122"/>
      <c r="O51" s="122"/>
      <c r="P51" s="122"/>
    </row>
    <row r="52" spans="1:16" x14ac:dyDescent="0.25">
      <c r="A52" t="s">
        <v>34</v>
      </c>
      <c r="B52" s="287">
        <f>'[1]TDR (M4)'!B23</f>
        <v>0</v>
      </c>
      <c r="C52" s="287">
        <f>'[1]TDR (M4)'!C23</f>
        <v>0</v>
      </c>
      <c r="D52" s="287">
        <f>'[1]TDR (M4)'!D23</f>
        <v>0</v>
      </c>
      <c r="E52" s="122"/>
      <c r="F52" s="122"/>
      <c r="G52" s="122"/>
      <c r="H52" s="122"/>
      <c r="I52" s="122"/>
      <c r="J52" s="122"/>
      <c r="K52" s="122"/>
      <c r="L52" s="122"/>
      <c r="M52" s="122"/>
      <c r="N52" s="122"/>
      <c r="O52" s="122"/>
      <c r="P52" s="122"/>
    </row>
    <row r="53" spans="1:16" x14ac:dyDescent="0.25">
      <c r="A53" t="s">
        <v>35</v>
      </c>
      <c r="B53" s="287">
        <f>'[1]TDR (M4)'!B24</f>
        <v>0</v>
      </c>
      <c r="C53" s="287">
        <f>'[1]TDR (M4)'!C24</f>
        <v>0</v>
      </c>
      <c r="D53" s="287">
        <f>'[1]TDR (M4)'!D24</f>
        <v>0</v>
      </c>
      <c r="E53" s="122"/>
      <c r="F53" s="122"/>
      <c r="G53" s="122"/>
      <c r="H53" s="122"/>
      <c r="I53" s="122"/>
      <c r="J53" s="122"/>
      <c r="K53" s="122"/>
      <c r="L53" s="122"/>
      <c r="M53" s="122"/>
      <c r="N53" s="122"/>
      <c r="O53" s="122"/>
      <c r="P53" s="122"/>
    </row>
    <row r="54" spans="1:16" x14ac:dyDescent="0.25">
      <c r="A54" t="s">
        <v>36</v>
      </c>
      <c r="B54" s="287">
        <f>'[1]TDR (M4)'!B25</f>
        <v>0</v>
      </c>
      <c r="C54" s="287">
        <f>'[1]TDR (M4)'!C25</f>
        <v>0</v>
      </c>
      <c r="D54" s="287">
        <f>'[1]TDR (M4)'!D25</f>
        <v>0</v>
      </c>
      <c r="E54" s="122"/>
      <c r="F54" s="122"/>
      <c r="G54" s="122"/>
      <c r="H54" s="122"/>
      <c r="I54" s="122"/>
      <c r="J54" s="122"/>
      <c r="K54" s="122"/>
      <c r="L54" s="122"/>
      <c r="M54" s="122"/>
      <c r="N54" s="122"/>
      <c r="O54" s="122"/>
      <c r="P54" s="122"/>
    </row>
    <row r="55" spans="1:16" x14ac:dyDescent="0.25">
      <c r="A55" t="s">
        <v>37</v>
      </c>
      <c r="B55" s="287">
        <f>'[1]TDR (M4)'!B26</f>
        <v>0</v>
      </c>
      <c r="C55" s="287">
        <f>'[1]TDR (M4)'!C26</f>
        <v>0</v>
      </c>
      <c r="D55" s="287">
        <f>'[1]TDR (M4)'!D26</f>
        <v>0</v>
      </c>
      <c r="E55" s="122"/>
      <c r="F55" s="122"/>
      <c r="G55" s="122"/>
      <c r="H55" s="122"/>
      <c r="I55" s="122"/>
      <c r="J55" s="122"/>
      <c r="K55" s="122"/>
      <c r="L55" s="122"/>
      <c r="M55" s="122"/>
      <c r="N55" s="122"/>
      <c r="O55" s="122"/>
      <c r="P55" s="122"/>
    </row>
    <row r="56" spans="1:16" x14ac:dyDescent="0.25">
      <c r="A56" s="33" t="s">
        <v>31</v>
      </c>
      <c r="B56" s="44">
        <f t="shared" ref="B56:P56" si="11">SUM(B51:B55)</f>
        <v>0</v>
      </c>
      <c r="C56" s="44">
        <f t="shared" si="11"/>
        <v>0</v>
      </c>
      <c r="D56" s="44">
        <f t="shared" si="11"/>
        <v>0</v>
      </c>
      <c r="E56" s="44">
        <f t="shared" si="11"/>
        <v>0</v>
      </c>
      <c r="F56" s="44">
        <f t="shared" si="11"/>
        <v>0</v>
      </c>
      <c r="G56" s="44">
        <f t="shared" si="11"/>
        <v>0</v>
      </c>
      <c r="H56" s="44">
        <f t="shared" si="11"/>
        <v>0</v>
      </c>
      <c r="I56" s="44">
        <f t="shared" si="11"/>
        <v>0</v>
      </c>
      <c r="J56" s="44">
        <f t="shared" si="11"/>
        <v>0</v>
      </c>
      <c r="K56" s="44">
        <f t="shared" si="11"/>
        <v>0</v>
      </c>
      <c r="L56" s="44">
        <f t="shared" si="11"/>
        <v>0</v>
      </c>
      <c r="M56" s="44">
        <f t="shared" si="11"/>
        <v>0</v>
      </c>
      <c r="N56" s="44">
        <f t="shared" si="11"/>
        <v>0</v>
      </c>
      <c r="O56" s="44">
        <f t="shared" si="11"/>
        <v>0</v>
      </c>
      <c r="P56" s="44">
        <f t="shared" si="11"/>
        <v>0</v>
      </c>
    </row>
    <row r="57" spans="1:16" x14ac:dyDescent="0.25">
      <c r="A57" s="33"/>
      <c r="B57" s="285" t="s">
        <v>154</v>
      </c>
      <c r="C57" s="288"/>
      <c r="D57" s="80"/>
      <c r="E57" s="80"/>
      <c r="F57" s="80"/>
      <c r="G57" s="80"/>
      <c r="H57" s="80"/>
      <c r="I57" s="80"/>
      <c r="J57" s="80"/>
      <c r="K57" s="80"/>
      <c r="L57" s="80"/>
      <c r="M57" s="80"/>
      <c r="N57" s="80"/>
      <c r="O57" s="80"/>
      <c r="P57" s="80"/>
    </row>
    <row r="58" spans="1:16" x14ac:dyDescent="0.25">
      <c r="A58" s="36" t="s">
        <v>61</v>
      </c>
      <c r="B58" s="287">
        <f>'[1]TDR (M4)'!B36</f>
        <v>0</v>
      </c>
      <c r="C58" s="287">
        <f>'[1]TDR (M4)'!C36</f>
        <v>0</v>
      </c>
      <c r="D58" s="287">
        <f>'[1]TDR (M4)'!D36</f>
        <v>0</v>
      </c>
      <c r="E58" s="122"/>
      <c r="F58" s="122"/>
      <c r="G58" s="122"/>
      <c r="H58" s="122"/>
      <c r="I58" s="122"/>
      <c r="J58" s="122"/>
      <c r="K58" s="122"/>
      <c r="L58" s="122"/>
      <c r="M58" s="122"/>
      <c r="N58" s="122"/>
      <c r="O58" s="122"/>
      <c r="P58" s="122"/>
    </row>
    <row r="59" spans="1:16" x14ac:dyDescent="0.25">
      <c r="B59" s="176"/>
      <c r="C59" s="176"/>
      <c r="D59" s="176"/>
      <c r="E59" s="45"/>
      <c r="F59" s="45"/>
      <c r="G59" s="45"/>
      <c r="H59" s="45"/>
      <c r="I59" s="45"/>
      <c r="J59" s="45"/>
      <c r="K59" s="45"/>
      <c r="L59" s="45"/>
      <c r="M59" s="45"/>
      <c r="N59" s="45"/>
      <c r="O59" s="45"/>
      <c r="P59" s="45"/>
    </row>
    <row r="60" spans="1:16" x14ac:dyDescent="0.25">
      <c r="A60" s="27" t="s">
        <v>32</v>
      </c>
    </row>
    <row r="61" spans="1:16" x14ac:dyDescent="0.25">
      <c r="A61" t="s">
        <v>33</v>
      </c>
      <c r="B61" s="81">
        <f t="shared" ref="B61:P65" si="12">+B23</f>
        <v>961721412.71587527</v>
      </c>
      <c r="C61" s="81">
        <f t="shared" si="12"/>
        <v>1214824095.0295494</v>
      </c>
      <c r="D61" s="81">
        <f t="shared" si="12"/>
        <v>1429524901.4319398</v>
      </c>
      <c r="E61" s="81">
        <f t="shared" si="12"/>
        <v>1190064267.3489525</v>
      </c>
      <c r="F61" s="81">
        <f t="shared" si="12"/>
        <v>1014603094.1799415</v>
      </c>
      <c r="G61" s="81">
        <f t="shared" si="12"/>
        <v>769303151.60249138</v>
      </c>
      <c r="H61" s="81">
        <f t="shared" si="12"/>
        <v>927870218.58284807</v>
      </c>
      <c r="I61" s="81">
        <f t="shared" si="12"/>
        <v>1194387015.1541328</v>
      </c>
      <c r="J61" s="81">
        <f t="shared" si="12"/>
        <v>1365782366.0928786</v>
      </c>
      <c r="K61" s="81">
        <f t="shared" si="12"/>
        <v>1314496222.440345</v>
      </c>
      <c r="L61" s="81">
        <f t="shared" si="12"/>
        <v>995414652.60440254</v>
      </c>
      <c r="M61" s="81">
        <f t="shared" si="12"/>
        <v>744037470.45533097</v>
      </c>
      <c r="N61" s="81">
        <f t="shared" si="12"/>
        <v>962466196.97000563</v>
      </c>
      <c r="O61" s="81">
        <f t="shared" si="12"/>
        <v>1215138004.097733</v>
      </c>
      <c r="P61" s="81">
        <f t="shared" si="12"/>
        <v>1429450922.8617308</v>
      </c>
    </row>
    <row r="62" spans="1:16" x14ac:dyDescent="0.25">
      <c r="A62" t="s">
        <v>34</v>
      </c>
      <c r="B62" s="81">
        <f t="shared" si="12"/>
        <v>230556313.97548485</v>
      </c>
      <c r="C62" s="81">
        <f t="shared" si="12"/>
        <v>275979565.87286288</v>
      </c>
      <c r="D62" s="81">
        <f t="shared" si="12"/>
        <v>310395670.82745898</v>
      </c>
      <c r="E62" s="81">
        <f t="shared" si="12"/>
        <v>281276494.88891542</v>
      </c>
      <c r="F62" s="81">
        <f t="shared" si="12"/>
        <v>249236647.45428941</v>
      </c>
      <c r="G62" s="81">
        <f t="shared" si="12"/>
        <v>226767828.98855263</v>
      </c>
      <c r="H62" s="81">
        <f t="shared" si="12"/>
        <v>244827574.56690574</v>
      </c>
      <c r="I62" s="81">
        <f t="shared" si="12"/>
        <v>283225222.41562188</v>
      </c>
      <c r="J62" s="81">
        <f t="shared" si="12"/>
        <v>307995205.45052862</v>
      </c>
      <c r="K62" s="81">
        <f t="shared" si="12"/>
        <v>298959962.50381666</v>
      </c>
      <c r="L62" s="81">
        <f t="shared" si="12"/>
        <v>263905607.13617331</v>
      </c>
      <c r="M62" s="81">
        <f t="shared" si="12"/>
        <v>215412360.63650614</v>
      </c>
      <c r="N62" s="81">
        <f t="shared" si="12"/>
        <v>230921583.85977823</v>
      </c>
      <c r="O62" s="81">
        <f t="shared" si="12"/>
        <v>276273412.16607565</v>
      </c>
      <c r="P62" s="81">
        <f t="shared" si="12"/>
        <v>310697639.29799688</v>
      </c>
    </row>
    <row r="63" spans="1:16" x14ac:dyDescent="0.25">
      <c r="A63" t="s">
        <v>35</v>
      </c>
      <c r="B63" s="81">
        <f t="shared" si="12"/>
        <v>503402364.62291127</v>
      </c>
      <c r="C63" s="81">
        <f t="shared" si="12"/>
        <v>553970107.07777035</v>
      </c>
      <c r="D63" s="81">
        <f t="shared" si="12"/>
        <v>582129216.80663931</v>
      </c>
      <c r="E63" s="81">
        <f t="shared" si="12"/>
        <v>515865693.45582765</v>
      </c>
      <c r="F63" s="81">
        <f t="shared" si="12"/>
        <v>522575519.43424022</v>
      </c>
      <c r="G63" s="81">
        <f t="shared" si="12"/>
        <v>505674054.43839753</v>
      </c>
      <c r="H63" s="81">
        <f t="shared" si="12"/>
        <v>572817819.76956499</v>
      </c>
      <c r="I63" s="81">
        <f t="shared" si="12"/>
        <v>606308434.76448393</v>
      </c>
      <c r="J63" s="81">
        <f t="shared" si="12"/>
        <v>651004657.0920285</v>
      </c>
      <c r="K63" s="81">
        <f t="shared" si="12"/>
        <v>635975233.95183766</v>
      </c>
      <c r="L63" s="81">
        <f t="shared" si="12"/>
        <v>573938163.98230696</v>
      </c>
      <c r="M63" s="81">
        <f t="shared" si="12"/>
        <v>528417686.98890507</v>
      </c>
      <c r="N63" s="81">
        <f t="shared" si="12"/>
        <v>506348801.23189801</v>
      </c>
      <c r="O63" s="81">
        <f t="shared" si="12"/>
        <v>556790182.67338777</v>
      </c>
      <c r="P63" s="81">
        <f t="shared" si="12"/>
        <v>582413683.09713233</v>
      </c>
    </row>
    <row r="64" spans="1:16" x14ac:dyDescent="0.25">
      <c r="A64" t="s">
        <v>36</v>
      </c>
      <c r="B64" s="81">
        <f t="shared" si="12"/>
        <v>220932655.9857884</v>
      </c>
      <c r="C64" s="81">
        <f t="shared" si="12"/>
        <v>233594424.1517618</v>
      </c>
      <c r="D64" s="81">
        <f t="shared" si="12"/>
        <v>243692177.27010703</v>
      </c>
      <c r="E64" s="81">
        <f t="shared" si="12"/>
        <v>223508963.31422031</v>
      </c>
      <c r="F64" s="81">
        <f t="shared" si="12"/>
        <v>225935520.4983165</v>
      </c>
      <c r="G64" s="81">
        <f t="shared" si="12"/>
        <v>225755520.24654862</v>
      </c>
      <c r="H64" s="81">
        <f t="shared" si="12"/>
        <v>236650278.90790892</v>
      </c>
      <c r="I64" s="81">
        <f t="shared" si="12"/>
        <v>249267183.76549473</v>
      </c>
      <c r="J64" s="81">
        <f t="shared" si="12"/>
        <v>265487281.99319294</v>
      </c>
      <c r="K64" s="81">
        <f t="shared" si="12"/>
        <v>265793432.46048093</v>
      </c>
      <c r="L64" s="81">
        <f t="shared" si="12"/>
        <v>249354980.18941644</v>
      </c>
      <c r="M64" s="81">
        <f t="shared" si="12"/>
        <v>232261215.72278216</v>
      </c>
      <c r="N64" s="81">
        <f t="shared" si="12"/>
        <v>221653157.12380189</v>
      </c>
      <c r="O64" s="81">
        <f t="shared" si="12"/>
        <v>234363625.54023194</v>
      </c>
      <c r="P64" s="81">
        <f t="shared" si="12"/>
        <v>243138516.68845567</v>
      </c>
    </row>
    <row r="65" spans="1:16" x14ac:dyDescent="0.25">
      <c r="A65" t="s">
        <v>37</v>
      </c>
      <c r="B65" s="81">
        <f t="shared" si="12"/>
        <v>67785624.340276375</v>
      </c>
      <c r="C65" s="81">
        <f t="shared" si="12"/>
        <v>67021875.10198836</v>
      </c>
      <c r="D65" s="81">
        <f t="shared" si="12"/>
        <v>66767907.568719082</v>
      </c>
      <c r="E65" s="81">
        <f t="shared" si="12"/>
        <v>62741418.197744302</v>
      </c>
      <c r="F65" s="81">
        <f t="shared" si="12"/>
        <v>65152113.496512696</v>
      </c>
      <c r="G65" s="81">
        <f t="shared" si="12"/>
        <v>69133414.966971025</v>
      </c>
      <c r="H65" s="81">
        <f t="shared" si="12"/>
        <v>75596299.297143608</v>
      </c>
      <c r="I65" s="81">
        <f t="shared" si="12"/>
        <v>78385915.566683248</v>
      </c>
      <c r="J65" s="81">
        <f t="shared" si="12"/>
        <v>83584005.816239804</v>
      </c>
      <c r="K65" s="81">
        <f t="shared" si="12"/>
        <v>82353168.95995523</v>
      </c>
      <c r="L65" s="81">
        <f t="shared" si="12"/>
        <v>75919704.330048919</v>
      </c>
      <c r="M65" s="81">
        <f t="shared" si="12"/>
        <v>73493705.531886309</v>
      </c>
      <c r="N65" s="81">
        <f t="shared" si="12"/>
        <v>67867153.794123709</v>
      </c>
      <c r="O65" s="81">
        <f t="shared" si="12"/>
        <v>67101871.772907503</v>
      </c>
      <c r="P65" s="81">
        <f t="shared" si="12"/>
        <v>68603660.857099026</v>
      </c>
    </row>
    <row r="66" spans="1:16" x14ac:dyDescent="0.25">
      <c r="A66" s="33" t="s">
        <v>31</v>
      </c>
      <c r="B66" s="34">
        <f t="shared" ref="B66:P66" si="13">SUM(B61:B65)</f>
        <v>1984398371.640336</v>
      </c>
      <c r="C66" s="34">
        <f t="shared" si="13"/>
        <v>2345390067.233933</v>
      </c>
      <c r="D66" s="34">
        <f t="shared" si="13"/>
        <v>2632509873.9048643</v>
      </c>
      <c r="E66" s="34">
        <f t="shared" si="13"/>
        <v>2273456837.2056603</v>
      </c>
      <c r="F66" s="34">
        <f t="shared" si="13"/>
        <v>2077502895.0633001</v>
      </c>
      <c r="G66" s="34">
        <f t="shared" si="13"/>
        <v>1796633970.2429609</v>
      </c>
      <c r="H66" s="34">
        <f t="shared" si="13"/>
        <v>2057762191.1243713</v>
      </c>
      <c r="I66" s="34">
        <f t="shared" si="13"/>
        <v>2411573771.6664166</v>
      </c>
      <c r="J66" s="34">
        <f t="shared" si="13"/>
        <v>2673853516.4448686</v>
      </c>
      <c r="K66" s="34">
        <f t="shared" si="13"/>
        <v>2597578020.3164358</v>
      </c>
      <c r="L66" s="34">
        <f t="shared" si="13"/>
        <v>2158533108.2423482</v>
      </c>
      <c r="M66" s="34">
        <f t="shared" si="13"/>
        <v>1793622439.3354108</v>
      </c>
      <c r="N66" s="34">
        <f t="shared" si="13"/>
        <v>1989256892.9796076</v>
      </c>
      <c r="O66" s="34">
        <f t="shared" si="13"/>
        <v>2349667096.2503362</v>
      </c>
      <c r="P66" s="34">
        <f t="shared" si="13"/>
        <v>2634304422.8024144</v>
      </c>
    </row>
    <row r="68" spans="1:16" x14ac:dyDescent="0.25">
      <c r="A68" s="27" t="s">
        <v>62</v>
      </c>
    </row>
    <row r="69" spans="1:16" x14ac:dyDescent="0.25">
      <c r="A69" t="s">
        <v>33</v>
      </c>
      <c r="B69" s="45">
        <f>IF(B51="","",+(B51-B58)+(B58*B61/B66))</f>
        <v>0</v>
      </c>
      <c r="C69" s="45">
        <f t="shared" ref="C69:P69" si="14">IF(C51="","",+(C51-C58)+(C58*C61/C66))</f>
        <v>0</v>
      </c>
      <c r="D69" s="45">
        <f t="shared" si="14"/>
        <v>0</v>
      </c>
      <c r="E69" s="45" t="str">
        <f t="shared" si="14"/>
        <v/>
      </c>
      <c r="F69" s="45" t="str">
        <f t="shared" si="14"/>
        <v/>
      </c>
      <c r="G69" s="45" t="str">
        <f t="shared" si="14"/>
        <v/>
      </c>
      <c r="H69" s="45" t="str">
        <f t="shared" si="14"/>
        <v/>
      </c>
      <c r="I69" s="45" t="str">
        <f t="shared" si="14"/>
        <v/>
      </c>
      <c r="J69" s="45" t="str">
        <f t="shared" si="14"/>
        <v/>
      </c>
      <c r="K69" s="45" t="str">
        <f t="shared" si="14"/>
        <v/>
      </c>
      <c r="L69" s="45" t="str">
        <f t="shared" si="14"/>
        <v/>
      </c>
      <c r="M69" s="45" t="str">
        <f t="shared" si="14"/>
        <v/>
      </c>
      <c r="N69" s="45" t="str">
        <f t="shared" si="14"/>
        <v/>
      </c>
      <c r="O69" s="45" t="str">
        <f t="shared" si="14"/>
        <v/>
      </c>
      <c r="P69" s="45" t="str">
        <f t="shared" si="14"/>
        <v/>
      </c>
    </row>
    <row r="70" spans="1:16" x14ac:dyDescent="0.25">
      <c r="A70" t="s">
        <v>34</v>
      </c>
      <c r="B70" s="45">
        <f t="shared" ref="B70:P70" si="15">IF(B52="","",+B52+(B58*B62/B66))</f>
        <v>0</v>
      </c>
      <c r="C70" s="45">
        <f t="shared" si="15"/>
        <v>0</v>
      </c>
      <c r="D70" s="45">
        <f t="shared" si="15"/>
        <v>0</v>
      </c>
      <c r="E70" s="45" t="str">
        <f t="shared" si="15"/>
        <v/>
      </c>
      <c r="F70" s="45" t="str">
        <f t="shared" si="15"/>
        <v/>
      </c>
      <c r="G70" s="45" t="str">
        <f t="shared" si="15"/>
        <v/>
      </c>
      <c r="H70" s="45" t="str">
        <f t="shared" si="15"/>
        <v/>
      </c>
      <c r="I70" s="45" t="str">
        <f t="shared" si="15"/>
        <v/>
      </c>
      <c r="J70" s="45" t="str">
        <f t="shared" si="15"/>
        <v/>
      </c>
      <c r="K70" s="45" t="str">
        <f t="shared" si="15"/>
        <v/>
      </c>
      <c r="L70" s="45" t="str">
        <f t="shared" si="15"/>
        <v/>
      </c>
      <c r="M70" s="45" t="str">
        <f t="shared" si="15"/>
        <v/>
      </c>
      <c r="N70" s="45" t="str">
        <f t="shared" si="15"/>
        <v/>
      </c>
      <c r="O70" s="45" t="str">
        <f t="shared" si="15"/>
        <v/>
      </c>
      <c r="P70" s="45" t="str">
        <f t="shared" si="15"/>
        <v/>
      </c>
    </row>
    <row r="71" spans="1:16" x14ac:dyDescent="0.25">
      <c r="A71" t="s">
        <v>35</v>
      </c>
      <c r="B71" s="45">
        <f t="shared" ref="B71:P71" si="16">IF(B53="","",+B53+(B58*B63/B66))</f>
        <v>0</v>
      </c>
      <c r="C71" s="45">
        <f t="shared" si="16"/>
        <v>0</v>
      </c>
      <c r="D71" s="45">
        <f t="shared" si="16"/>
        <v>0</v>
      </c>
      <c r="E71" s="45" t="str">
        <f t="shared" si="16"/>
        <v/>
      </c>
      <c r="F71" s="45" t="str">
        <f t="shared" si="16"/>
        <v/>
      </c>
      <c r="G71" s="45" t="str">
        <f t="shared" si="16"/>
        <v/>
      </c>
      <c r="H71" s="45" t="str">
        <f t="shared" si="16"/>
        <v/>
      </c>
      <c r="I71" s="45" t="str">
        <f t="shared" si="16"/>
        <v/>
      </c>
      <c r="J71" s="45" t="str">
        <f t="shared" si="16"/>
        <v/>
      </c>
      <c r="K71" s="45" t="str">
        <f t="shared" si="16"/>
        <v/>
      </c>
      <c r="L71" s="45" t="str">
        <f t="shared" si="16"/>
        <v/>
      </c>
      <c r="M71" s="45" t="str">
        <f t="shared" si="16"/>
        <v/>
      </c>
      <c r="N71" s="45" t="str">
        <f t="shared" si="16"/>
        <v/>
      </c>
      <c r="O71" s="45" t="str">
        <f t="shared" si="16"/>
        <v/>
      </c>
      <c r="P71" s="45" t="str">
        <f t="shared" si="16"/>
        <v/>
      </c>
    </row>
    <row r="72" spans="1:16" x14ac:dyDescent="0.25">
      <c r="A72" t="s">
        <v>36</v>
      </c>
      <c r="B72" s="45">
        <f t="shared" ref="B72:P72" si="17">IF(B54="","",+B54+(B58*B64/B66))</f>
        <v>0</v>
      </c>
      <c r="C72" s="45">
        <f t="shared" si="17"/>
        <v>0</v>
      </c>
      <c r="D72" s="45">
        <f t="shared" si="17"/>
        <v>0</v>
      </c>
      <c r="E72" s="45" t="str">
        <f t="shared" si="17"/>
        <v/>
      </c>
      <c r="F72" s="45" t="str">
        <f t="shared" si="17"/>
        <v/>
      </c>
      <c r="G72" s="45" t="str">
        <f t="shared" si="17"/>
        <v/>
      </c>
      <c r="H72" s="45" t="str">
        <f t="shared" si="17"/>
        <v/>
      </c>
      <c r="I72" s="45" t="str">
        <f t="shared" si="17"/>
        <v/>
      </c>
      <c r="J72" s="45" t="str">
        <f t="shared" si="17"/>
        <v/>
      </c>
      <c r="K72" s="45" t="str">
        <f t="shared" si="17"/>
        <v/>
      </c>
      <c r="L72" s="45" t="str">
        <f t="shared" si="17"/>
        <v/>
      </c>
      <c r="M72" s="45" t="str">
        <f t="shared" si="17"/>
        <v/>
      </c>
      <c r="N72" s="45" t="str">
        <f t="shared" si="17"/>
        <v/>
      </c>
      <c r="O72" s="45" t="str">
        <f t="shared" si="17"/>
        <v/>
      </c>
      <c r="P72" s="45" t="str">
        <f t="shared" si="17"/>
        <v/>
      </c>
    </row>
    <row r="73" spans="1:16" x14ac:dyDescent="0.25">
      <c r="A73" t="s">
        <v>37</v>
      </c>
      <c r="B73" s="45">
        <f t="shared" ref="B73:P73" si="18">IF(B55="","",+B55+(B58*B65/B66))</f>
        <v>0</v>
      </c>
      <c r="C73" s="45">
        <f t="shared" si="18"/>
        <v>0</v>
      </c>
      <c r="D73" s="45">
        <f t="shared" si="18"/>
        <v>0</v>
      </c>
      <c r="E73" s="45" t="str">
        <f t="shared" si="18"/>
        <v/>
      </c>
      <c r="F73" s="45" t="str">
        <f t="shared" si="18"/>
        <v/>
      </c>
      <c r="G73" s="45" t="str">
        <f t="shared" si="18"/>
        <v/>
      </c>
      <c r="H73" s="45" t="str">
        <f t="shared" si="18"/>
        <v/>
      </c>
      <c r="I73" s="45" t="str">
        <f t="shared" si="18"/>
        <v/>
      </c>
      <c r="J73" s="45" t="str">
        <f t="shared" si="18"/>
        <v/>
      </c>
      <c r="K73" s="45" t="str">
        <f t="shared" si="18"/>
        <v/>
      </c>
      <c r="L73" s="45" t="str">
        <f t="shared" si="18"/>
        <v/>
      </c>
      <c r="M73" s="45" t="str">
        <f t="shared" si="18"/>
        <v/>
      </c>
      <c r="N73" s="45" t="str">
        <f t="shared" si="18"/>
        <v/>
      </c>
      <c r="O73" s="45" t="str">
        <f t="shared" si="18"/>
        <v/>
      </c>
      <c r="P73" s="45" t="str">
        <f t="shared" si="18"/>
        <v/>
      </c>
    </row>
    <row r="74" spans="1:16" x14ac:dyDescent="0.25">
      <c r="A74" s="33" t="s">
        <v>31</v>
      </c>
      <c r="B74" s="44">
        <f t="shared" ref="B74:P74" si="19">SUM(B69:B73)</f>
        <v>0</v>
      </c>
      <c r="C74" s="44">
        <f t="shared" si="19"/>
        <v>0</v>
      </c>
      <c r="D74" s="44">
        <f t="shared" si="19"/>
        <v>0</v>
      </c>
      <c r="E74" s="44">
        <f t="shared" si="19"/>
        <v>0</v>
      </c>
      <c r="F74" s="44">
        <f t="shared" si="19"/>
        <v>0</v>
      </c>
      <c r="G74" s="44">
        <f t="shared" si="19"/>
        <v>0</v>
      </c>
      <c r="H74" s="44">
        <f t="shared" si="19"/>
        <v>0</v>
      </c>
      <c r="I74" s="44">
        <f t="shared" si="19"/>
        <v>0</v>
      </c>
      <c r="J74" s="44">
        <f t="shared" si="19"/>
        <v>0</v>
      </c>
      <c r="K74" s="44">
        <f t="shared" si="19"/>
        <v>0</v>
      </c>
      <c r="L74" s="44">
        <f t="shared" si="19"/>
        <v>0</v>
      </c>
      <c r="M74" s="44">
        <f t="shared" si="19"/>
        <v>0</v>
      </c>
      <c r="N74" s="44">
        <f t="shared" si="19"/>
        <v>0</v>
      </c>
      <c r="O74" s="44">
        <f t="shared" si="19"/>
        <v>0</v>
      </c>
      <c r="P74" s="44">
        <f t="shared" si="19"/>
        <v>0</v>
      </c>
    </row>
    <row r="75" spans="1:16" x14ac:dyDescent="0.25">
      <c r="B75" s="289"/>
      <c r="C75" s="289"/>
      <c r="D75" s="289"/>
      <c r="E75" s="289"/>
      <c r="F75" s="289"/>
      <c r="G75" s="289"/>
      <c r="H75" s="289"/>
      <c r="I75" s="289"/>
      <c r="J75" s="289"/>
      <c r="K75" s="289"/>
      <c r="L75" s="289"/>
      <c r="M75" s="289"/>
      <c r="N75" s="289"/>
      <c r="O75" s="289"/>
      <c r="P75" s="289"/>
    </row>
    <row r="78" spans="1:16" x14ac:dyDescent="0.25">
      <c r="B78" s="171"/>
      <c r="C78" s="171"/>
      <c r="D78" s="171"/>
      <c r="E78" s="171"/>
      <c r="F78" s="171"/>
      <c r="G78" s="171"/>
      <c r="H78" s="171"/>
      <c r="I78" s="171"/>
      <c r="J78" s="171"/>
      <c r="K78" s="171"/>
      <c r="L78" s="171"/>
      <c r="M78" s="171"/>
      <c r="N78" s="171"/>
      <c r="O78" s="171"/>
      <c r="P78" s="171"/>
    </row>
    <row r="79" spans="1:16" x14ac:dyDescent="0.25">
      <c r="B79" s="171"/>
      <c r="C79" s="171"/>
      <c r="D79" s="171"/>
      <c r="E79" s="171"/>
      <c r="F79" s="171"/>
      <c r="G79" s="171"/>
      <c r="H79" s="171"/>
      <c r="I79" s="171"/>
      <c r="J79" s="171"/>
      <c r="K79" s="171"/>
      <c r="L79" s="171"/>
      <c r="M79" s="171"/>
      <c r="N79" s="171"/>
      <c r="O79" s="171"/>
      <c r="P79" s="171"/>
    </row>
    <row r="80" spans="1:16" x14ac:dyDescent="0.25">
      <c r="B80" s="171"/>
      <c r="C80" s="171"/>
      <c r="D80" s="171"/>
      <c r="E80" s="171"/>
      <c r="F80" s="171"/>
      <c r="G80" s="171"/>
      <c r="H80" s="171"/>
      <c r="I80" s="171"/>
      <c r="J80" s="171"/>
      <c r="K80" s="171"/>
      <c r="L80" s="171"/>
      <c r="M80" s="171"/>
      <c r="N80" s="171"/>
      <c r="O80" s="171"/>
      <c r="P80" s="171"/>
    </row>
    <row r="81" spans="2:16" x14ac:dyDescent="0.25">
      <c r="B81" s="171"/>
      <c r="C81" s="171"/>
      <c r="D81" s="171"/>
      <c r="E81" s="171"/>
      <c r="F81" s="171"/>
      <c r="G81" s="171"/>
      <c r="H81" s="171"/>
      <c r="I81" s="171"/>
      <c r="J81" s="171"/>
      <c r="K81" s="171"/>
      <c r="L81" s="171"/>
      <c r="M81" s="171"/>
      <c r="N81" s="171"/>
      <c r="O81" s="171"/>
      <c r="P81" s="171"/>
    </row>
    <row r="82" spans="2:16" x14ac:dyDescent="0.25">
      <c r="B82" s="171"/>
      <c r="C82" s="171"/>
      <c r="D82" s="171"/>
      <c r="E82" s="171"/>
      <c r="F82" s="171"/>
      <c r="G82" s="171"/>
      <c r="H82" s="171"/>
      <c r="I82" s="171"/>
      <c r="J82" s="171"/>
      <c r="K82" s="171"/>
      <c r="L82" s="171"/>
      <c r="M82" s="171"/>
      <c r="N82" s="171"/>
      <c r="O82" s="171"/>
      <c r="P82" s="171"/>
    </row>
    <row r="83" spans="2:16" x14ac:dyDescent="0.25">
      <c r="B83" s="80"/>
      <c r="C83" s="80"/>
      <c r="D83" s="80"/>
      <c r="E83" s="80"/>
      <c r="F83" s="80"/>
      <c r="G83" s="80"/>
      <c r="H83" s="80"/>
      <c r="I83" s="80"/>
      <c r="J83" s="80"/>
      <c r="K83" s="80"/>
      <c r="L83" s="80"/>
      <c r="M83" s="80"/>
      <c r="N83" s="80"/>
      <c r="O83" s="80"/>
      <c r="P83" s="8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BX183"/>
  <sheetViews>
    <sheetView zoomScaleNormal="100" zoomScaleSheetLayoutView="80" workbookViewId="0">
      <pane xSplit="2" ySplit="4" topLeftCell="BL5" activePane="bottomRight" state="frozen"/>
      <selection pane="topRight"/>
      <selection pane="bottomLeft"/>
      <selection pane="bottomRight" activeCell="BX7" sqref="BX7"/>
    </sheetView>
  </sheetViews>
  <sheetFormatPr defaultColWidth="9.140625" defaultRowHeight="15" zeroHeight="1" outlineLevelRow="1" x14ac:dyDescent="0.25"/>
  <cols>
    <col min="1" max="1" width="3.140625" style="1" customWidth="1"/>
    <col min="2" max="2" width="48.28515625" customWidth="1"/>
    <col min="3" max="5" width="11.140625" bestFit="1" customWidth="1"/>
    <col min="6" max="8" width="12.7109375" bestFit="1" customWidth="1"/>
    <col min="9" max="13" width="13.5703125" bestFit="1" customWidth="1"/>
    <col min="14" max="14" width="13.5703125" bestFit="1" customWidth="1" collapsed="1"/>
    <col min="15" max="15" width="13.85546875" bestFit="1" customWidth="1"/>
    <col min="16" max="22" width="13.5703125" bestFit="1" customWidth="1"/>
    <col min="23" max="23" width="14.28515625" bestFit="1" customWidth="1"/>
    <col min="24" max="25" width="13.5703125" bestFit="1" customWidth="1"/>
    <col min="26" max="26" width="13.5703125" bestFit="1" customWidth="1" collapsed="1"/>
    <col min="27" max="27" width="13.85546875" bestFit="1" customWidth="1"/>
    <col min="28" max="33" width="13.5703125" bestFit="1" customWidth="1"/>
    <col min="34" max="34" width="14.5703125" bestFit="1" customWidth="1"/>
    <col min="35" max="38" width="15.5703125" bestFit="1" customWidth="1"/>
    <col min="39" max="39" width="14.85546875" customWidth="1"/>
    <col min="40" max="40" width="14.28515625" customWidth="1"/>
    <col min="41" max="42" width="15.5703125" customWidth="1"/>
    <col min="43" max="50" width="14.5703125" customWidth="1"/>
    <col min="51" max="51" width="13.85546875" customWidth="1"/>
    <col min="52" max="52" width="14.28515625" customWidth="1"/>
    <col min="53" max="58" width="14.5703125" customWidth="1"/>
    <col min="59" max="63" width="14.5703125" bestFit="1" customWidth="1"/>
    <col min="64" max="64" width="14.5703125" customWidth="1"/>
    <col min="65" max="65" width="15.28515625" customWidth="1"/>
    <col min="66" max="75" width="14.5703125" customWidth="1"/>
    <col min="76" max="76" width="14.5703125" bestFit="1" customWidth="1"/>
  </cols>
  <sheetData>
    <row r="1" spans="1:76" ht="15.75" x14ac:dyDescent="0.25">
      <c r="A1" s="46" t="s">
        <v>80</v>
      </c>
      <c r="V1" s="39"/>
      <c r="AL1" s="39"/>
    </row>
    <row r="2" spans="1:76" ht="15.75" x14ac:dyDescent="0.25">
      <c r="A2" s="46" t="s">
        <v>7</v>
      </c>
      <c r="B2" s="33"/>
      <c r="C2" s="106"/>
      <c r="D2" s="50"/>
      <c r="E2" s="50"/>
      <c r="F2" s="155"/>
      <c r="G2" s="50"/>
      <c r="H2" s="50"/>
      <c r="I2" s="50"/>
      <c r="J2" s="50"/>
      <c r="K2" s="50"/>
      <c r="O2" s="39"/>
      <c r="R2" s="39"/>
      <c r="S2" s="39"/>
      <c r="U2" s="39"/>
      <c r="V2" s="39"/>
      <c r="W2" s="39"/>
      <c r="X2" s="39"/>
      <c r="AA2" s="39"/>
      <c r="AB2" s="39"/>
      <c r="AC2" s="39"/>
      <c r="AG2" s="39"/>
      <c r="AL2" s="39"/>
      <c r="AM2" s="39"/>
      <c r="AN2" s="39"/>
      <c r="AO2" s="39"/>
      <c r="AY2" s="39"/>
      <c r="BB2" s="39"/>
      <c r="BC2" s="39"/>
      <c r="BD2" s="39"/>
      <c r="BE2" s="39"/>
      <c r="BF2" s="39"/>
      <c r="BG2" s="39"/>
      <c r="BH2" s="39"/>
      <c r="BI2" s="39"/>
      <c r="BJ2" s="39"/>
      <c r="BK2" s="39"/>
      <c r="BL2" s="39"/>
      <c r="BM2" s="39"/>
      <c r="BN2" s="39"/>
      <c r="BO2" s="39"/>
      <c r="BP2" s="39"/>
      <c r="BQ2" s="39"/>
      <c r="BR2" s="39"/>
      <c r="BS2" s="39"/>
      <c r="BT2" s="39"/>
      <c r="BU2" s="39"/>
      <c r="BV2" s="39"/>
      <c r="BW2" s="39"/>
      <c r="BX2" s="39"/>
    </row>
    <row r="3" spans="1:76" x14ac:dyDescent="0.25">
      <c r="A3" s="55"/>
      <c r="F3" s="39"/>
    </row>
    <row r="4" spans="1:76" x14ac:dyDescent="0.2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0">
        <v>44136</v>
      </c>
      <c r="AA4" s="10">
        <v>44166</v>
      </c>
      <c r="AB4" s="10">
        <v>44197</v>
      </c>
      <c r="AC4" s="10">
        <v>44228</v>
      </c>
      <c r="AD4" s="10">
        <v>44256</v>
      </c>
      <c r="AE4" s="10">
        <v>44287</v>
      </c>
      <c r="AF4" s="10">
        <v>44317</v>
      </c>
      <c r="AG4" s="10">
        <v>44348</v>
      </c>
      <c r="AH4" s="10">
        <v>44378</v>
      </c>
      <c r="AI4" s="10">
        <v>44409</v>
      </c>
      <c r="AJ4" s="10">
        <v>44440</v>
      </c>
      <c r="AK4" s="10">
        <v>44470</v>
      </c>
      <c r="AL4" s="10">
        <v>44501</v>
      </c>
      <c r="AM4" s="10">
        <v>44531</v>
      </c>
      <c r="AN4" s="10">
        <v>44562</v>
      </c>
      <c r="AO4" s="10">
        <v>44593</v>
      </c>
      <c r="AP4" s="10">
        <v>44621</v>
      </c>
      <c r="AQ4" s="10">
        <v>44652</v>
      </c>
      <c r="AR4" s="10">
        <v>44682</v>
      </c>
      <c r="AS4" s="10">
        <v>44713</v>
      </c>
      <c r="AT4" s="10">
        <v>44743</v>
      </c>
      <c r="AU4" s="10">
        <v>44774</v>
      </c>
      <c r="AV4" s="10">
        <v>44805</v>
      </c>
      <c r="AW4" s="10">
        <v>44835</v>
      </c>
      <c r="AX4" s="10">
        <v>44866</v>
      </c>
      <c r="AY4" s="10">
        <v>44896</v>
      </c>
      <c r="AZ4" s="10">
        <v>44927</v>
      </c>
      <c r="BA4" s="10">
        <v>44958</v>
      </c>
      <c r="BB4" s="10">
        <v>44986</v>
      </c>
      <c r="BC4" s="10">
        <v>45017</v>
      </c>
      <c r="BD4" s="10">
        <v>45047</v>
      </c>
      <c r="BE4" s="10">
        <v>45078</v>
      </c>
      <c r="BF4" s="10">
        <v>45108</v>
      </c>
      <c r="BG4" s="10">
        <v>45139</v>
      </c>
      <c r="BH4" s="10">
        <v>45170</v>
      </c>
      <c r="BI4" s="10">
        <v>45200</v>
      </c>
      <c r="BJ4" s="10">
        <v>45231</v>
      </c>
      <c r="BK4" s="10">
        <v>45261</v>
      </c>
      <c r="BL4" s="10">
        <v>45292</v>
      </c>
      <c r="BM4" s="10">
        <v>45323</v>
      </c>
      <c r="BN4" s="10">
        <v>45352</v>
      </c>
      <c r="BO4" s="10">
        <v>45383</v>
      </c>
      <c r="BP4" s="10">
        <v>45413</v>
      </c>
      <c r="BQ4" s="10">
        <v>45444</v>
      </c>
      <c r="BR4" s="10">
        <v>45474</v>
      </c>
      <c r="BS4" s="10">
        <v>45505</v>
      </c>
      <c r="BT4" s="10">
        <v>45536</v>
      </c>
      <c r="BU4" s="10">
        <v>45566</v>
      </c>
      <c r="BV4" s="10">
        <v>45597</v>
      </c>
      <c r="BW4" s="10">
        <v>45627</v>
      </c>
      <c r="BX4" s="10">
        <v>45658</v>
      </c>
    </row>
    <row r="5" spans="1:76" ht="15" customHeight="1" x14ac:dyDescent="0.25">
      <c r="A5" s="295" t="s">
        <v>0</v>
      </c>
      <c r="B5" s="5"/>
      <c r="C5" s="29"/>
      <c r="D5" s="29"/>
      <c r="E5" s="29"/>
      <c r="F5" s="29"/>
      <c r="G5" s="29"/>
      <c r="H5" s="29"/>
      <c r="I5" s="29"/>
      <c r="J5" s="29"/>
      <c r="K5" s="29"/>
      <c r="L5" s="29"/>
      <c r="M5" s="29"/>
      <c r="N5" s="29"/>
      <c r="O5" s="7"/>
      <c r="P5" s="29"/>
      <c r="Q5" s="29"/>
      <c r="R5" s="29"/>
      <c r="S5" s="29"/>
      <c r="T5" s="29"/>
      <c r="U5" s="29"/>
      <c r="V5" s="29"/>
      <c r="W5" s="29"/>
      <c r="X5" s="29"/>
      <c r="Y5" s="29"/>
      <c r="Z5" s="29"/>
      <c r="AA5" s="29"/>
      <c r="AB5" s="29"/>
      <c r="AC5" s="29"/>
      <c r="AD5" s="152">
        <f>'MEEIA 3 adjs'!BA1+'MEEIA 3 adjs'!BE11</f>
        <v>-21982.399999997611</v>
      </c>
      <c r="AE5" s="29"/>
      <c r="AF5" s="29"/>
      <c r="AG5" s="29"/>
      <c r="AH5" s="29"/>
      <c r="AI5" s="29"/>
      <c r="AJ5" s="29"/>
      <c r="AK5" s="29"/>
      <c r="AL5" s="208">
        <f>'MEEIA 3 adjs'!BH9+'MEEIA 3 adjs'!BJ9</f>
        <v>-60592.04</v>
      </c>
      <c r="AM5" s="29"/>
      <c r="AN5" s="29"/>
      <c r="AO5" s="211">
        <v>-696083.55703392881</v>
      </c>
      <c r="AP5" s="29"/>
      <c r="AQ5" s="29"/>
      <c r="AR5" s="29"/>
      <c r="AS5" s="29"/>
      <c r="AT5" s="29"/>
      <c r="AU5" s="29"/>
      <c r="AV5" s="29"/>
      <c r="AW5" s="29"/>
      <c r="AX5" s="29"/>
      <c r="AY5" s="29"/>
      <c r="AZ5" s="208">
        <f>'MEEIA 3 adjs'!DZ11+'MEEIA 2 adjs'!EC12</f>
        <v>-558.33848963666242</v>
      </c>
      <c r="BA5" s="229"/>
      <c r="BB5" s="208">
        <f>'MEEIA 3 adjs'!FG11</f>
        <v>-896.80000000004657</v>
      </c>
      <c r="BC5" s="229"/>
      <c r="BD5" s="229"/>
      <c r="BE5" s="229"/>
      <c r="BF5" s="229"/>
      <c r="BG5" s="229"/>
      <c r="BH5" s="229"/>
      <c r="BI5" s="208">
        <f>'MEEIA 3 adjs'!FR6+'MEEIA 3 adjs'!FR11</f>
        <v>345.9166797879152</v>
      </c>
      <c r="BJ5" s="229"/>
      <c r="BK5" s="229"/>
      <c r="BL5" s="229"/>
      <c r="BM5" s="229"/>
      <c r="BN5" s="229"/>
      <c r="BO5" s="229"/>
      <c r="BP5" s="229"/>
      <c r="BQ5" s="229"/>
      <c r="BR5" s="229"/>
      <c r="BS5" s="229"/>
      <c r="BT5" s="229"/>
      <c r="BU5" s="229"/>
      <c r="BV5" s="229"/>
      <c r="BW5" s="229"/>
      <c r="BX5" s="229"/>
    </row>
    <row r="6" spans="1:76" s="3" customFormat="1" ht="15" customHeight="1" x14ac:dyDescent="0.25">
      <c r="A6" s="295"/>
      <c r="B6" s="5" t="s">
        <v>9</v>
      </c>
      <c r="C6" s="21">
        <v>472906.7</v>
      </c>
      <c r="D6" s="21">
        <v>121950.46</v>
      </c>
      <c r="E6" s="21">
        <v>306057.09999999998</v>
      </c>
      <c r="F6" s="21">
        <v>3254515.75</v>
      </c>
      <c r="G6" s="21">
        <v>1441686.8700000006</v>
      </c>
      <c r="H6" s="21">
        <v>2646810.4000000004</v>
      </c>
      <c r="I6" s="21">
        <v>3090012.3199999994</v>
      </c>
      <c r="J6" s="21">
        <v>3806682.3899999997</v>
      </c>
      <c r="K6" s="21">
        <v>5667444.0099999998</v>
      </c>
      <c r="L6" s="22">
        <v>4665040.7600000016</v>
      </c>
      <c r="M6" s="22">
        <v>4693766.1500000032</v>
      </c>
      <c r="N6" s="21">
        <v>7981786.3300000001</v>
      </c>
      <c r="O6" s="22">
        <v>14289408.219999997</v>
      </c>
      <c r="P6" s="22">
        <v>2300282.3399999994</v>
      </c>
      <c r="Q6" s="21">
        <v>3266635.3100000005</v>
      </c>
      <c r="R6" s="21">
        <v>4668387.1399999997</v>
      </c>
      <c r="S6" s="21">
        <v>3355052.560000001</v>
      </c>
      <c r="T6" s="21">
        <v>3504036.8800000004</v>
      </c>
      <c r="U6" s="21">
        <v>4570550.08</v>
      </c>
      <c r="V6" s="21">
        <v>4337551.2399999993</v>
      </c>
      <c r="W6" s="21">
        <v>5132057.5999999996</v>
      </c>
      <c r="X6" s="21">
        <v>6881005.1299999999</v>
      </c>
      <c r="Y6" s="21">
        <v>5075926.8299999991</v>
      </c>
      <c r="Z6" s="21">
        <v>8226323.5899999999</v>
      </c>
      <c r="AA6" s="21">
        <v>17050986.669999998</v>
      </c>
      <c r="AB6" s="21">
        <v>3390691.4000000004</v>
      </c>
      <c r="AC6" s="21">
        <v>3040542.4899999993</v>
      </c>
      <c r="AD6" s="21">
        <f>6776151.45</f>
        <v>6776151.4500000002</v>
      </c>
      <c r="AE6" s="169">
        <f>3593026.47+'PAYS interest calculation'!C15</f>
        <v>3593096.5983472401</v>
      </c>
      <c r="AF6" s="169">
        <f>3249647.22+'PAYS interest calculation'!D15</f>
        <v>3249816.752362628</v>
      </c>
      <c r="AG6" s="180">
        <f>6100963.25+'PAYS interest calculation'!E15</f>
        <v>6101138.4180074409</v>
      </c>
      <c r="AH6" s="180">
        <f>5073828.74+'PAYS interest calculation'!F15</f>
        <v>5074049.6564757768</v>
      </c>
      <c r="AI6" s="169">
        <f>6150373.04+'PAYS interest calculation'!G15</f>
        <v>6150752.0389186945</v>
      </c>
      <c r="AJ6" s="169">
        <f>4538294.08+'PAYS interest calculation'!H15</f>
        <v>4538886.177325543</v>
      </c>
      <c r="AK6" s="169">
        <f>5907219.36+'PAYS interest calculation'!I15</f>
        <v>5908069.5179605344</v>
      </c>
      <c r="AL6" s="169">
        <f>11096066.47+'PAYS interest calculation'!J15</f>
        <v>11097280.277224224</v>
      </c>
      <c r="AM6" s="169">
        <f>21855224.8+'PAYS interest calculation'!K15</f>
        <v>21856497.240487527</v>
      </c>
      <c r="AN6" s="169">
        <f>-1207424.55+'PAYS interest calculation'!L15</f>
        <v>-1206005.0706461675</v>
      </c>
      <c r="AO6" s="169">
        <f>3291300.03+'PAYS interest calculation'!M15</f>
        <v>3292003.067914797</v>
      </c>
      <c r="AP6" s="180">
        <f>3839817.3+'PAYS interest calculation'!N15+(-1*'PAYS interest calculation'!N6)</f>
        <v>3848947.3665742185</v>
      </c>
      <c r="AQ6" s="180">
        <f>4451070.5+'PAYS interest calculation'!O15</f>
        <v>4452149.213101591</v>
      </c>
      <c r="AR6" s="180">
        <f>3308454.75+'PAYS interest calculation'!P15</f>
        <v>3309739.301438381</v>
      </c>
      <c r="AS6" s="180">
        <f>6746528.94+'PAYS interest calculation'!Q15</f>
        <v>6747915.2307812814</v>
      </c>
      <c r="AT6" s="180">
        <f>3532913.25+'PAYS interest calculation'!R15</f>
        <v>3534427.1880222401</v>
      </c>
      <c r="AU6" s="180">
        <f>5675518.56+'PAYS interest calculation'!S15</f>
        <v>5677135.2112908112</v>
      </c>
      <c r="AV6" s="180">
        <f>6239208.9+'PAYS interest calculation'!T15</f>
        <v>6241030.1127156857</v>
      </c>
      <c r="AW6" s="180">
        <f>4202063.07+'PAYS interest calculation'!U15</f>
        <v>4203952.8957806081</v>
      </c>
      <c r="AX6" s="180">
        <f>6028471.43+'PAYS interest calculation'!V15</f>
        <v>6030542.0242398335</v>
      </c>
      <c r="AY6" s="180">
        <f>20769312.92+'PAYS interest calculation'!W15+(-1*'PAYS interest calculation'!W6)</f>
        <v>20772311.523251541</v>
      </c>
      <c r="AZ6" s="180">
        <f>2815642.18+'PAYS interest calculation'!X15</f>
        <v>2818085.4973094049</v>
      </c>
      <c r="BA6" s="180">
        <f>4564689.01-16389.29+'PAYS interest calculation'!Y15</f>
        <v>4550893.0217857901</v>
      </c>
      <c r="BB6" s="180">
        <f>4460594.75+'PAYS interest calculation'!Z15</f>
        <v>4463219.4054105142</v>
      </c>
      <c r="BC6" s="180">
        <f>3633263.4+'PAYS interest calculation'!AA15</f>
        <v>3635955.4282210199</v>
      </c>
      <c r="BD6" s="180">
        <f>5937741.17+'PAYS interest calculation'!AB15</f>
        <v>5940478.5337780621</v>
      </c>
      <c r="BE6" s="180">
        <f>4862173.61+'PAYS interest calculation'!AC15</f>
        <v>4864955.095925808</v>
      </c>
      <c r="BF6" s="180">
        <f>6175408.01+'PAYS interest calculation'!AD15</f>
        <v>6175979.8893648321</v>
      </c>
      <c r="BG6" s="180">
        <f>4735345.8+'PAYS interest calculation'!AE15</f>
        <v>4736088.9036643831</v>
      </c>
      <c r="BH6" s="180">
        <f>4815688.12+'PAYS interest calculation'!AF15</f>
        <v>4816537.1018028697</v>
      </c>
      <c r="BI6" s="180">
        <f>5798518.26+'PAYS interest calculation'!AG15</f>
        <v>5799700.9650074607</v>
      </c>
      <c r="BJ6" s="180">
        <f>3434104.79+'PAYS interest calculation'!AH15</f>
        <v>3435342.4367465912</v>
      </c>
      <c r="BK6" s="180">
        <f>23145164.92+'PAYS interest calculation'!AI15</f>
        <v>23146465.227964673</v>
      </c>
      <c r="BL6" s="180">
        <f>2917029.21+'PAYS interest calculation'!AJ15</f>
        <v>2918367.9073599945</v>
      </c>
      <c r="BM6" s="180">
        <f>2323921.44+'PAYS interest calculation'!AK15</f>
        <v>2325248.0044047316</v>
      </c>
      <c r="BN6" s="180">
        <f>3747318.07+'PAYS interest calculation'!AL15</f>
        <v>3748632.1455864673</v>
      </c>
      <c r="BO6" s="180">
        <f>4256435.48+'PAYS interest calculation'!AM15+(-1*'PAYS interest calculation'!AM6)</f>
        <v>4257879.0324234702</v>
      </c>
      <c r="BP6" s="180">
        <f>4536483.3+'PAYS interest calculation'!AN15</f>
        <v>4537772.0952465348</v>
      </c>
      <c r="BQ6" s="180">
        <f>5859965.18+'PAYS interest calculation'!AO15</f>
        <v>5861418.8555447645</v>
      </c>
      <c r="BR6" s="180">
        <f>5029541.55+'PAYS interest calculation'!AP15</f>
        <v>5030981.4798310408</v>
      </c>
      <c r="BS6" s="180">
        <f>6371369.34+'PAYS interest calculation'!AQ15</f>
        <v>6373094.238837651</v>
      </c>
      <c r="BT6" s="180">
        <f>4598441.92+'PAYS interest calculation'!AR15</f>
        <v>4600257.3886925438</v>
      </c>
      <c r="BU6" s="180">
        <f>6369088.47+'PAYS interest calculation'!AS15</f>
        <v>6371055.8516207505</v>
      </c>
      <c r="BV6" s="118">
        <f>SUM('[1]PCR (M3)'!$BU$15:$BU$18)</f>
        <v>7213786.5822952781</v>
      </c>
      <c r="BW6" s="118">
        <f>SUM('[1]PCR (M3)'!$BV$15:$BV$18)</f>
        <v>19738416.704529781</v>
      </c>
      <c r="BX6" s="118">
        <f>SUM('[1]PCR (M3)'!$BW$15:$BW$18)</f>
        <v>0</v>
      </c>
    </row>
    <row r="7" spans="1:76" s="3" customFormat="1" x14ac:dyDescent="0.25">
      <c r="A7" s="295"/>
      <c r="B7" s="5" t="s">
        <v>10</v>
      </c>
      <c r="C7" s="22">
        <v>0</v>
      </c>
      <c r="D7" s="22">
        <v>0</v>
      </c>
      <c r="E7" s="22">
        <v>0</v>
      </c>
      <c r="F7" s="22">
        <v>0</v>
      </c>
      <c r="G7" s="22">
        <v>0</v>
      </c>
      <c r="H7" s="22">
        <v>453008.63</v>
      </c>
      <c r="I7" s="22">
        <v>6131398.7699999996</v>
      </c>
      <c r="J7" s="22">
        <v>7440020.2300000004</v>
      </c>
      <c r="K7" s="22">
        <v>7787637.1200000001</v>
      </c>
      <c r="L7" s="21">
        <v>7415530.5499999998</v>
      </c>
      <c r="M7" s="22">
        <v>6393806.0300000003</v>
      </c>
      <c r="N7" s="22">
        <v>5729648.6699999999</v>
      </c>
      <c r="O7" s="21">
        <v>7016994.2000000002</v>
      </c>
      <c r="P7" s="22">
        <v>7580344.1500000004</v>
      </c>
      <c r="Q7" s="22">
        <v>6780583.4199999999</v>
      </c>
      <c r="R7" s="22">
        <v>5258818.8899999997</v>
      </c>
      <c r="S7" s="22">
        <v>4379338.6900000004</v>
      </c>
      <c r="T7" s="22">
        <v>4010923.17</v>
      </c>
      <c r="U7" s="22">
        <v>4897738.25</v>
      </c>
      <c r="V7" s="22">
        <v>6248757.4000000004</v>
      </c>
      <c r="W7" s="22">
        <v>6053644.0300000003</v>
      </c>
      <c r="X7" s="22">
        <v>5708518.8099999996</v>
      </c>
      <c r="Y7" s="22">
        <v>4362797.6900000004</v>
      </c>
      <c r="Z7" s="22">
        <v>4453895.6900000004</v>
      </c>
      <c r="AA7" s="22">
        <v>5320333.05</v>
      </c>
      <c r="AB7" s="22">
        <v>6316759.2699999996</v>
      </c>
      <c r="AC7" s="22">
        <v>7583892.4100000001</v>
      </c>
      <c r="AD7" s="22">
        <v>7418563.8899999997</v>
      </c>
      <c r="AE7" s="22">
        <v>5953301.3499999996</v>
      </c>
      <c r="AF7" s="22">
        <v>5846801.6900000004</v>
      </c>
      <c r="AG7" s="22">
        <v>6866409.0999999996</v>
      </c>
      <c r="AH7" s="22">
        <v>8666483.5800000001</v>
      </c>
      <c r="AI7" s="22">
        <v>8626819.1899999995</v>
      </c>
      <c r="AJ7" s="22">
        <v>8648916.9199999999</v>
      </c>
      <c r="AK7" s="22">
        <v>6801979.5499999998</v>
      </c>
      <c r="AL7" s="22">
        <v>6087767.6399999997</v>
      </c>
      <c r="AM7" s="22">
        <v>7335343.4299999997</v>
      </c>
      <c r="AN7" s="22">
        <v>8532489.0299999993</v>
      </c>
      <c r="AO7" s="22">
        <v>8009630.25</v>
      </c>
      <c r="AP7" s="22">
        <v>5791599.6900000004</v>
      </c>
      <c r="AQ7" s="22">
        <v>4647344.92</v>
      </c>
      <c r="AR7" s="22">
        <v>4780045.8499999996</v>
      </c>
      <c r="AS7" s="22">
        <v>5750871.1299999999</v>
      </c>
      <c r="AT7" s="22">
        <v>7180666.5599999996</v>
      </c>
      <c r="AU7" s="22">
        <v>6958397.0999999996</v>
      </c>
      <c r="AV7" s="22">
        <v>6191523.1299999999</v>
      </c>
      <c r="AW7" s="22">
        <v>4873657.1900000004</v>
      </c>
      <c r="AX7" s="22">
        <v>4698871.1399999997</v>
      </c>
      <c r="AY7" s="22">
        <v>6121032.0199999996</v>
      </c>
      <c r="AZ7" s="22">
        <v>6865628.9100000001</v>
      </c>
      <c r="BA7" s="22">
        <v>5890167.4000000004</v>
      </c>
      <c r="BB7" s="22">
        <v>5071608.0599999996</v>
      </c>
      <c r="BC7" s="22">
        <v>4647331.4400000004</v>
      </c>
      <c r="BD7" s="22">
        <v>4309653.22</v>
      </c>
      <c r="BE7" s="22">
        <v>5155063.0199999996</v>
      </c>
      <c r="BF7" s="22">
        <v>6058263.3600000003</v>
      </c>
      <c r="BG7" s="22">
        <v>6335389.6200000001</v>
      </c>
      <c r="BH7" s="22">
        <v>6078515.6699999999</v>
      </c>
      <c r="BI7" s="22">
        <v>4916922.6100000003</v>
      </c>
      <c r="BJ7" s="22">
        <v>4476188.62</v>
      </c>
      <c r="BK7" s="22">
        <v>5371445.6299999999</v>
      </c>
      <c r="BL7" s="22">
        <v>6350625.54</v>
      </c>
      <c r="BM7" s="22">
        <v>6157898.4299999997</v>
      </c>
      <c r="BN7" s="22">
        <v>5189954.0999999996</v>
      </c>
      <c r="BO7" s="22">
        <v>4936121.25</v>
      </c>
      <c r="BP7" s="22">
        <v>4755779.78</v>
      </c>
      <c r="BQ7" s="22">
        <v>5885472.2199999997</v>
      </c>
      <c r="BR7" s="22">
        <v>7100974.6299999999</v>
      </c>
      <c r="BS7" s="22">
        <v>6727331.3300000001</v>
      </c>
      <c r="BT7" s="22">
        <v>6489892.6600000001</v>
      </c>
      <c r="BU7" s="22">
        <v>5283977.3600000003</v>
      </c>
      <c r="BV7" s="126">
        <f>SUM('[1]PCR (M3)'!$BU$35:$BU$39)</f>
        <v>5355567.6534412894</v>
      </c>
      <c r="BW7" s="126">
        <f>SUM('[1]PCR (M3)'!$BV$35:$BV$39)</f>
        <v>6341740.0551319523</v>
      </c>
      <c r="BX7" s="126">
        <f>SUM('[1]PCR (M3)'!$BW$35:$BW$39)</f>
        <v>7128374.2754337098</v>
      </c>
    </row>
    <row r="8" spans="1:76" s="3" customFormat="1" x14ac:dyDescent="0.25">
      <c r="A8" s="295"/>
      <c r="B8" s="5" t="s">
        <v>11</v>
      </c>
      <c r="C8" s="7">
        <f t="shared" ref="C8" si="0">IF(OR(C6="",C7=""),"",C6-C7)</f>
        <v>472906.7</v>
      </c>
      <c r="D8" s="7">
        <f t="shared" ref="D8:AE8" si="1">IF(OR(D6="",D7=""),"",D6-D7)</f>
        <v>121950.46</v>
      </c>
      <c r="E8" s="7">
        <f t="shared" si="1"/>
        <v>306057.09999999998</v>
      </c>
      <c r="F8" s="7">
        <f t="shared" si="1"/>
        <v>3254515.75</v>
      </c>
      <c r="G8" s="7">
        <f t="shared" si="1"/>
        <v>1441686.8700000006</v>
      </c>
      <c r="H8" s="7">
        <f>IF(OR(H6="",H7=""),"",H6-H7)</f>
        <v>2193801.7700000005</v>
      </c>
      <c r="I8" s="8">
        <f t="shared" si="1"/>
        <v>-3041386.45</v>
      </c>
      <c r="J8" s="8">
        <f t="shared" si="1"/>
        <v>-3633337.8400000008</v>
      </c>
      <c r="K8" s="8">
        <f t="shared" si="1"/>
        <v>-2120193.1100000003</v>
      </c>
      <c r="L8" s="8">
        <f t="shared" si="1"/>
        <v>-2750489.7899999982</v>
      </c>
      <c r="M8" s="8">
        <f t="shared" si="1"/>
        <v>-1700039.8799999971</v>
      </c>
      <c r="N8" s="8">
        <f t="shared" si="1"/>
        <v>2252137.66</v>
      </c>
      <c r="O8" s="8">
        <f>IF(OR(O6="",O7=""),"",O6-O7)</f>
        <v>7272414.0199999968</v>
      </c>
      <c r="P8" s="8">
        <f t="shared" si="1"/>
        <v>-5280061.8100000005</v>
      </c>
      <c r="Q8" s="8">
        <f t="shared" si="1"/>
        <v>-3513948.1099999994</v>
      </c>
      <c r="R8" s="8">
        <f t="shared" si="1"/>
        <v>-590431.75</v>
      </c>
      <c r="S8" s="8">
        <f t="shared" si="1"/>
        <v>-1024286.1299999994</v>
      </c>
      <c r="T8" s="8">
        <f>IF(OR(T6="",T7=""),"",T6-T7)</f>
        <v>-506886.28999999957</v>
      </c>
      <c r="U8" s="8">
        <f t="shared" si="1"/>
        <v>-327188.16999999993</v>
      </c>
      <c r="V8" s="8">
        <f t="shared" si="1"/>
        <v>-1911206.1600000011</v>
      </c>
      <c r="W8" s="8">
        <f>IF(OR(W6="",W7=""),"",W6-W7)</f>
        <v>-921586.43000000063</v>
      </c>
      <c r="X8" s="8">
        <f>IF(OR(X6="",X7=""),"",X6-X7)</f>
        <v>1172486.3200000003</v>
      </c>
      <c r="Y8" s="8">
        <f t="shared" si="1"/>
        <v>713129.13999999873</v>
      </c>
      <c r="Z8" s="8">
        <f t="shared" si="1"/>
        <v>3772427.8999999994</v>
      </c>
      <c r="AA8" s="8">
        <f t="shared" si="1"/>
        <v>11730653.619999997</v>
      </c>
      <c r="AB8" s="8">
        <f t="shared" si="1"/>
        <v>-2926067.8699999992</v>
      </c>
      <c r="AC8" s="8">
        <f t="shared" si="1"/>
        <v>-4543349.9200000009</v>
      </c>
      <c r="AD8" s="8">
        <f>IF(OR(AD6="",AD7=""),"",AD6-AD7)</f>
        <v>-642412.43999999948</v>
      </c>
      <c r="AE8" s="8">
        <f t="shared" si="1"/>
        <v>-2360204.7516527595</v>
      </c>
      <c r="AF8" s="8">
        <f t="shared" ref="AF8" si="2">IF(OR(AF6="",AF7=""),"",AF6-AF7)</f>
        <v>-2596984.9376373724</v>
      </c>
      <c r="AG8" s="8">
        <f t="shared" ref="AG8:AW8" si="3">IF(OR(AG6="",AG7=""),"",AG6-AG7)</f>
        <v>-765270.68199255876</v>
      </c>
      <c r="AH8" s="8">
        <f t="shared" si="3"/>
        <v>-3592433.9235242233</v>
      </c>
      <c r="AI8" s="8">
        <f t="shared" si="3"/>
        <v>-2476067.151081305</v>
      </c>
      <c r="AJ8" s="8">
        <f t="shared" si="3"/>
        <v>-4110030.7426744569</v>
      </c>
      <c r="AK8" s="8">
        <f t="shared" si="3"/>
        <v>-893910.03203946538</v>
      </c>
      <c r="AL8" s="8">
        <f>IF(OR(AL6="",AL7=""),"",AL6-AL7)</f>
        <v>5009512.6372242244</v>
      </c>
      <c r="AM8" s="8">
        <f t="shared" si="3"/>
        <v>14521153.810487527</v>
      </c>
      <c r="AN8" s="8">
        <f t="shared" si="3"/>
        <v>-9738494.1006461661</v>
      </c>
      <c r="AO8" s="8">
        <f>IF(OR(AO6="",AO7=""),"",AO6-AO7)</f>
        <v>-4717627.182085203</v>
      </c>
      <c r="AP8" s="8">
        <f t="shared" si="3"/>
        <v>-1942652.3234257819</v>
      </c>
      <c r="AQ8" s="8">
        <f t="shared" si="3"/>
        <v>-195195.70689840894</v>
      </c>
      <c r="AR8" s="8">
        <f t="shared" si="3"/>
        <v>-1470306.5485616187</v>
      </c>
      <c r="AS8" s="8">
        <f t="shared" si="3"/>
        <v>997044.10078128148</v>
      </c>
      <c r="AT8" s="8">
        <f t="shared" si="3"/>
        <v>-3646239.3719777595</v>
      </c>
      <c r="AU8" s="8">
        <f t="shared" si="3"/>
        <v>-1281261.8887091884</v>
      </c>
      <c r="AV8" s="8">
        <f t="shared" si="3"/>
        <v>49506.982715685852</v>
      </c>
      <c r="AW8" s="8">
        <f t="shared" si="3"/>
        <v>-669704.29421939235</v>
      </c>
      <c r="AX8" s="8">
        <f t="shared" ref="AX8" si="4">IF(OR(AX6="",AX7=""),"",AX6-AX7)</f>
        <v>1331670.8842398338</v>
      </c>
      <c r="AY8" s="8">
        <f>IF(OR(AY6="",AY7=""),"",AY6-AY7)</f>
        <v>14651279.503251541</v>
      </c>
      <c r="AZ8" s="8">
        <f t="shared" ref="AZ8" si="5">IF(OR(AZ6="",AZ7=""),"",AZ6-AZ7)</f>
        <v>-4047543.4126905953</v>
      </c>
      <c r="BA8" s="8">
        <f t="shared" ref="BA8:BF8" si="6">IF(OR(BA6="",BA7=""),"",BA6-BA7)</f>
        <v>-1339274.3782142103</v>
      </c>
      <c r="BB8" s="8">
        <f t="shared" si="6"/>
        <v>-608388.65458948538</v>
      </c>
      <c r="BC8" s="8">
        <f t="shared" si="6"/>
        <v>-1011376.0117789805</v>
      </c>
      <c r="BD8" s="8">
        <f t="shared" si="6"/>
        <v>1630825.3137780624</v>
      </c>
      <c r="BE8" s="8">
        <f t="shared" si="6"/>
        <v>-290107.9240741916</v>
      </c>
      <c r="BF8" s="8">
        <f t="shared" si="6"/>
        <v>117716.52936483175</v>
      </c>
      <c r="BG8" s="8">
        <f t="shared" ref="BG8" si="7">IF(OR(BG6="",BG7=""),"",BG6-BG7)</f>
        <v>-1599300.716335617</v>
      </c>
      <c r="BH8" s="8">
        <f t="shared" ref="BH8:BM8" si="8">IF(OR(BH6="",BH7=""),"",BH6-BH7)</f>
        <v>-1261978.5681971302</v>
      </c>
      <c r="BI8" s="8">
        <f t="shared" si="8"/>
        <v>882778.35500746034</v>
      </c>
      <c r="BJ8" s="8">
        <f t="shared" si="8"/>
        <v>-1040846.1832534089</v>
      </c>
      <c r="BK8" s="8">
        <f t="shared" si="8"/>
        <v>17775019.597964674</v>
      </c>
      <c r="BL8" s="8">
        <f t="shared" si="8"/>
        <v>-3432257.6326400056</v>
      </c>
      <c r="BM8" s="8">
        <f t="shared" si="8"/>
        <v>-3832650.4255952681</v>
      </c>
      <c r="BN8" s="8">
        <f t="shared" ref="BN8" si="9">IF(OR(BN6="",BN7=""),"",BN6-BN7)</f>
        <v>-1441321.9544135323</v>
      </c>
      <c r="BO8" s="8">
        <f t="shared" ref="BO8:BT8" si="10">IF(OR(BO6="",BO7=""),"",BO6-BO7)</f>
        <v>-678242.21757652983</v>
      </c>
      <c r="BP8" s="8">
        <f t="shared" si="10"/>
        <v>-218007.68475346547</v>
      </c>
      <c r="BQ8" s="8">
        <f t="shared" si="10"/>
        <v>-24053.364455235191</v>
      </c>
      <c r="BR8" s="8">
        <f t="shared" si="10"/>
        <v>-2069993.1501689591</v>
      </c>
      <c r="BS8" s="8">
        <f t="shared" si="10"/>
        <v>-354237.0911623491</v>
      </c>
      <c r="BT8" s="8">
        <f t="shared" si="10"/>
        <v>-1889635.2713074563</v>
      </c>
      <c r="BU8" s="8">
        <f t="shared" ref="BU8:BX8" si="11">IF(OR(BU6="",BU7=""),"",BU6-BU7)</f>
        <v>1087078.4916207502</v>
      </c>
      <c r="BV8" s="8">
        <f>IF(OR(BV6="",BV7=""),"",BV6-BV7)</f>
        <v>1858218.9288539886</v>
      </c>
      <c r="BW8" s="8">
        <f t="shared" si="11"/>
        <v>13396676.649397828</v>
      </c>
      <c r="BX8" s="8">
        <f t="shared" si="11"/>
        <v>-7128374.2754337098</v>
      </c>
    </row>
    <row r="9" spans="1:76" s="3" customFormat="1" x14ac:dyDescent="0.25">
      <c r="A9" s="295"/>
      <c r="B9" s="5" t="s">
        <v>4</v>
      </c>
      <c r="C9" s="23">
        <v>0</v>
      </c>
      <c r="D9" s="23">
        <v>0</v>
      </c>
      <c r="E9" s="23">
        <v>0</v>
      </c>
      <c r="F9" s="23">
        <v>2.7878150000000001E-2</v>
      </c>
      <c r="G9" s="23">
        <v>2.6622739999999999E-2</v>
      </c>
      <c r="H9" s="23">
        <v>2.677361E-2</v>
      </c>
      <c r="I9" s="23">
        <v>2.6500570000000001E-2</v>
      </c>
      <c r="J9" s="23">
        <v>2.594869E-2</v>
      </c>
      <c r="K9" s="23">
        <v>2.3511899999999999E-2</v>
      </c>
      <c r="L9" s="23">
        <v>2.21687E-2</v>
      </c>
      <c r="M9" s="23">
        <v>2.113932E-2</v>
      </c>
      <c r="N9" s="23">
        <v>1.8159890000000001E-2</v>
      </c>
      <c r="O9" s="23">
        <v>1.9151990000000001E-2</v>
      </c>
      <c r="P9" s="23">
        <v>1.8890779999999999E-2</v>
      </c>
      <c r="Q9" s="23">
        <v>1.8035829999999999E-2</v>
      </c>
      <c r="R9" s="23">
        <v>1.888592E-2</v>
      </c>
      <c r="S9" s="23">
        <v>9.3845999999999999E-3</v>
      </c>
      <c r="T9" s="23">
        <v>1.2906700000000001E-3</v>
      </c>
      <c r="U9" s="23">
        <v>1.2563100000000001E-3</v>
      </c>
      <c r="V9" s="23">
        <v>1.9366299999999999E-3</v>
      </c>
      <c r="W9" s="23">
        <v>1.3658500000000001E-3</v>
      </c>
      <c r="X9" s="23">
        <v>1.23916E-3</v>
      </c>
      <c r="Y9" s="23">
        <v>2E-3</v>
      </c>
      <c r="Z9" s="23">
        <v>2.5244400000000002E-3</v>
      </c>
      <c r="AA9" s="23">
        <v>2.8469900000000002E-3</v>
      </c>
      <c r="AB9" s="23">
        <v>2.0613900000000002E-3</v>
      </c>
      <c r="AC9" s="23">
        <v>2.3221700000000001E-3</v>
      </c>
      <c r="AD9" s="23">
        <v>2.1367399999999998E-3</v>
      </c>
      <c r="AE9" s="23">
        <v>2.2512299999999999E-3</v>
      </c>
      <c r="AF9" s="23">
        <v>2.2427200000000001E-3</v>
      </c>
      <c r="AG9" s="23">
        <v>2.01659E-3</v>
      </c>
      <c r="AH9" s="23">
        <v>1.3954900000000001E-3</v>
      </c>
      <c r="AI9" s="23">
        <v>2.0509899999999999E-3</v>
      </c>
      <c r="AJ9" s="23">
        <v>1.9323299999999999E-3</v>
      </c>
      <c r="AK9" s="23">
        <v>1.5E-3</v>
      </c>
      <c r="AL9" s="23">
        <v>1.5320900000000001E-3</v>
      </c>
      <c r="AM9" s="23">
        <v>2.6046400000000001E-3</v>
      </c>
      <c r="AN9" s="23">
        <v>2.3444999999999998E-3</v>
      </c>
      <c r="AO9" s="23">
        <v>2.9584899999999998E-3</v>
      </c>
      <c r="AP9" s="23">
        <v>6.8829599999999996E-3</v>
      </c>
      <c r="AQ9" s="23">
        <v>6.0041599999999997E-3</v>
      </c>
      <c r="AR9" s="23">
        <v>9.4970499999999999E-3</v>
      </c>
      <c r="AS9" s="23">
        <v>1.4858659999999999E-2</v>
      </c>
      <c r="AT9" s="23">
        <v>2.0566899999999999E-2</v>
      </c>
      <c r="AU9" s="23">
        <v>2.564054E-2</v>
      </c>
      <c r="AV9" s="23">
        <v>2.8416960000000002E-2</v>
      </c>
      <c r="AW9" s="23">
        <v>3.4701200000000001E-2</v>
      </c>
      <c r="AX9" s="23">
        <v>4.286098E-2</v>
      </c>
      <c r="AY9" s="23">
        <v>4.617603E-2</v>
      </c>
      <c r="AZ9" s="23">
        <v>4.7842519999999999E-2</v>
      </c>
      <c r="BA9" s="23">
        <v>4.847945E-2</v>
      </c>
      <c r="BB9" s="23">
        <v>4.9894139999999997E-2</v>
      </c>
      <c r="BC9" s="23">
        <v>5.2487209999999999E-2</v>
      </c>
      <c r="BD9" s="23">
        <v>5.3267839534246943E-2</v>
      </c>
      <c r="BE9" s="23">
        <v>5.3948219999999998E-2</v>
      </c>
      <c r="BF9" s="23">
        <v>5.4426639999999998E-2</v>
      </c>
      <c r="BG9" s="23">
        <v>5.5204789999999997E-2</v>
      </c>
      <c r="BH9" s="23">
        <v>5.5351270000000001E-2</v>
      </c>
      <c r="BI9" s="23">
        <v>5.5174559999999997E-2</v>
      </c>
      <c r="BJ9" s="23">
        <v>5.5580579999999997E-2</v>
      </c>
      <c r="BK9" s="23">
        <v>5.5475749999999997E-2</v>
      </c>
      <c r="BL9" s="23">
        <v>5.3783249999999998E-2</v>
      </c>
      <c r="BM9" s="23">
        <v>5.377171E-2</v>
      </c>
      <c r="BN9" s="23">
        <v>5.4286330000000001E-2</v>
      </c>
      <c r="BO9" s="23">
        <v>5.5001649999999999E-2</v>
      </c>
      <c r="BP9" s="23">
        <v>5.4899999999999997E-2</v>
      </c>
      <c r="BQ9" s="23">
        <v>5.5527970000000003E-2</v>
      </c>
      <c r="BR9" s="23">
        <v>5.581407E-2</v>
      </c>
      <c r="BS9" s="23">
        <v>5.56397E-2</v>
      </c>
      <c r="BT9" s="23">
        <v>5.3053490000000002E-2</v>
      </c>
      <c r="BU9" s="23">
        <v>4.9407439999999997E-2</v>
      </c>
      <c r="BV9" s="274">
        <v>4.9407439999999997E-2</v>
      </c>
      <c r="BW9" s="274">
        <v>4.9407439999999997E-2</v>
      </c>
      <c r="BX9" s="274">
        <v>4.9407439999999997E-2</v>
      </c>
    </row>
    <row r="10" spans="1:76" s="3" customFormat="1" x14ac:dyDescent="0.25">
      <c r="A10" s="295"/>
      <c r="B10" s="5" t="s">
        <v>5</v>
      </c>
      <c r="C10" s="8">
        <f>IF(OR(C9="",C8=""),"",ROUND((C9*C8)/12,2))</f>
        <v>0</v>
      </c>
      <c r="D10" s="8">
        <f>IF(OR(D9="",D8="",C13=""),"",ROUND(((C13+D8)*D9)/12,2))</f>
        <v>0</v>
      </c>
      <c r="E10" s="8">
        <f t="shared" ref="E10:K10" si="12">IF(OR(E9="",E8="",D13=""),"",ROUND(((D13+E8)*E9)/12,2))</f>
        <v>0</v>
      </c>
      <c r="F10" s="8">
        <f t="shared" si="12"/>
        <v>9653.81</v>
      </c>
      <c r="G10" s="8">
        <f t="shared" si="12"/>
        <v>12438.97</v>
      </c>
      <c r="H10" s="8">
        <f t="shared" si="12"/>
        <v>17431.88</v>
      </c>
      <c r="I10" s="8">
        <f t="shared" si="12"/>
        <v>10576.06</v>
      </c>
      <c r="J10" s="8">
        <f t="shared" si="12"/>
        <v>2521.9899999999998</v>
      </c>
      <c r="K10" s="8">
        <f t="shared" si="12"/>
        <v>-1864.05</v>
      </c>
      <c r="L10" s="8">
        <f t="shared" ref="L10" si="13">IF(OR(L9="",L8="",K13=""),"",ROUND(((K13+L8)*L9)/12,2))</f>
        <v>-6842.24</v>
      </c>
      <c r="M10" s="8">
        <f t="shared" ref="M10" si="14">IF(OR(M9="",M8="",L13=""),"",ROUND(((L13+M8)*M9)/12,2))</f>
        <v>-9531.39</v>
      </c>
      <c r="N10" s="8">
        <f t="shared" ref="N10" si="15">IF(OR(N9="",N8="",M13=""),"",ROUND(((M13+N8)*N9)/12,2))</f>
        <v>-4794.22</v>
      </c>
      <c r="O10" s="8">
        <f t="shared" ref="O10" si="16">IF(OR(O9="",O8="",N13=""),"",ROUND(((N13+O8)*O9)/12,2))</f>
        <v>6542.98</v>
      </c>
      <c r="P10" s="8">
        <f t="shared" ref="P10" si="17">IF(OR(P9="",P8="",O13=""),"",ROUND(((O13+P8)*P9)/12,2))</f>
        <v>-1848</v>
      </c>
      <c r="Q10" s="8">
        <f t="shared" ref="Q10" si="18">IF(OR(Q9="",Q8="",P13=""),"",ROUND(((P13+Q8)*Q9)/12,2))</f>
        <v>-7048.55</v>
      </c>
      <c r="R10" s="8">
        <f t="shared" ref="R10" si="19">IF(OR(R9="",R8="",Q13=""),"",ROUND(((Q13+R8)*R9)/12,2))</f>
        <v>-8321.11</v>
      </c>
      <c r="S10" s="8">
        <f t="shared" ref="S10" si="20">IF(OR(S9="",S8="",R13=""),"",ROUND(((R13+S8)*S9)/12,2))</f>
        <v>-4942.3900000000003</v>
      </c>
      <c r="T10" s="8">
        <f t="shared" ref="T10" si="21">IF(OR(T9="",T8="",S13=""),"",ROUND(((S13+T8)*T9)/12,2))</f>
        <v>-734.78</v>
      </c>
      <c r="U10" s="8">
        <f t="shared" ref="U10" si="22">IF(OR(U9="",U8="",T13=""),"",ROUND(((T13+U8)*U9)/12,2))</f>
        <v>-749.55</v>
      </c>
      <c r="V10" s="8">
        <f t="shared" ref="V10" si="23">IF(OR(V9="",V8="",U13=""),"",ROUND(((U13+V8)*V9)/12,2))</f>
        <v>-1464.01</v>
      </c>
      <c r="W10" s="8">
        <f t="shared" ref="W10" si="24">IF(OR(W9="",W8="",V13=""),"",ROUND(((V13+W8)*W9)/12,2))</f>
        <v>-1137.5899999999999</v>
      </c>
      <c r="X10" s="8">
        <f t="shared" ref="X10" si="25">IF(OR(X9="",X8="",W13=""),"",ROUND(((W13+X8)*X9)/12,2))</f>
        <v>-911.11</v>
      </c>
      <c r="Y10" s="8">
        <f t="shared" ref="Y10" si="26">IF(OR(Y9="",Y8="",X13=""),"",ROUND(((X13+Y8)*Y9)/12,2))</f>
        <v>-1351.83</v>
      </c>
      <c r="Z10" s="8">
        <f t="shared" ref="Z10" si="27">IF(OR(Z9="",Z8="",Y13=""),"",ROUND(((Y13+Z8)*Z9)/12,2))</f>
        <v>-912.99</v>
      </c>
      <c r="AA10" s="8">
        <f>IF(OR(AA9="",AA8="",Z13=""),"",ROUND(((Z13+AA8)*AA9)/12,2))</f>
        <v>1753.23</v>
      </c>
      <c r="AB10" s="8">
        <f>IF(OR(AB9="",AB8="",AA13=""),"",ROUND(((AA13+AB8)*AB9)/12,2))</f>
        <v>767.1</v>
      </c>
      <c r="AC10" s="8">
        <f t="shared" ref="AC10" si="28">IF(OR(AC9="",AC8="",AB13=""),"",ROUND(((AB13+AC8)*AC9)/12,2))</f>
        <v>-14.91</v>
      </c>
      <c r="AD10" s="8">
        <f>IF(OR(AD9="",AD8="",AC13=""),"",ROUND(((AC13+AD8+AD5)*AD9)/12,2))+'MEEIA 3 adjs'!BE11</f>
        <v>-623.98999999999546</v>
      </c>
      <c r="AE10" s="8">
        <f>IF(OR(AE9="",AE8="",AD13=""),"",ROUND(((AD13+AE8)*AE9)/12,2))</f>
        <v>-581.91</v>
      </c>
      <c r="AF10" s="8">
        <f>IF(OR(AF9="",AF8="",AE13=""),"",ROUND(((AE13+AF8)*AF9)/12,2))</f>
        <v>-1065.17</v>
      </c>
      <c r="AG10" s="8">
        <f t="shared" ref="AG10:AX10" si="29">IF(OR(AG9="",AG8="",AF13=""),"",ROUND(((AF13+AG8)*AG9)/12,2))</f>
        <v>-1086.56</v>
      </c>
      <c r="AH10" s="8">
        <f t="shared" si="29"/>
        <v>-1169.8</v>
      </c>
      <c r="AI10" s="8">
        <f t="shared" si="29"/>
        <v>-2142.6799999999998</v>
      </c>
      <c r="AJ10" s="8">
        <f t="shared" si="29"/>
        <v>-2680.89</v>
      </c>
      <c r="AK10" s="8">
        <f t="shared" si="29"/>
        <v>-2193.15</v>
      </c>
      <c r="AL10" s="8">
        <f>IF(OR(AL9="",AL8="",AK13=""),"",ROUND(((AK13+AL8+AL5)*AL9)/12,2))+'MEEIA 3 adjs'!BW19</f>
        <v>-1732.83</v>
      </c>
      <c r="AM10" s="8">
        <f>IF(OR(AM9="",AM8="",AL13=""),"",ROUND(((AL13+AM8)*AM9)/12,2))</f>
        <v>416.97</v>
      </c>
      <c r="AN10" s="8">
        <f t="shared" si="29"/>
        <v>-1527.25</v>
      </c>
      <c r="AO10" s="8">
        <f>IF(OR(AO9="",AO8="",AN13=""),"",ROUND(((AN13+AO5+AO8)*AO9)/12,2))</f>
        <v>-3262.3</v>
      </c>
      <c r="AP10" s="8">
        <f t="shared" si="29"/>
        <v>-8705.91</v>
      </c>
      <c r="AQ10" s="8">
        <f t="shared" si="29"/>
        <v>-7696.38</v>
      </c>
      <c r="AR10" s="8">
        <f t="shared" si="29"/>
        <v>-13343.43</v>
      </c>
      <c r="AS10" s="8">
        <f t="shared" si="29"/>
        <v>-19658.490000000002</v>
      </c>
      <c r="AT10" s="8">
        <f t="shared" si="29"/>
        <v>-33493.69</v>
      </c>
      <c r="AU10" s="8">
        <f t="shared" si="29"/>
        <v>-44565.49</v>
      </c>
      <c r="AV10" s="8">
        <f t="shared" si="29"/>
        <v>-49379.45</v>
      </c>
      <c r="AW10" s="8">
        <f t="shared" si="29"/>
        <v>-62378.84</v>
      </c>
      <c r="AX10" s="8">
        <f t="shared" si="29"/>
        <v>-72513.259999999995</v>
      </c>
      <c r="AY10" s="8">
        <f>IF(OR(AY9="",AY8="",AX13=""),"",ROUND(((AX13+AY8)*AY9)/12,2))</f>
        <v>-22022.62</v>
      </c>
      <c r="AZ10" s="8">
        <f>IF(OR(AZ9="",AZ8="",AY13=""),"",ROUND(((AY13+AZ8+AZ5)*AZ9)/12,2))+AZ5</f>
        <v>-39602.838489636662</v>
      </c>
      <c r="BA10" s="8">
        <f>IF(OR(BA9="",BA8="",AZ13=""),"",ROUND(((AZ13+BA8)*BA9)/12,2))</f>
        <v>-45132.639999999999</v>
      </c>
      <c r="BB10" s="8">
        <f>IF(OR(BB9="",BB8="",BA13=""),"",ROUND(((BA13+BB8+BB5)*BB9)/12,2))+BB5</f>
        <v>-50067.440000000046</v>
      </c>
      <c r="BC10" s="8">
        <f t="shared" ref="BC10:BG10" si="30">IF(OR(BC9="",BC8="",BB13=""),"",ROUND(((BB13+BC8)*BC9)/12,2))</f>
        <v>-56364.87</v>
      </c>
      <c r="BD10" s="8">
        <f t="shared" si="30"/>
        <v>-50214.16</v>
      </c>
      <c r="BE10" s="8">
        <f t="shared" si="30"/>
        <v>-52385.52</v>
      </c>
      <c r="BF10" s="8">
        <f t="shared" si="30"/>
        <v>-52553.77</v>
      </c>
      <c r="BG10" s="8">
        <f t="shared" si="30"/>
        <v>-60904.33</v>
      </c>
      <c r="BH10" s="8">
        <f>IF(OR(BH9="",BH8="",BG13=""),"",ROUND(((BG13+BH8)*BH9)/12,2))</f>
        <v>-67167.87</v>
      </c>
      <c r="BI10" s="8">
        <f>IF(OR(BI9="",BI8="",BH13=""),"",ROUND(((BH13+BI8+BI5)*BI9)/12,2))+'MEEIA 3 adjs'!FR11</f>
        <v>-63197.030000000021</v>
      </c>
      <c r="BJ10" s="8">
        <f t="shared" ref="BJ10:BU10" si="31">IF(OR(BJ9="",BJ8="",BI13=""),"",ROUND(((BI13+BJ8)*BJ9)/12,2))</f>
        <v>-68780.490000000005</v>
      </c>
      <c r="BK10" s="8">
        <f t="shared" si="31"/>
        <v>13204.81</v>
      </c>
      <c r="BL10" s="8">
        <f t="shared" si="31"/>
        <v>-2522.0300000000002</v>
      </c>
      <c r="BM10" s="8">
        <f t="shared" si="31"/>
        <v>-19706.810000000001</v>
      </c>
      <c r="BN10" s="8">
        <f t="shared" si="31"/>
        <v>-26504.9</v>
      </c>
      <c r="BO10" s="8">
        <f t="shared" si="31"/>
        <v>-30084.34</v>
      </c>
      <c r="BP10" s="8">
        <f t="shared" si="31"/>
        <v>-31163.759999999998</v>
      </c>
      <c r="BQ10" s="8">
        <f t="shared" si="31"/>
        <v>-31775.73</v>
      </c>
      <c r="BR10" s="8">
        <f t="shared" si="31"/>
        <v>-41715.14</v>
      </c>
      <c r="BS10" s="8">
        <f t="shared" si="31"/>
        <v>-43420.71</v>
      </c>
      <c r="BT10" s="8">
        <f t="shared" si="31"/>
        <v>-49948.73</v>
      </c>
      <c r="BU10" s="8">
        <f t="shared" si="31"/>
        <v>-42245.9</v>
      </c>
      <c r="BV10" s="8">
        <f t="shared" ref="BV10" si="32">IF(OR(BV9="",BV8="",BU13=""),"",ROUND(((BU13+BV8)*BV9)/12,2))</f>
        <v>-34769.01</v>
      </c>
      <c r="BW10" s="8">
        <f t="shared" ref="BW10" si="33">IF(OR(BW9="",BW8="",BV13=""),"",ROUND(((BV13+BW8)*BW9)/12,2))</f>
        <v>20245.79</v>
      </c>
      <c r="BX10" s="8">
        <f t="shared" ref="BX10" si="34">IF(OR(BX9="",BX8="",BW13=""),"",ROUND(((BW13+BX8)*BX9)/12,2))</f>
        <v>-9020.41</v>
      </c>
    </row>
    <row r="11" spans="1:76" s="3" customFormat="1" x14ac:dyDescent="0.25">
      <c r="A11" s="295"/>
      <c r="B11" s="6" t="s">
        <v>6</v>
      </c>
      <c r="C11" s="8">
        <f>C10</f>
        <v>0</v>
      </c>
      <c r="D11" s="8">
        <f>D10</f>
        <v>0</v>
      </c>
      <c r="E11" s="8">
        <f>IF(OR(D11="",E10=""),"",D11+E10)</f>
        <v>0</v>
      </c>
      <c r="F11" s="8">
        <f t="shared" ref="F11:AF11" si="35">IF(OR(E11="",F10=""),"",E11+F10)</f>
        <v>9653.81</v>
      </c>
      <c r="G11" s="8">
        <f t="shared" si="35"/>
        <v>22092.78</v>
      </c>
      <c r="H11" s="8">
        <f t="shared" si="35"/>
        <v>39524.660000000003</v>
      </c>
      <c r="I11" s="8">
        <f t="shared" si="35"/>
        <v>50100.72</v>
      </c>
      <c r="J11" s="8">
        <f t="shared" si="35"/>
        <v>52622.71</v>
      </c>
      <c r="K11" s="8">
        <f t="shared" si="35"/>
        <v>50758.659999999996</v>
      </c>
      <c r="L11" s="8">
        <f t="shared" si="35"/>
        <v>43916.42</v>
      </c>
      <c r="M11" s="8">
        <f t="shared" si="35"/>
        <v>34385.03</v>
      </c>
      <c r="N11" s="8">
        <f t="shared" si="35"/>
        <v>29590.809999999998</v>
      </c>
      <c r="O11" s="8">
        <f>IF(OR(N11="",O10=""),"",N11+O10)</f>
        <v>36133.789999999994</v>
      </c>
      <c r="P11" s="8">
        <f t="shared" si="35"/>
        <v>34285.789999999994</v>
      </c>
      <c r="Q11" s="8">
        <f t="shared" si="35"/>
        <v>27237.239999999994</v>
      </c>
      <c r="R11" s="8">
        <f t="shared" si="35"/>
        <v>18916.129999999994</v>
      </c>
      <c r="S11" s="8">
        <f t="shared" si="35"/>
        <v>13973.739999999994</v>
      </c>
      <c r="T11" s="8">
        <f>IF(OR(S11="",T10=""),"",S11+T10)</f>
        <v>13238.959999999994</v>
      </c>
      <c r="U11" s="8">
        <f t="shared" si="35"/>
        <v>12489.409999999994</v>
      </c>
      <c r="V11" s="8">
        <f t="shared" si="35"/>
        <v>11025.399999999994</v>
      </c>
      <c r="W11" s="8">
        <f t="shared" si="35"/>
        <v>9887.809999999994</v>
      </c>
      <c r="X11" s="8">
        <f>IF(OR(W11="",X10=""),"",W11+X10+X5)</f>
        <v>8976.6999999999935</v>
      </c>
      <c r="Y11" s="8">
        <f t="shared" si="35"/>
        <v>7624.8699999999935</v>
      </c>
      <c r="Z11" s="8">
        <f t="shared" si="35"/>
        <v>6711.8799999999937</v>
      </c>
      <c r="AA11" s="8">
        <f t="shared" si="35"/>
        <v>8465.1099999999933</v>
      </c>
      <c r="AB11" s="8">
        <f t="shared" si="35"/>
        <v>9232.2099999999937</v>
      </c>
      <c r="AC11" s="8">
        <f t="shared" si="35"/>
        <v>9217.2999999999938</v>
      </c>
      <c r="AD11" s="8">
        <f t="shared" si="35"/>
        <v>8593.3099999999977</v>
      </c>
      <c r="AE11" s="8">
        <f t="shared" si="35"/>
        <v>8011.3999999999978</v>
      </c>
      <c r="AF11" s="8">
        <f t="shared" si="35"/>
        <v>6946.2299999999977</v>
      </c>
      <c r="AG11" s="8">
        <f t="shared" ref="AG11" si="36">IF(OR(AF11="",AG10=""),"",AF11+AG10)</f>
        <v>5859.6699999999983</v>
      </c>
      <c r="AH11" s="8">
        <f t="shared" ref="AH11" si="37">IF(OR(AG11="",AH10=""),"",AG11+AH10)</f>
        <v>4689.8699999999981</v>
      </c>
      <c r="AI11" s="8">
        <f t="shared" ref="AI11" si="38">IF(OR(AH11="",AI10=""),"",AH11+AI10)</f>
        <v>2547.1899999999982</v>
      </c>
      <c r="AJ11" s="8">
        <f t="shared" ref="AJ11" si="39">IF(OR(AI11="",AJ10=""),"",AI11+AJ10)</f>
        <v>-133.70000000000164</v>
      </c>
      <c r="AK11" s="8">
        <f t="shared" ref="AK11" si="40">IF(OR(AJ11="",AK10=""),"",AJ11+AK10)</f>
        <v>-2326.8500000000017</v>
      </c>
      <c r="AL11" s="8">
        <f>IF(OR(AK11="",AL10=""),"",AK11+AL10)</f>
        <v>-4059.6800000000017</v>
      </c>
      <c r="AM11" s="8">
        <f t="shared" ref="AM11" si="41">IF(OR(AL11="",AM10=""),"",AL11+AM10)</f>
        <v>-3642.7100000000019</v>
      </c>
      <c r="AN11" s="8">
        <f t="shared" ref="AN11" si="42">IF(OR(AM11="",AN10=""),"",AM11+AN10)</f>
        <v>-5169.9600000000019</v>
      </c>
      <c r="AO11" s="8">
        <f>IF(OR(AN11="",AO10=""),"",AN11+AO10)</f>
        <v>-8432.260000000002</v>
      </c>
      <c r="AP11" s="8">
        <f t="shared" ref="AP11" si="43">IF(OR(AO11="",AP10=""),"",AO11+AP10)</f>
        <v>-17138.170000000002</v>
      </c>
      <c r="AQ11" s="8">
        <f t="shared" ref="AQ11" si="44">IF(OR(AP11="",AQ10=""),"",AP11+AQ10)</f>
        <v>-24834.550000000003</v>
      </c>
      <c r="AR11" s="8">
        <f t="shared" ref="AR11" si="45">IF(OR(AQ11="",AR10=""),"",AQ11+AR10)</f>
        <v>-38177.980000000003</v>
      </c>
      <c r="AS11" s="8">
        <f t="shared" ref="AS11" si="46">IF(OR(AR11="",AS10=""),"",AR11+AS10)</f>
        <v>-57836.47</v>
      </c>
      <c r="AT11" s="8">
        <f t="shared" ref="AT11" si="47">IF(OR(AS11="",AT10=""),"",AS11+AT10)</f>
        <v>-91330.16</v>
      </c>
      <c r="AU11" s="8">
        <f t="shared" ref="AU11" si="48">IF(OR(AT11="",AU10=""),"",AT11+AU10)</f>
        <v>-135895.65</v>
      </c>
      <c r="AV11" s="8">
        <f t="shared" ref="AV11" si="49">IF(OR(AU11="",AV10=""),"",AU11+AV10)</f>
        <v>-185275.09999999998</v>
      </c>
      <c r="AW11" s="8">
        <f t="shared" ref="AW11:AY11" si="50">IF(OR(AV11="",AW10=""),"",AV11+AW10)</f>
        <v>-247653.93999999997</v>
      </c>
      <c r="AX11" s="8">
        <f t="shared" si="50"/>
        <v>-320167.19999999995</v>
      </c>
      <c r="AY11" s="8">
        <f t="shared" si="50"/>
        <v>-342189.81999999995</v>
      </c>
      <c r="AZ11" s="8">
        <f t="shared" ref="AZ11:BG11" si="51">IF(OR(AY11="",AZ10=""),"",AY11+AZ10)</f>
        <v>-381792.65848963661</v>
      </c>
      <c r="BA11" s="8">
        <f t="shared" si="51"/>
        <v>-426925.29848963663</v>
      </c>
      <c r="BB11" s="8">
        <f t="shared" si="51"/>
        <v>-476992.73848963669</v>
      </c>
      <c r="BC11" s="8">
        <f t="shared" si="51"/>
        <v>-533357.60848963668</v>
      </c>
      <c r="BD11" s="8">
        <f t="shared" si="51"/>
        <v>-583571.76848963671</v>
      </c>
      <c r="BE11" s="8">
        <f t="shared" si="51"/>
        <v>-635957.28848963673</v>
      </c>
      <c r="BF11" s="8">
        <f t="shared" si="51"/>
        <v>-688511.05848963675</v>
      </c>
      <c r="BG11" s="8">
        <f t="shared" si="51"/>
        <v>-749415.38848963671</v>
      </c>
      <c r="BH11" s="8">
        <f t="shared" ref="BH11:BU11" si="52">IF(OR(BG11="",BH10=""),"",BG11+BH10)</f>
        <v>-816583.2584896367</v>
      </c>
      <c r="BI11" s="8">
        <f t="shared" si="52"/>
        <v>-879780.28848963673</v>
      </c>
      <c r="BJ11" s="8">
        <f t="shared" si="52"/>
        <v>-948560.77848963672</v>
      </c>
      <c r="BK11" s="8">
        <f t="shared" si="52"/>
        <v>-935355.96848963667</v>
      </c>
      <c r="BL11" s="8">
        <f t="shared" si="52"/>
        <v>-937877.9984896367</v>
      </c>
      <c r="BM11" s="8">
        <f t="shared" si="52"/>
        <v>-957584.80848963675</v>
      </c>
      <c r="BN11" s="8">
        <f t="shared" si="52"/>
        <v>-984089.70848963677</v>
      </c>
      <c r="BO11" s="8">
        <f t="shared" si="52"/>
        <v>-1014174.0484896367</v>
      </c>
      <c r="BP11" s="8">
        <f t="shared" si="52"/>
        <v>-1045337.8084896368</v>
      </c>
      <c r="BQ11" s="8">
        <f t="shared" si="52"/>
        <v>-1077113.5384896367</v>
      </c>
      <c r="BR11" s="8">
        <f t="shared" si="52"/>
        <v>-1118828.6784896366</v>
      </c>
      <c r="BS11" s="8">
        <f t="shared" si="52"/>
        <v>-1162249.3884896366</v>
      </c>
      <c r="BT11" s="8">
        <f t="shared" si="52"/>
        <v>-1212198.1184896366</v>
      </c>
      <c r="BU11" s="8">
        <f t="shared" si="52"/>
        <v>-1254444.0184896365</v>
      </c>
      <c r="BV11" s="8">
        <f t="shared" ref="BV11" si="53">IF(OR(BU11="",BV10=""),"",BU11+BV10)</f>
        <v>-1289213.0284896365</v>
      </c>
      <c r="BW11" s="8">
        <f t="shared" ref="BW11" si="54">IF(OR(BV11="",BW10=""),"",BV11+BW10)</f>
        <v>-1268967.2384896365</v>
      </c>
      <c r="BX11" s="8">
        <f t="shared" ref="BX11" si="55">IF(OR(BW11="",BX10=""),"",BW11+BX10)</f>
        <v>-1277987.6484896364</v>
      </c>
    </row>
    <row r="12" spans="1:76" s="3" customFormat="1" x14ac:dyDescent="0.25">
      <c r="A12" s="295"/>
      <c r="B12" s="5" t="s">
        <v>12</v>
      </c>
      <c r="C12" s="8">
        <f>IF(OR(C10="",C8=""),"",C8+C10)</f>
        <v>472906.7</v>
      </c>
      <c r="D12" s="8">
        <f>IF(OR(D10="",D8=""),"",D8+D10)</f>
        <v>121950.46</v>
      </c>
      <c r="E12" s="8">
        <f>IF(OR(E10="",E8=""),"",E8+E10)</f>
        <v>306057.09999999998</v>
      </c>
      <c r="F12" s="8">
        <f t="shared" ref="F12:H12" si="56">IF(OR(F10="",F8=""),"",F8+F10)</f>
        <v>3264169.56</v>
      </c>
      <c r="G12" s="8">
        <f>IF(OR(G10="",G8=""),"",G8+G10)</f>
        <v>1454125.8400000005</v>
      </c>
      <c r="H12" s="8">
        <f t="shared" si="56"/>
        <v>2211233.6500000004</v>
      </c>
      <c r="I12" s="8">
        <f>IF(OR(I10="",I8=""),"",I8+I10)</f>
        <v>-3030810.39</v>
      </c>
      <c r="J12" s="8">
        <f t="shared" ref="J12:M12" si="57">IF(OR(J10="",J8=""),"",J8+J10)</f>
        <v>-3630815.8500000006</v>
      </c>
      <c r="K12" s="8">
        <f>IF(OR(K10="",K8=""),"",K8+K10)</f>
        <v>-2122057.16</v>
      </c>
      <c r="L12" s="8">
        <f t="shared" si="57"/>
        <v>-2757332.0299999984</v>
      </c>
      <c r="M12" s="8">
        <f t="shared" si="57"/>
        <v>-1709571.269999997</v>
      </c>
      <c r="N12" s="8">
        <f>IF(OR(N10="",N8=""),"",N8+N10)</f>
        <v>2247343.44</v>
      </c>
      <c r="O12" s="8">
        <f>IF(OR(O10="",O8=""),"",O8+O10)</f>
        <v>7278956.9999999972</v>
      </c>
      <c r="P12" s="8">
        <f t="shared" ref="P12:X12" si="58">IF(OR(P10="",P8=""),"",P8+P10)</f>
        <v>-5281909.8100000005</v>
      </c>
      <c r="Q12" s="8">
        <f t="shared" si="58"/>
        <v>-3520996.6599999992</v>
      </c>
      <c r="R12" s="8">
        <f t="shared" si="58"/>
        <v>-598752.86</v>
      </c>
      <c r="S12" s="8">
        <f t="shared" si="58"/>
        <v>-1029228.5199999994</v>
      </c>
      <c r="T12" s="8">
        <f>IF(OR(T10="",T8=""),"",T8+T10)</f>
        <v>-507621.0699999996</v>
      </c>
      <c r="U12" s="8">
        <f t="shared" si="58"/>
        <v>-327937.71999999991</v>
      </c>
      <c r="V12" s="8">
        <f>IF(OR(V10="",V8=""),"",V8+V10)</f>
        <v>-1912670.1700000011</v>
      </c>
      <c r="W12" s="8">
        <f t="shared" si="58"/>
        <v>-922724.0200000006</v>
      </c>
      <c r="X12" s="8">
        <f t="shared" si="58"/>
        <v>1171575.2100000002</v>
      </c>
      <c r="Y12" s="8">
        <f>IF(OR(Y10="",Y8=""),"",Y8+Y10)</f>
        <v>711777.30999999878</v>
      </c>
      <c r="Z12" s="8">
        <f t="shared" ref="Z12:AE12" si="59">IF(OR(Z10="",Z8=""),"",Z8+Z10)</f>
        <v>3771514.9099999992</v>
      </c>
      <c r="AA12" s="8">
        <f t="shared" si="59"/>
        <v>11732406.849999998</v>
      </c>
      <c r="AB12" s="8">
        <f t="shared" si="59"/>
        <v>-2925300.7699999991</v>
      </c>
      <c r="AC12" s="8">
        <f t="shared" si="59"/>
        <v>-4543364.830000001</v>
      </c>
      <c r="AD12" s="8">
        <f>IF(OR(AD10="",AD8=""),"",AD8+AD10)+'MEEIA 3 adjs'!BA1</f>
        <v>-664526.86999999708</v>
      </c>
      <c r="AE12" s="8">
        <f t="shared" si="59"/>
        <v>-2360786.6616527596</v>
      </c>
      <c r="AF12" s="8">
        <f t="shared" ref="AF12" si="60">IF(OR(AF10="",AF8=""),"",AF8+AF10)</f>
        <v>-2598050.1076373723</v>
      </c>
      <c r="AG12" s="8">
        <f t="shared" ref="AG12:AW12" si="61">IF(OR(AG10="",AG8=""),"",AG8+AG10)</f>
        <v>-766357.24199255882</v>
      </c>
      <c r="AH12" s="8">
        <f t="shared" si="61"/>
        <v>-3593603.7235242231</v>
      </c>
      <c r="AI12" s="8">
        <f t="shared" si="61"/>
        <v>-2478209.8310813052</v>
      </c>
      <c r="AJ12" s="8">
        <f t="shared" si="61"/>
        <v>-4112711.632674457</v>
      </c>
      <c r="AK12" s="8">
        <f>IF(OR(AK10="",AK8=""),"",AK8+AK10)</f>
        <v>-896103.18203946541</v>
      </c>
      <c r="AL12" s="8">
        <f>IF(OR(AL10="",AL8=""),"",AL8+AL10)+'MEEIA 3 adjs'!BH9</f>
        <v>4947312.0972242244</v>
      </c>
      <c r="AM12" s="8">
        <f t="shared" si="61"/>
        <v>14521570.780487528</v>
      </c>
      <c r="AN12" s="8">
        <f>IF(OR(AN10="",AN8=""),"",AN8+AN10)</f>
        <v>-9740021.3506461661</v>
      </c>
      <c r="AO12" s="8">
        <f>IF(OR(AO10="",AO8=""),"",AO8+AO10)</f>
        <v>-4720889.4820852028</v>
      </c>
      <c r="AP12" s="8">
        <f t="shared" si="61"/>
        <v>-1951358.2334257818</v>
      </c>
      <c r="AQ12" s="8">
        <f t="shared" si="61"/>
        <v>-202892.08689840895</v>
      </c>
      <c r="AR12" s="8">
        <f t="shared" si="61"/>
        <v>-1483649.9785616186</v>
      </c>
      <c r="AS12" s="8">
        <f t="shared" si="61"/>
        <v>977385.61078128149</v>
      </c>
      <c r="AT12" s="8">
        <f t="shared" si="61"/>
        <v>-3679733.0619777595</v>
      </c>
      <c r="AU12" s="8">
        <f t="shared" si="61"/>
        <v>-1325827.3787091884</v>
      </c>
      <c r="AV12" s="8">
        <f t="shared" si="61"/>
        <v>127.53271568585478</v>
      </c>
      <c r="AW12" s="8">
        <f t="shared" si="61"/>
        <v>-732083.13421939232</v>
      </c>
      <c r="AX12" s="8">
        <f t="shared" ref="AX12:AY12" si="62">IF(OR(AX10="",AX8=""),"",AX8+AX10)</f>
        <v>1259157.6242398338</v>
      </c>
      <c r="AY12" s="8">
        <f t="shared" si="62"/>
        <v>14629256.883251542</v>
      </c>
      <c r="AZ12" s="8">
        <f t="shared" ref="AZ12:BE12" si="63">IF(OR(AZ10="",AZ8=""),"",AZ8+AZ10)</f>
        <v>-4087146.251180232</v>
      </c>
      <c r="BA12" s="8">
        <f t="shared" si="63"/>
        <v>-1384407.0182142102</v>
      </c>
      <c r="BB12" s="8">
        <f t="shared" si="63"/>
        <v>-658456.09458948544</v>
      </c>
      <c r="BC12" s="8">
        <f t="shared" si="63"/>
        <v>-1067740.8817789806</v>
      </c>
      <c r="BD12" s="8">
        <f t="shared" si="63"/>
        <v>1580611.1537780624</v>
      </c>
      <c r="BE12" s="8">
        <f t="shared" si="63"/>
        <v>-342493.44407419162</v>
      </c>
      <c r="BF12" s="8">
        <f t="shared" ref="BF12:BG12" si="64">IF(OR(BF10="",BF8=""),"",BF8+BF10)</f>
        <v>65162.759364831749</v>
      </c>
      <c r="BG12" s="8">
        <f t="shared" si="64"/>
        <v>-1660205.0463356171</v>
      </c>
      <c r="BH12" s="8">
        <f>IF(OR(BH10="",BH8=""),"",BH8+BH10)</f>
        <v>-1329146.4381971303</v>
      </c>
      <c r="BI12" s="8">
        <f>IF(OR(BI10="",BI8=""),"",BI8+BI10)+'MEEIA 3 adjs'!FR6</f>
        <v>819922.51168724825</v>
      </c>
      <c r="BJ12" s="8">
        <f t="shared" ref="BJ12:BO12" si="65">IF(OR(BJ10="",BJ8=""),"",BJ8+BJ10)</f>
        <v>-1109626.6732534089</v>
      </c>
      <c r="BK12" s="8">
        <f t="shared" si="65"/>
        <v>17788224.407964673</v>
      </c>
      <c r="BL12" s="8">
        <f t="shared" si="65"/>
        <v>-3434779.6626400054</v>
      </c>
      <c r="BM12" s="8">
        <f t="shared" si="65"/>
        <v>-3852357.2355952682</v>
      </c>
      <c r="BN12" s="8">
        <f t="shared" si="65"/>
        <v>-1467826.8544135322</v>
      </c>
      <c r="BO12" s="8">
        <f t="shared" si="65"/>
        <v>-708326.5575765298</v>
      </c>
      <c r="BP12" s="8">
        <f t="shared" ref="BP12:BQ12" si="66">IF(OR(BP10="",BP8=""),"",BP8+BP10)</f>
        <v>-249171.44475346548</v>
      </c>
      <c r="BQ12" s="8">
        <f t="shared" si="66"/>
        <v>-55829.094455235187</v>
      </c>
      <c r="BR12" s="8">
        <f t="shared" ref="BR12:BS12" si="67">IF(OR(BR10="",BR8=""),"",BR8+BR10)</f>
        <v>-2111708.2901689592</v>
      </c>
      <c r="BS12" s="8">
        <f t="shared" si="67"/>
        <v>-397657.80116234912</v>
      </c>
      <c r="BT12" s="8">
        <f t="shared" ref="BT12:BU12" si="68">IF(OR(BT10="",BT8=""),"",BT8+BT10)</f>
        <v>-1939584.0013074563</v>
      </c>
      <c r="BU12" s="8">
        <f t="shared" si="68"/>
        <v>1044832.5916207501</v>
      </c>
      <c r="BV12" s="8">
        <f t="shared" ref="BV12:BX12" si="69">IF(OR(BV10="",BV8=""),"",BV8+BV10)</f>
        <v>1823449.9188539886</v>
      </c>
      <c r="BW12" s="8">
        <f t="shared" si="69"/>
        <v>13416922.439397827</v>
      </c>
      <c r="BX12" s="8">
        <f t="shared" si="69"/>
        <v>-7137394.68543371</v>
      </c>
    </row>
    <row r="13" spans="1:76" s="3" customFormat="1" x14ac:dyDescent="0.25">
      <c r="A13" s="295"/>
      <c r="B13" s="9" t="s">
        <v>3</v>
      </c>
      <c r="C13" s="100">
        <f>C12</f>
        <v>472906.7</v>
      </c>
      <c r="D13" s="100">
        <f>IF(OR(D12="",C13=""),"",D12+C13)</f>
        <v>594857.16</v>
      </c>
      <c r="E13" s="100">
        <f>IF(OR(E12="",D13=""),"",E12+D13)</f>
        <v>900914.26</v>
      </c>
      <c r="F13" s="8">
        <f>IF(OR(F12="",E13=""),"",F12+E13)</f>
        <v>4165083.8200000003</v>
      </c>
      <c r="G13" s="8">
        <f t="shared" ref="G13:AF13" si="70">IF(OR(G12="",F13=""),"",G12+F13)</f>
        <v>5619209.6600000011</v>
      </c>
      <c r="H13" s="8">
        <f t="shared" si="70"/>
        <v>7830443.3100000015</v>
      </c>
      <c r="I13" s="8">
        <f t="shared" si="70"/>
        <v>4799632.9200000018</v>
      </c>
      <c r="J13" s="8">
        <f t="shared" si="70"/>
        <v>1168817.0700000012</v>
      </c>
      <c r="K13" s="8">
        <f>IF(OR(K12="",J13=""),"",K12+J13)</f>
        <v>-953240.08999999892</v>
      </c>
      <c r="L13" s="8">
        <f t="shared" si="70"/>
        <v>-3710572.1199999973</v>
      </c>
      <c r="M13" s="8">
        <f t="shared" si="70"/>
        <v>-5420143.3899999941</v>
      </c>
      <c r="N13" s="8">
        <f>IF(OR(N12="",M13=""),"",N12+M13)</f>
        <v>-3172799.9499999941</v>
      </c>
      <c r="O13" s="8">
        <f>IF(OR(O12="",N13=""),"",O12+N13+O5)</f>
        <v>4106157.0500000031</v>
      </c>
      <c r="P13" s="8">
        <f t="shared" si="70"/>
        <v>-1175752.7599999974</v>
      </c>
      <c r="Q13" s="8">
        <f t="shared" si="70"/>
        <v>-4696749.4199999962</v>
      </c>
      <c r="R13" s="8">
        <f t="shared" si="70"/>
        <v>-5295502.2799999965</v>
      </c>
      <c r="S13" s="8">
        <f t="shared" si="70"/>
        <v>-6324730.7999999961</v>
      </c>
      <c r="T13" s="8">
        <f>IF(OR(T12="",S13=""),"",T12+S13)</f>
        <v>-6832351.8699999955</v>
      </c>
      <c r="U13" s="8">
        <f t="shared" si="70"/>
        <v>-7160289.5899999952</v>
      </c>
      <c r="V13" s="8">
        <f>IF(OR(V12="",U13=""),"",V12+U13)</f>
        <v>-9072959.7599999961</v>
      </c>
      <c r="W13" s="8">
        <f t="shared" si="70"/>
        <v>-9995683.7799999975</v>
      </c>
      <c r="X13" s="8">
        <f>IF(OR(X12="",W13=""),"",X12+W13+X5)</f>
        <v>-8824108.5699999966</v>
      </c>
      <c r="Y13" s="8">
        <f t="shared" si="70"/>
        <v>-8112331.2599999979</v>
      </c>
      <c r="Z13" s="8">
        <f t="shared" si="70"/>
        <v>-4340816.3499999987</v>
      </c>
      <c r="AA13" s="8">
        <f t="shared" si="70"/>
        <v>7391590.4999999991</v>
      </c>
      <c r="AB13" s="7">
        <f t="shared" si="70"/>
        <v>4466289.7300000004</v>
      </c>
      <c r="AC13" s="7">
        <f t="shared" si="70"/>
        <v>-77075.100000000559</v>
      </c>
      <c r="AD13" s="8">
        <f>IF(OR(AD12="",AC13=""),"",AD12+AC13)</f>
        <v>-741601.96999999764</v>
      </c>
      <c r="AE13" s="8">
        <f t="shared" si="70"/>
        <v>-3102388.6316527575</v>
      </c>
      <c r="AF13" s="8">
        <f t="shared" si="70"/>
        <v>-5700438.7392901294</v>
      </c>
      <c r="AG13" s="8">
        <f t="shared" ref="AG13" si="71">IF(OR(AG12="",AF13=""),"",AG12+AF13)</f>
        <v>-6466795.9812826887</v>
      </c>
      <c r="AH13" s="8">
        <f t="shared" ref="AH13" si="72">IF(OR(AH12="",AG13=""),"",AH12+AG13)</f>
        <v>-10060399.704806913</v>
      </c>
      <c r="AI13" s="8">
        <f t="shared" ref="AI13" si="73">IF(OR(AI12="",AH13=""),"",AI12+AH13)</f>
        <v>-12538609.535888217</v>
      </c>
      <c r="AJ13" s="8">
        <f t="shared" ref="AJ13" si="74">IF(OR(AJ12="",AI13=""),"",AJ12+AI13)</f>
        <v>-16651321.168562675</v>
      </c>
      <c r="AK13" s="8">
        <f t="shared" ref="AK13" si="75">IF(OR(AK12="",AJ13=""),"",AK12+AJ13)</f>
        <v>-17547424.350602139</v>
      </c>
      <c r="AL13" s="8">
        <f>IF(OR(AL12="",AK13=""),"",AL12+AK13)</f>
        <v>-12600112.253377914</v>
      </c>
      <c r="AM13" s="8">
        <f t="shared" ref="AM13" si="76">IF(OR(AM12="",AL13=""),"",AM12+AL13)</f>
        <v>1921458.5271096136</v>
      </c>
      <c r="AN13" s="8">
        <f t="shared" ref="AN13" si="77">IF(OR(AN12="",AM13=""),"",AN12+AM13)</f>
        <v>-7818562.8235365525</v>
      </c>
      <c r="AO13" s="8">
        <f>IF(OR(AO12="",AN13=""),"",AO12+AN13+AO5)</f>
        <v>-13235535.862655682</v>
      </c>
      <c r="AP13" s="8">
        <f t="shared" ref="AP13" si="78">IF(OR(AP12="",AO13=""),"",AP12+AO13)</f>
        <v>-15186894.096081464</v>
      </c>
      <c r="AQ13" s="8">
        <f t="shared" ref="AQ13" si="79">IF(OR(AQ12="",AP13=""),"",AQ12+AP13)</f>
        <v>-15389786.182979872</v>
      </c>
      <c r="AR13" s="8">
        <f t="shared" ref="AR13" si="80">IF(OR(AR12="",AQ13=""),"",AR12+AQ13)</f>
        <v>-16873436.161541492</v>
      </c>
      <c r="AS13" s="8">
        <f t="shared" ref="AS13" si="81">IF(OR(AS12="",AR13=""),"",AS12+AR13)</f>
        <v>-15896050.55076021</v>
      </c>
      <c r="AT13" s="8">
        <f t="shared" ref="AT13" si="82">IF(OR(AT12="",AS13=""),"",AT12+AS13)</f>
        <v>-19575783.612737969</v>
      </c>
      <c r="AU13" s="8">
        <f t="shared" ref="AU13" si="83">IF(OR(AU12="",AT13=""),"",AU12+AT13)</f>
        <v>-20901610.991447158</v>
      </c>
      <c r="AV13" s="8">
        <f t="shared" ref="AV13" si="84">IF(OR(AV12="",AU13=""),"",AV12+AU13)</f>
        <v>-20901483.458731472</v>
      </c>
      <c r="AW13" s="8">
        <f t="shared" ref="AW13:AY13" si="85">IF(OR(AW12="",AV13=""),"",AW12+AV13)</f>
        <v>-21633566.592950866</v>
      </c>
      <c r="AX13" s="8">
        <f t="shared" si="85"/>
        <v>-20374408.968711033</v>
      </c>
      <c r="AY13" s="8">
        <f t="shared" si="85"/>
        <v>-5745152.0854594912</v>
      </c>
      <c r="AZ13" s="8">
        <f t="shared" ref="AZ13:BG13" si="86">IF(OR(AZ12="",AY13=""),"",AZ12+AY13)</f>
        <v>-9832298.3366397228</v>
      </c>
      <c r="BA13" s="8">
        <f t="shared" si="86"/>
        <v>-11216705.354853934</v>
      </c>
      <c r="BB13" s="8">
        <f t="shared" si="86"/>
        <v>-11875161.449443419</v>
      </c>
      <c r="BC13" s="8">
        <f t="shared" si="86"/>
        <v>-12942902.3312224</v>
      </c>
      <c r="BD13" s="8">
        <f t="shared" si="86"/>
        <v>-11362291.177444337</v>
      </c>
      <c r="BE13" s="8">
        <f t="shared" si="86"/>
        <v>-11704784.621518528</v>
      </c>
      <c r="BF13" s="8">
        <f t="shared" si="86"/>
        <v>-11639621.862153696</v>
      </c>
      <c r="BG13" s="8">
        <f t="shared" si="86"/>
        <v>-13299826.908489313</v>
      </c>
      <c r="BH13" s="8">
        <f t="shared" ref="BH13:BU13" si="87">IF(OR(BH12="",BG13=""),"",BH12+BG13)</f>
        <v>-14628973.346686443</v>
      </c>
      <c r="BI13" s="8">
        <f t="shared" si="87"/>
        <v>-13809050.834999194</v>
      </c>
      <c r="BJ13" s="8">
        <f t="shared" si="87"/>
        <v>-14918677.508252604</v>
      </c>
      <c r="BK13" s="8">
        <f t="shared" si="87"/>
        <v>2869546.899712069</v>
      </c>
      <c r="BL13" s="8">
        <f t="shared" si="87"/>
        <v>-565232.76292793639</v>
      </c>
      <c r="BM13" s="8">
        <f t="shared" si="87"/>
        <v>-4417589.9985232046</v>
      </c>
      <c r="BN13" s="8">
        <f t="shared" si="87"/>
        <v>-5885416.8529367372</v>
      </c>
      <c r="BO13" s="8">
        <f t="shared" si="87"/>
        <v>-6593743.4105132669</v>
      </c>
      <c r="BP13" s="8">
        <f t="shared" si="87"/>
        <v>-6842914.8552667322</v>
      </c>
      <c r="BQ13" s="8">
        <f t="shared" si="87"/>
        <v>-6898743.9497219678</v>
      </c>
      <c r="BR13" s="8">
        <f t="shared" si="87"/>
        <v>-9010452.2398909274</v>
      </c>
      <c r="BS13" s="8">
        <f t="shared" si="87"/>
        <v>-9408110.0410532765</v>
      </c>
      <c r="BT13" s="8">
        <f t="shared" si="87"/>
        <v>-11347694.042360732</v>
      </c>
      <c r="BU13" s="8">
        <f t="shared" si="87"/>
        <v>-10302861.450739982</v>
      </c>
      <c r="BV13" s="8">
        <f t="shared" ref="BV13" si="88">IF(OR(BV12="",BU13=""),"",BV12+BU13)</f>
        <v>-8479411.5318859927</v>
      </c>
      <c r="BW13" s="8">
        <f t="shared" ref="BW13" si="89">IF(OR(BW12="",BV13=""),"",BW12+BV13)</f>
        <v>4937510.9075118341</v>
      </c>
      <c r="BX13" s="8">
        <f t="shared" ref="BX13" si="90">IF(OR(BX12="",BW13=""),"",BX12+BW13)</f>
        <v>-2199883.7779218759</v>
      </c>
    </row>
    <row r="14" spans="1:76" s="4" customFormat="1" ht="8.25" customHeight="1" x14ac:dyDescent="0.25">
      <c r="A14" s="40"/>
      <c r="B14" s="11"/>
      <c r="C14" s="99"/>
      <c r="D14" s="99"/>
      <c r="E14" s="99"/>
      <c r="F14" s="97"/>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row>
    <row r="15" spans="1:76" s="4" customFormat="1" ht="15" customHeight="1" x14ac:dyDescent="0.25">
      <c r="A15" s="292" t="s">
        <v>25</v>
      </c>
      <c r="B15" s="15"/>
      <c r="C15" s="101"/>
      <c r="D15" s="101"/>
      <c r="E15" s="101"/>
      <c r="F15" s="7"/>
      <c r="G15" s="7"/>
      <c r="H15" s="7"/>
      <c r="I15" s="7"/>
      <c r="J15" s="7"/>
      <c r="K15" s="7"/>
      <c r="L15" s="7"/>
      <c r="M15" s="7"/>
      <c r="N15" s="116">
        <f>N26+N36+N46+N56+N66</f>
        <v>157.77999999999946</v>
      </c>
      <c r="O15" s="7"/>
      <c r="P15" s="7"/>
      <c r="Q15" s="7"/>
      <c r="R15" s="7"/>
      <c r="S15" s="7"/>
      <c r="T15" s="7"/>
      <c r="U15" s="7"/>
      <c r="V15" s="7"/>
      <c r="W15" s="7"/>
      <c r="X15" s="7"/>
      <c r="Y15" s="7"/>
      <c r="Z15" s="116">
        <f>Z26+Z36+Z46+Z56+Z66</f>
        <v>835.41999999999939</v>
      </c>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116">
        <f>AZ26+AZ36+AZ46+AZ56+AZ66</f>
        <v>-254.26999999999953</v>
      </c>
      <c r="BA15" s="7"/>
      <c r="BB15" s="7"/>
      <c r="BC15" s="7"/>
      <c r="BD15" s="7"/>
      <c r="BE15" s="7"/>
      <c r="BF15" s="7"/>
      <c r="BG15" s="7"/>
      <c r="BH15" s="7"/>
      <c r="BI15" s="7"/>
      <c r="BJ15" s="7"/>
      <c r="BK15" s="7"/>
      <c r="BL15" s="7"/>
      <c r="BM15" s="68">
        <f>+SUM(BM26,BM36,BM46,BM56,BM66)</f>
        <v>69483.785486213426</v>
      </c>
      <c r="BN15" s="7"/>
      <c r="BO15" s="7"/>
      <c r="BP15" s="7"/>
      <c r="BQ15" s="7"/>
      <c r="BR15" s="7"/>
      <c r="BS15" s="7"/>
      <c r="BT15" s="7"/>
      <c r="BU15" s="7"/>
      <c r="BV15" s="7"/>
      <c r="BW15" s="7"/>
      <c r="BX15" s="7"/>
    </row>
    <row r="16" spans="1:76" s="2" customFormat="1" ht="15" customHeight="1" x14ac:dyDescent="0.25">
      <c r="A16" s="292"/>
      <c r="B16" s="15" t="s">
        <v>28</v>
      </c>
      <c r="C16" s="95"/>
      <c r="D16" s="95"/>
      <c r="E16" s="95"/>
      <c r="F16" s="19">
        <f>IF(F67="","",SUM(F67,F57,F47,F37,F27))</f>
        <v>0.71203150918887492</v>
      </c>
      <c r="G16" s="19">
        <f t="shared" ref="F16:AE19" si="91">IF(G67="","",SUM(G67,G57,G47,G37,G27))</f>
        <v>4695.4207688607348</v>
      </c>
      <c r="H16" s="19">
        <f t="shared" si="91"/>
        <v>39935.570121927383</v>
      </c>
      <c r="I16" s="19">
        <f t="shared" si="91"/>
        <v>291676.37356246018</v>
      </c>
      <c r="J16" s="19">
        <f t="shared" si="91"/>
        <v>544866.33457860805</v>
      </c>
      <c r="K16" s="19">
        <f t="shared" si="91"/>
        <v>663040.94756639062</v>
      </c>
      <c r="L16" s="19">
        <f t="shared" si="91"/>
        <v>547744.67638274864</v>
      </c>
      <c r="M16" s="19">
        <f t="shared" si="91"/>
        <v>270067.89072131994</v>
      </c>
      <c r="N16" s="19">
        <f t="shared" si="91"/>
        <v>449448.83291898982</v>
      </c>
      <c r="O16" s="19">
        <f t="shared" si="91"/>
        <v>672384.11562352558</v>
      </c>
      <c r="P16" s="19">
        <f t="shared" si="91"/>
        <v>860299.05315340089</v>
      </c>
      <c r="Q16" s="19">
        <f t="shared" si="91"/>
        <v>921069.68539476907</v>
      </c>
      <c r="R16" s="19">
        <f t="shared" si="91"/>
        <v>727242.36549864151</v>
      </c>
      <c r="S16" s="19">
        <f t="shared" si="91"/>
        <v>330495.27100759087</v>
      </c>
      <c r="T16" s="19">
        <f t="shared" si="91"/>
        <v>448514.38010054693</v>
      </c>
      <c r="U16" s="19">
        <f t="shared" si="91"/>
        <v>1166466.8526526124</v>
      </c>
      <c r="V16" s="19">
        <f t="shared" si="91"/>
        <v>1596902.1714481553</v>
      </c>
      <c r="W16" s="19">
        <f>IF(W67="","",SUM(W67,W57,W47,W37,W27))</f>
        <v>1748272.4117888492</v>
      </c>
      <c r="X16" s="19">
        <f t="shared" si="91"/>
        <v>1519471.01623757</v>
      </c>
      <c r="Y16" s="19">
        <f t="shared" si="91"/>
        <v>764880.45368540613</v>
      </c>
      <c r="Z16" s="19">
        <f t="shared" ref="Z16:Z20" si="92">IF(Z67="","",SUM(Z67,Z57,Z47,Z37,Z27))</f>
        <v>908807.65228987066</v>
      </c>
      <c r="AA16" s="19">
        <f t="shared" si="91"/>
        <v>1120062.8565557792</v>
      </c>
      <c r="AB16" s="19">
        <f t="shared" si="91"/>
        <v>1377220.6643166305</v>
      </c>
      <c r="AC16" s="19">
        <f t="shared" si="91"/>
        <v>1195166.5723548159</v>
      </c>
      <c r="AD16" s="19">
        <f t="shared" si="91"/>
        <v>1300632.3993987506</v>
      </c>
      <c r="AE16" s="19">
        <f t="shared" si="91"/>
        <v>1205822.8207733985</v>
      </c>
      <c r="AF16" s="19">
        <f t="shared" ref="AF16" si="93">IF(AF67="","",SUM(AF67,AF57,AF47,AF37,AF27))</f>
        <v>1472551.2785682739</v>
      </c>
      <c r="AG16" s="19">
        <f t="shared" ref="AG16:AW16" si="94">IF(AG67="","",SUM(AG67,AG57,AG47,AG37,AG27))</f>
        <v>3602609.9103061222</v>
      </c>
      <c r="AH16" s="19">
        <f t="shared" si="94"/>
        <v>4524979.9029475963</v>
      </c>
      <c r="AI16" s="19">
        <f t="shared" si="94"/>
        <v>4557691.9623519126</v>
      </c>
      <c r="AJ16" s="19">
        <f t="shared" si="94"/>
        <v>3395133.6257571932</v>
      </c>
      <c r="AK16" s="19">
        <f t="shared" si="94"/>
        <v>1618999.5517252116</v>
      </c>
      <c r="AL16" s="19">
        <f t="shared" si="94"/>
        <v>1693340.1593012405</v>
      </c>
      <c r="AM16" s="19">
        <f t="shared" si="94"/>
        <v>2043834.5150522972</v>
      </c>
      <c r="AN16" s="19">
        <f t="shared" si="94"/>
        <v>2546894.0685010902</v>
      </c>
      <c r="AO16" s="19">
        <f t="shared" si="94"/>
        <v>2089616.4766016018</v>
      </c>
      <c r="AP16" s="19">
        <f t="shared" si="94"/>
        <v>912247.85076541686</v>
      </c>
      <c r="AQ16" s="19">
        <f t="shared" si="94"/>
        <v>846334.21711913729</v>
      </c>
      <c r="AR16" s="19">
        <f t="shared" si="94"/>
        <v>1066637.678205363</v>
      </c>
      <c r="AS16" s="19">
        <f>IF(AS67="","",SUM(AS67,AS57,AS47,AS37,AS27))</f>
        <v>2863352.6421243409</v>
      </c>
      <c r="AT16" s="19">
        <f t="shared" si="94"/>
        <v>3675557.5237109675</v>
      </c>
      <c r="AU16" s="19">
        <f t="shared" si="94"/>
        <v>3342039.9312423691</v>
      </c>
      <c r="AV16" s="19">
        <f t="shared" si="94"/>
        <v>2373846.5851787962</v>
      </c>
      <c r="AW16" s="19">
        <f t="shared" si="94"/>
        <v>1051178.3111241481</v>
      </c>
      <c r="AX16" s="19">
        <f t="shared" ref="AX16:AY16" si="95">IF(AX67="","",SUM(AX67,AX57,AX47,AX37,AX27))</f>
        <v>1105092.1759465141</v>
      </c>
      <c r="AY16" s="19">
        <f t="shared" si="95"/>
        <v>1381965.5186848878</v>
      </c>
      <c r="AZ16" s="19">
        <f t="shared" ref="AZ16:BA16" si="96">IF(AZ67="","",SUM(AZ67,AZ57,AZ47,AZ37,AZ27))</f>
        <v>1700717.7639811411</v>
      </c>
      <c r="BA16" s="19">
        <f t="shared" si="96"/>
        <v>1356926.8590753335</v>
      </c>
      <c r="BB16" s="19">
        <f t="shared" ref="BB16:BC16" si="97">IF(BB67="","",SUM(BB67,BB57,BB47,BB37,BB27))</f>
        <v>1353802.1905861669</v>
      </c>
      <c r="BC16" s="19">
        <f t="shared" si="97"/>
        <v>1239676.1204544338</v>
      </c>
      <c r="BD16" s="19">
        <f t="shared" ref="BD16:BE16" si="98">IF(BD67="","",SUM(BD67,BD57,BD47,BD37,BD27))</f>
        <v>1628086.4160208032</v>
      </c>
      <c r="BE16" s="19">
        <f t="shared" si="98"/>
        <v>4511630.5078466404</v>
      </c>
      <c r="BF16" s="19">
        <f t="shared" ref="BF16:BG16" si="99">IF(BF67="","",SUM(BF67,BF57,BF47,BF37,BF27))</f>
        <v>1051039.3753533266</v>
      </c>
      <c r="BG16" s="19">
        <f t="shared" si="99"/>
        <v>1133487.8662933947</v>
      </c>
      <c r="BH16" s="19">
        <f t="shared" ref="BH16:BI16" si="100">IF(BH67="","",SUM(BH67,BH57,BH47,BH37,BH27))</f>
        <v>808760.63763167639</v>
      </c>
      <c r="BI16" s="19">
        <f t="shared" si="100"/>
        <v>375458.03446689073</v>
      </c>
      <c r="BJ16" s="19">
        <f t="shared" ref="BJ16:BK16" si="101">IF(BJ67="","",SUM(BJ67,BJ57,BJ47,BJ37,BJ27))</f>
        <v>426692.32957000914</v>
      </c>
      <c r="BK16" s="19">
        <f t="shared" si="101"/>
        <v>579421.78363716719</v>
      </c>
      <c r="BL16" s="19">
        <f t="shared" ref="BL16:BM16" si="102">IF(BL67="","",SUM(BL67,BL57,BL47,BL37,BL27))</f>
        <v>801605.52584873384</v>
      </c>
      <c r="BM16" s="19">
        <f t="shared" si="102"/>
        <v>596790.15800777823</v>
      </c>
      <c r="BN16" s="19">
        <f t="shared" ref="BN16:BO16" si="103">IF(BN67="","",SUM(BN67,BN57,BN47,BN37,BN27))</f>
        <v>601738.66705846821</v>
      </c>
      <c r="BO16" s="19">
        <f t="shared" si="103"/>
        <v>554067.14924048469</v>
      </c>
      <c r="BP16" s="19">
        <f t="shared" ref="BP16:BQ16" si="104">IF(BP67="","",SUM(BP67,BP57,BP47,BP37,BP27))</f>
        <v>754375.92963655689</v>
      </c>
      <c r="BQ16" s="19">
        <f t="shared" si="104"/>
        <v>2025351.8248758968</v>
      </c>
      <c r="BR16" s="19">
        <f t="shared" ref="BR16:BS16" si="105">IF(BR67="","",SUM(BR67,BR57,BR47,BR37,BR27))</f>
        <v>2625386.5745604574</v>
      </c>
      <c r="BS16" s="19">
        <f t="shared" si="105"/>
        <v>2540999.4109809548</v>
      </c>
      <c r="BT16" s="19">
        <f t="shared" ref="BT16:BU16" si="106">IF(BT67="","",SUM(BT67,BT57,BT47,BT37,BT27))</f>
        <v>1733783.3413791929</v>
      </c>
      <c r="BU16" s="19">
        <f t="shared" si="106"/>
        <v>755529.95697051461</v>
      </c>
      <c r="BV16" s="19">
        <f t="shared" ref="BV16:BX16" si="107">IF(BV67="","",SUM(BV67,BV57,BV47,BV37,BV27))</f>
        <v>791290.49553918419</v>
      </c>
      <c r="BW16" s="19">
        <f t="shared" si="107"/>
        <v>1069050.0614730183</v>
      </c>
      <c r="BX16" s="19">
        <f t="shared" si="107"/>
        <v>1187577.2561075122</v>
      </c>
    </row>
    <row r="17" spans="1:76" s="4" customFormat="1" ht="15" customHeight="1" x14ac:dyDescent="0.25">
      <c r="A17" s="292"/>
      <c r="B17" s="16" t="s">
        <v>26</v>
      </c>
      <c r="C17" s="95"/>
      <c r="D17" s="95"/>
      <c r="E17" s="95"/>
      <c r="F17" s="19">
        <f t="shared" si="91"/>
        <v>0</v>
      </c>
      <c r="G17" s="19">
        <f t="shared" si="91"/>
        <v>0</v>
      </c>
      <c r="H17" s="19">
        <f t="shared" si="91"/>
        <v>42385.43</v>
      </c>
      <c r="I17" s="19">
        <f t="shared" si="91"/>
        <v>557603.83999999997</v>
      </c>
      <c r="J17" s="19">
        <f t="shared" si="91"/>
        <v>676036.05</v>
      </c>
      <c r="K17" s="19">
        <f t="shared" si="91"/>
        <v>706998.16999999993</v>
      </c>
      <c r="L17" s="19">
        <f t="shared" si="91"/>
        <v>670246.85</v>
      </c>
      <c r="M17" s="19">
        <f t="shared" si="91"/>
        <v>574404.17000000004</v>
      </c>
      <c r="N17" s="19">
        <f t="shared" si="91"/>
        <v>514881.99</v>
      </c>
      <c r="O17" s="19">
        <f t="shared" si="91"/>
        <v>639874.60000000009</v>
      </c>
      <c r="P17" s="19">
        <f t="shared" si="91"/>
        <v>693023.25</v>
      </c>
      <c r="Q17" s="19">
        <f t="shared" si="91"/>
        <v>705379.12999999989</v>
      </c>
      <c r="R17" s="19">
        <f t="shared" si="91"/>
        <v>656045.5</v>
      </c>
      <c r="S17" s="19">
        <f t="shared" si="91"/>
        <v>537519.55000000005</v>
      </c>
      <c r="T17" s="19">
        <f t="shared" si="91"/>
        <v>488973.88</v>
      </c>
      <c r="U17" s="19">
        <f t="shared" si="91"/>
        <v>614590.80000000005</v>
      </c>
      <c r="V17" s="19">
        <f t="shared" si="91"/>
        <v>791820.69</v>
      </c>
      <c r="W17" s="19">
        <f t="shared" si="91"/>
        <v>759797.67</v>
      </c>
      <c r="X17" s="19">
        <f t="shared" si="91"/>
        <v>707202.3</v>
      </c>
      <c r="Y17" s="19">
        <f t="shared" si="91"/>
        <v>523078.24999999994</v>
      </c>
      <c r="Z17" s="19">
        <f t="shared" si="92"/>
        <v>540041.11</v>
      </c>
      <c r="AA17" s="19">
        <f t="shared" si="91"/>
        <v>664038.72</v>
      </c>
      <c r="AB17" s="19">
        <f t="shared" si="91"/>
        <v>811016.92</v>
      </c>
      <c r="AC17" s="19">
        <f>IF(AC68="","",SUM(AC68,AC58,AC48,AC38,AC28))</f>
        <v>2076902.76</v>
      </c>
      <c r="AD17" s="19">
        <f t="shared" si="91"/>
        <v>2924297.21</v>
      </c>
      <c r="AE17" s="19">
        <f t="shared" si="91"/>
        <v>2229866.6</v>
      </c>
      <c r="AF17" s="19">
        <f t="shared" ref="AF17" si="108">IF(AF68="","",SUM(AF68,AF58,AF48,AF38,AF28))</f>
        <v>2168254.38</v>
      </c>
      <c r="AG17" s="19">
        <f t="shared" ref="AG17:AW17" si="109">IF(AG68="","",SUM(AG68,AG58,AG48,AG38,AG28))</f>
        <v>2621890.16</v>
      </c>
      <c r="AH17" s="19">
        <f t="shared" si="109"/>
        <v>3329515.52</v>
      </c>
      <c r="AI17" s="19">
        <f t="shared" si="109"/>
        <v>3339633.92</v>
      </c>
      <c r="AJ17" s="19">
        <f t="shared" si="109"/>
        <v>3328981</v>
      </c>
      <c r="AK17" s="19">
        <f t="shared" si="109"/>
        <v>2544745.08</v>
      </c>
      <c r="AL17" s="19">
        <f t="shared" si="109"/>
        <v>2313567.6800000002</v>
      </c>
      <c r="AM17" s="19">
        <f t="shared" si="109"/>
        <v>2791286.27</v>
      </c>
      <c r="AN17" s="19">
        <f t="shared" si="109"/>
        <v>3345196.33</v>
      </c>
      <c r="AO17" s="19">
        <f t="shared" si="109"/>
        <v>2693584.13</v>
      </c>
      <c r="AP17" s="19">
        <f t="shared" si="109"/>
        <v>1313029.4300000002</v>
      </c>
      <c r="AQ17" s="19">
        <f t="shared" si="109"/>
        <v>1059088.8899999999</v>
      </c>
      <c r="AR17" s="19">
        <f t="shared" si="109"/>
        <v>1067990.67</v>
      </c>
      <c r="AS17" s="19">
        <f t="shared" si="109"/>
        <v>1283730.6599999999</v>
      </c>
      <c r="AT17" s="19">
        <f t="shared" si="109"/>
        <v>1612267.41</v>
      </c>
      <c r="AU17" s="19">
        <f t="shared" si="109"/>
        <v>1561342.09</v>
      </c>
      <c r="AV17" s="19">
        <f t="shared" si="109"/>
        <v>1380925.98</v>
      </c>
      <c r="AW17" s="19">
        <f t="shared" si="109"/>
        <v>1082294.4100000001</v>
      </c>
      <c r="AX17" s="19">
        <f t="shared" ref="AX17:AY17" si="110">IF(AX68="","",SUM(AX68,AX58,AX48,AX38,AX28))</f>
        <v>1039274.52</v>
      </c>
      <c r="AY17" s="19">
        <f t="shared" si="110"/>
        <v>1374184.39</v>
      </c>
      <c r="AZ17" s="19">
        <f t="shared" ref="AZ17:BA17" si="111">IF(AZ68="","",SUM(AZ68,AZ58,AZ48,AZ38,AZ28))</f>
        <v>1560107.74</v>
      </c>
      <c r="BA17" s="19">
        <f t="shared" si="111"/>
        <v>1696451.89</v>
      </c>
      <c r="BB17" s="19">
        <f t="shared" ref="BB17:BC17" si="112">IF(BB68="","",SUM(BB68,BB58,BB48,BB38,BB28))</f>
        <v>2004809.71</v>
      </c>
      <c r="BC17" s="19">
        <f t="shared" si="112"/>
        <v>1848718.47</v>
      </c>
      <c r="BD17" s="19">
        <f t="shared" ref="BD17:BE17" si="113">IF(BD68="","",SUM(BD68,BD58,BD48,BD38,BD28))</f>
        <v>1727734.28</v>
      </c>
      <c r="BE17" s="19">
        <f t="shared" si="113"/>
        <v>2048568.73</v>
      </c>
      <c r="BF17" s="19">
        <f t="shared" ref="BF17:BG17" si="114">IF(BF68="","",SUM(BF68,BF58,BF48,BF38,BF28))</f>
        <v>2394442.7800000003</v>
      </c>
      <c r="BG17" s="19">
        <f t="shared" si="114"/>
        <v>2495606.9500000002</v>
      </c>
      <c r="BH17" s="19">
        <f t="shared" ref="BH17:BI17" si="115">IF(BH68="","",SUM(BH68,BH58,BH48,BH38,BH28))</f>
        <v>2399769.0599999996</v>
      </c>
      <c r="BI17" s="19">
        <f t="shared" si="115"/>
        <v>1947531.2699999998</v>
      </c>
      <c r="BJ17" s="19">
        <f t="shared" ref="BJ17:BK17" si="116">IF(BJ68="","",SUM(BJ68,BJ58,BJ48,BJ38,BJ28))</f>
        <v>1775528.27</v>
      </c>
      <c r="BK17" s="19">
        <f t="shared" si="116"/>
        <v>2102006.9500000002</v>
      </c>
      <c r="BL17" s="19">
        <f t="shared" ref="BL17:BM17" si="117">IF(BL68="","",SUM(BL68,BL58,BL48,BL38,BL28))</f>
        <v>2503325.0600000005</v>
      </c>
      <c r="BM17" s="19">
        <f t="shared" si="117"/>
        <v>1952349.63</v>
      </c>
      <c r="BN17" s="19">
        <f t="shared" ref="BN17:BO17" si="118">IF(BN68="","",SUM(BN68,BN58,BN48,BN38,BN28))</f>
        <v>961791.42999999993</v>
      </c>
      <c r="BO17" s="19">
        <f t="shared" si="118"/>
        <v>913763.79</v>
      </c>
      <c r="BP17" s="19">
        <f t="shared" ref="BP17:BQ17" si="119">IF(BP68="","",SUM(BP68,BP58,BP48,BP38,BP28))</f>
        <v>889514.23</v>
      </c>
      <c r="BQ17" s="19">
        <f t="shared" si="119"/>
        <v>1073010.6200000001</v>
      </c>
      <c r="BR17" s="19">
        <f t="shared" ref="BR17:BS17" si="120">IF(BR68="","",SUM(BR68,BR58,BR48,BR38,BR28))</f>
        <v>1289449.57</v>
      </c>
      <c r="BS17" s="19">
        <f t="shared" si="120"/>
        <v>1199409.05</v>
      </c>
      <c r="BT17" s="19">
        <f t="shared" ref="BT17:BU17" si="121">IF(BT68="","",SUM(BT68,BT58,BT48,BT38,BT28))</f>
        <v>1169237.5</v>
      </c>
      <c r="BU17" s="19">
        <f t="shared" si="121"/>
        <v>979756.81</v>
      </c>
      <c r="BV17" s="19">
        <f t="shared" ref="BV17:BX17" si="122">IF(BV68="","",SUM(BV68,BV58,BV48,BV38,BV28))</f>
        <v>970394.67272660532</v>
      </c>
      <c r="BW17" s="19">
        <f t="shared" si="122"/>
        <v>1128639.4034502849</v>
      </c>
      <c r="BX17" s="19">
        <f t="shared" si="122"/>
        <v>1248139.5884633653</v>
      </c>
    </row>
    <row r="18" spans="1:76" s="4" customFormat="1" ht="15" customHeight="1" x14ac:dyDescent="0.25">
      <c r="A18" s="292"/>
      <c r="B18" s="16" t="s">
        <v>51</v>
      </c>
      <c r="C18" s="95"/>
      <c r="D18" s="95"/>
      <c r="E18" s="95"/>
      <c r="F18" s="19">
        <f t="shared" ref="F18:M18" si="123">IF(F69="","",SUM(F69,F59,F49,F39,F29))</f>
        <v>0</v>
      </c>
      <c r="G18" s="19">
        <f t="shared" si="123"/>
        <v>0</v>
      </c>
      <c r="H18" s="19">
        <f t="shared" si="123"/>
        <v>0</v>
      </c>
      <c r="I18" s="19">
        <f t="shared" si="123"/>
        <v>0</v>
      </c>
      <c r="J18" s="19">
        <f t="shared" si="123"/>
        <v>0</v>
      </c>
      <c r="K18" s="19">
        <f t="shared" si="123"/>
        <v>0</v>
      </c>
      <c r="L18" s="19">
        <f t="shared" si="123"/>
        <v>0</v>
      </c>
      <c r="M18" s="19">
        <f t="shared" si="123"/>
        <v>0</v>
      </c>
      <c r="N18" s="19">
        <f>IF(N69="","",SUM(N69,N59,N49,N39,N29))</f>
        <v>0</v>
      </c>
      <c r="O18" s="19">
        <f>IF(O69="","",SUM(O69,O59,O49,O39,O29))</f>
        <v>0</v>
      </c>
      <c r="P18" s="19">
        <f t="shared" si="91"/>
        <v>0</v>
      </c>
      <c r="Q18" s="19">
        <f t="shared" si="91"/>
        <v>196554.22</v>
      </c>
      <c r="R18" s="19">
        <f>IF(R69="","",SUM(R69,R59,R49,R39,R29))</f>
        <v>181274.15000000002</v>
      </c>
      <c r="S18" s="19">
        <f t="shared" si="91"/>
        <v>149642.01999999999</v>
      </c>
      <c r="T18" s="19">
        <f>IF(T69="","",SUM(T69,T59,T49,T39,T29))</f>
        <v>136362.22</v>
      </c>
      <c r="U18" s="19">
        <f t="shared" si="91"/>
        <v>171212.22</v>
      </c>
      <c r="V18" s="19">
        <f t="shared" si="91"/>
        <v>216757.82</v>
      </c>
      <c r="W18" s="19">
        <f t="shared" si="91"/>
        <v>209115.01</v>
      </c>
      <c r="X18" s="19">
        <f t="shared" si="91"/>
        <v>195955.65999999997</v>
      </c>
      <c r="Y18" s="19">
        <f t="shared" si="91"/>
        <v>147507.93</v>
      </c>
      <c r="Z18" s="19">
        <f t="shared" si="92"/>
        <v>151406.02000000002</v>
      </c>
      <c r="AA18" s="19">
        <f t="shared" si="91"/>
        <v>183380.12</v>
      </c>
      <c r="AB18" s="19">
        <f t="shared" si="91"/>
        <v>220797.02</v>
      </c>
      <c r="AC18" s="19">
        <f t="shared" si="91"/>
        <v>-269418.96999999997</v>
      </c>
      <c r="AD18" s="19">
        <f t="shared" si="91"/>
        <v>-372580.93</v>
      </c>
      <c r="AE18" s="19">
        <f t="shared" si="91"/>
        <v>-266557.01</v>
      </c>
      <c r="AF18" s="19">
        <f t="shared" ref="AF18" si="124">IF(AF69="","",SUM(AF69,AF59,AF49,AF39,AF29))</f>
        <v>-255479.12</v>
      </c>
      <c r="AG18" s="19">
        <f t="shared" ref="AG18:AW18" si="125">IF(AG69="","",SUM(AG69,AG59,AG49,AG39,AG29))</f>
        <v>-321252.77</v>
      </c>
      <c r="AH18" s="19">
        <f>IF(AH69="","",SUM(AH69,AH59,AH49,AH39,AH29))</f>
        <v>-412310.44999999995</v>
      </c>
      <c r="AI18" s="19">
        <f t="shared" si="125"/>
        <v>-417357.26</v>
      </c>
      <c r="AJ18" s="19">
        <f t="shared" si="125"/>
        <v>-413042.95</v>
      </c>
      <c r="AK18" s="19">
        <f t="shared" si="125"/>
        <v>-303496.26</v>
      </c>
      <c r="AL18" s="19">
        <f t="shared" si="125"/>
        <v>-281268.86</v>
      </c>
      <c r="AM18" s="19">
        <f t="shared" si="125"/>
        <v>-341119.99</v>
      </c>
      <c r="AN18" s="19">
        <f t="shared" si="125"/>
        <v>-424246.17</v>
      </c>
      <c r="AO18" s="19">
        <f t="shared" si="125"/>
        <v>-37488.600000000006</v>
      </c>
      <c r="AP18" s="19">
        <f t="shared" si="125"/>
        <v>-16454.500000000015</v>
      </c>
      <c r="AQ18" s="19">
        <f t="shared" si="125"/>
        <v>-60641.26999999999</v>
      </c>
      <c r="AR18" s="19">
        <f t="shared" si="125"/>
        <v>8124.2599999999948</v>
      </c>
      <c r="AS18" s="19">
        <f t="shared" si="125"/>
        <v>-761.50999999999476</v>
      </c>
      <c r="AT18" s="19">
        <f t="shared" si="125"/>
        <v>-28136.840000000011</v>
      </c>
      <c r="AU18" s="19">
        <f t="shared" si="125"/>
        <v>-22606.089999999997</v>
      </c>
      <c r="AV18" s="19">
        <f t="shared" si="125"/>
        <v>-3873.9199999999837</v>
      </c>
      <c r="AW18" s="19">
        <f t="shared" si="125"/>
        <v>12650.119999999995</v>
      </c>
      <c r="AX18" s="19">
        <f t="shared" ref="AX18:AY18" si="126">IF(AX69="","",SUM(AX69,AX59,AX49,AX39,AX29))</f>
        <v>15417.529999999984</v>
      </c>
      <c r="AY18" s="19">
        <f t="shared" si="126"/>
        <v>-16235.439999999988</v>
      </c>
      <c r="AZ18" s="19">
        <f t="shared" ref="AZ18:BA18" si="127">IF(AZ69="","",SUM(AZ69,AZ59,AZ49,AZ39,AZ29))</f>
        <v>-38204.540000000008</v>
      </c>
      <c r="BA18" s="19">
        <f t="shared" si="127"/>
        <v>-365810.75</v>
      </c>
      <c r="BB18" s="19">
        <f t="shared" ref="BB18:BC18" si="128">IF(BB69="","",SUM(BB69,BB59,BB49,BB39,BB29))</f>
        <v>-453443.33999999997</v>
      </c>
      <c r="BC18" s="19">
        <f t="shared" si="128"/>
        <v>-409612.06999999995</v>
      </c>
      <c r="BD18" s="19">
        <f t="shared" ref="BD18:BE18" si="129">IF(BD69="","",SUM(BD69,BD59,BD49,BD39,BD29))</f>
        <v>-376782.53</v>
      </c>
      <c r="BE18" s="19">
        <f t="shared" si="129"/>
        <v>-455878.16000000003</v>
      </c>
      <c r="BF18" s="19">
        <f t="shared" ref="BF18:BG18" si="130">IF(BF69="","",SUM(BF69,BF59,BF49,BF39,BF29))</f>
        <v>-548805.54</v>
      </c>
      <c r="BG18" s="19">
        <f t="shared" si="130"/>
        <v>-566979.27</v>
      </c>
      <c r="BH18" s="19">
        <f t="shared" ref="BH18:BI18" si="131">IF(BH69="","",SUM(BH69,BH59,BH49,BH39,BH29))</f>
        <v>-541890.65999999992</v>
      </c>
      <c r="BI18" s="19">
        <f t="shared" si="131"/>
        <v>-427002.23</v>
      </c>
      <c r="BJ18" s="19">
        <f t="shared" ref="BJ18:BK18" si="132">IF(BJ69="","",SUM(BJ69,BJ59,BJ49,BJ39,BJ29))</f>
        <v>-382627.19999999995</v>
      </c>
      <c r="BK18" s="19">
        <f t="shared" si="132"/>
        <v>-472448.94</v>
      </c>
      <c r="BL18" s="19">
        <f t="shared" ref="BL18:BM18" si="133">IF(BL69="","",SUM(BL69,BL59,BL49,BL39,BL29))</f>
        <v>-577170.47</v>
      </c>
      <c r="BM18" s="19">
        <f t="shared" si="133"/>
        <v>653060.51</v>
      </c>
      <c r="BN18" s="19">
        <f t="shared" ref="BN18:BO18" si="134">IF(BN69="","",SUM(BN69,BN59,BN49,BN39,BN29))</f>
        <v>292154.12</v>
      </c>
      <c r="BO18" s="19">
        <f t="shared" si="134"/>
        <v>272469.94</v>
      </c>
      <c r="BP18" s="19">
        <f t="shared" ref="BP18:BQ18" si="135">IF(BP69="","",SUM(BP69,BP59,BP49,BP39,BP29))</f>
        <v>267715.46999999997</v>
      </c>
      <c r="BQ18" s="19">
        <f t="shared" si="135"/>
        <v>321072.81</v>
      </c>
      <c r="BR18" s="19">
        <f t="shared" ref="BR18:BS18" si="136">IF(BR69="","",SUM(BR69,BR59,BR49,BR39,BR29))</f>
        <v>384359.52999999997</v>
      </c>
      <c r="BS18" s="19">
        <f t="shared" si="136"/>
        <v>357198.69000000006</v>
      </c>
      <c r="BT18" s="19">
        <f t="shared" ref="BT18:BU18" si="137">IF(BT69="","",SUM(BT69,BT59,BT49,BT39,BT29))</f>
        <v>346872.72</v>
      </c>
      <c r="BU18" s="19">
        <f t="shared" si="137"/>
        <v>293859.67</v>
      </c>
      <c r="BV18" s="19">
        <f t="shared" ref="BV18:BX18" si="138">IF(BV69="","",SUM(BV69,BV59,BV49,BV39,BV29))</f>
        <v>294108.01999999996</v>
      </c>
      <c r="BW18" s="19">
        <f t="shared" si="138"/>
        <v>339189.83</v>
      </c>
      <c r="BX18" s="19">
        <f t="shared" si="138"/>
        <v>374475.93</v>
      </c>
    </row>
    <row r="19" spans="1:76" s="4" customFormat="1" ht="15" customHeight="1" x14ac:dyDescent="0.25">
      <c r="A19" s="292"/>
      <c r="B19" s="16" t="s">
        <v>52</v>
      </c>
      <c r="C19" s="95"/>
      <c r="D19" s="95"/>
      <c r="E19" s="95"/>
      <c r="F19" s="19">
        <f t="shared" ref="F19:L19" si="139">IF(F70="","",SUM(F70,F60,F50,F40,F30))</f>
        <v>0</v>
      </c>
      <c r="G19" s="19">
        <f>IF(G70="","",SUM(G70,G60,G50,G40,G30))</f>
        <v>0</v>
      </c>
      <c r="H19" s="19">
        <f t="shared" si="139"/>
        <v>42385.43</v>
      </c>
      <c r="I19" s="19">
        <f t="shared" si="139"/>
        <v>557603.83999999997</v>
      </c>
      <c r="J19" s="19">
        <f t="shared" si="139"/>
        <v>676036.05</v>
      </c>
      <c r="K19" s="19">
        <f t="shared" si="139"/>
        <v>706998.16999999993</v>
      </c>
      <c r="L19" s="19">
        <f t="shared" si="139"/>
        <v>670246.85</v>
      </c>
      <c r="M19" s="19">
        <f>IF(M70="","",SUM(M70,M60,M50,M40,M30))</f>
        <v>574404.17000000004</v>
      </c>
      <c r="N19" s="19">
        <f>IF(N70="","",SUM(N70,N60,N50,N40,N30))</f>
        <v>514881.99</v>
      </c>
      <c r="O19" s="19">
        <f>IF(O70="","",SUM(O70,O60,O50,O40,O30))</f>
        <v>639874.60000000009</v>
      </c>
      <c r="P19" s="19">
        <f t="shared" si="91"/>
        <v>693023.25</v>
      </c>
      <c r="Q19" s="19">
        <f>IF(Q70="","",SUM(Q70,Q60,Q50,Q40,Q30))</f>
        <v>901933.35</v>
      </c>
      <c r="R19" s="19">
        <f t="shared" si="91"/>
        <v>837319.65</v>
      </c>
      <c r="S19" s="19">
        <f t="shared" si="91"/>
        <v>687161.57000000007</v>
      </c>
      <c r="T19" s="19">
        <f t="shared" si="91"/>
        <v>625336.1</v>
      </c>
      <c r="U19" s="19">
        <f t="shared" si="91"/>
        <v>785803.02</v>
      </c>
      <c r="V19" s="19">
        <f t="shared" si="91"/>
        <v>1008578.51</v>
      </c>
      <c r="W19" s="19">
        <f t="shared" si="91"/>
        <v>968912.67999999993</v>
      </c>
      <c r="X19" s="19">
        <f t="shared" si="91"/>
        <v>903157.96</v>
      </c>
      <c r="Y19" s="19">
        <f t="shared" si="91"/>
        <v>670586.17999999993</v>
      </c>
      <c r="Z19" s="19">
        <f t="shared" si="92"/>
        <v>691447.12999999989</v>
      </c>
      <c r="AA19" s="19">
        <f t="shared" si="91"/>
        <v>847418.84</v>
      </c>
      <c r="AB19" s="19">
        <f t="shared" si="91"/>
        <v>1031813.9400000001</v>
      </c>
      <c r="AC19" s="19">
        <f t="shared" si="91"/>
        <v>1807483.79</v>
      </c>
      <c r="AD19" s="19">
        <f t="shared" si="91"/>
        <v>2551716.2800000003</v>
      </c>
      <c r="AE19" s="19">
        <f t="shared" si="91"/>
        <v>1963309.5900000003</v>
      </c>
      <c r="AF19" s="19">
        <f t="shared" ref="AF19" si="140">IF(AF70="","",SUM(AF70,AF60,AF50,AF40,AF30))</f>
        <v>1912775.2599999998</v>
      </c>
      <c r="AG19" s="19">
        <f t="shared" ref="AG19:AW19" si="141">IF(AG70="","",SUM(AG70,AG60,AG50,AG40,AG30))</f>
        <v>2300637.39</v>
      </c>
      <c r="AH19" s="19">
        <f t="shared" si="141"/>
        <v>2917205.0700000003</v>
      </c>
      <c r="AI19" s="19">
        <f t="shared" si="141"/>
        <v>2922276.66</v>
      </c>
      <c r="AJ19" s="19">
        <f t="shared" si="141"/>
        <v>2915938.05</v>
      </c>
      <c r="AK19" s="19">
        <f t="shared" si="141"/>
        <v>2241248.8199999998</v>
      </c>
      <c r="AL19" s="19">
        <f t="shared" si="141"/>
        <v>2032298.8200000003</v>
      </c>
      <c r="AM19" s="19">
        <f t="shared" si="141"/>
        <v>2450166.2800000003</v>
      </c>
      <c r="AN19" s="19">
        <f t="shared" si="141"/>
        <v>2920950.16</v>
      </c>
      <c r="AO19" s="19">
        <f t="shared" si="141"/>
        <v>2656095.5300000003</v>
      </c>
      <c r="AP19" s="19">
        <f t="shared" si="141"/>
        <v>1296574.93</v>
      </c>
      <c r="AQ19" s="19">
        <f t="shared" si="141"/>
        <v>998447.61999999988</v>
      </c>
      <c r="AR19" s="19">
        <f t="shared" si="141"/>
        <v>1076114.93</v>
      </c>
      <c r="AS19" s="19">
        <f t="shared" si="141"/>
        <v>1282969.1499999999</v>
      </c>
      <c r="AT19" s="19">
        <f t="shared" si="141"/>
        <v>1584130.5699999998</v>
      </c>
      <c r="AU19" s="19">
        <f t="shared" si="141"/>
        <v>1538736</v>
      </c>
      <c r="AV19" s="19">
        <f t="shared" si="141"/>
        <v>1377052.06</v>
      </c>
      <c r="AW19" s="19">
        <f t="shared" si="141"/>
        <v>1094944.53</v>
      </c>
      <c r="AX19" s="19">
        <f t="shared" ref="AX19:AY19" si="142">IF(AX70="","",SUM(AX70,AX60,AX50,AX40,AX30))</f>
        <v>1054692.0499999998</v>
      </c>
      <c r="AY19" s="19">
        <f t="shared" si="142"/>
        <v>1357948.95</v>
      </c>
      <c r="AZ19" s="19">
        <f t="shared" ref="AZ19:BA19" si="143">IF(AZ70="","",SUM(AZ70,AZ60,AZ50,AZ40,AZ30))</f>
        <v>1521903.2000000002</v>
      </c>
      <c r="BA19" s="19">
        <f t="shared" si="143"/>
        <v>1330641.1400000001</v>
      </c>
      <c r="BB19" s="19">
        <f t="shared" ref="BB19:BC19" si="144">IF(BB70="","",SUM(BB70,BB60,BB50,BB40,BB30))</f>
        <v>1551366.37</v>
      </c>
      <c r="BC19" s="19">
        <f t="shared" si="144"/>
        <v>1439106.4</v>
      </c>
      <c r="BD19" s="19">
        <f t="shared" ref="BD19:BE19" si="145">IF(BD70="","",SUM(BD70,BD60,BD50,BD40,BD30))</f>
        <v>1350951.75</v>
      </c>
      <c r="BE19" s="19">
        <f t="shared" si="145"/>
        <v>1592690.57</v>
      </c>
      <c r="BF19" s="19">
        <f t="shared" ref="BF19:BG19" si="146">IF(BF70="","",SUM(BF70,BF60,BF50,BF40,BF30))</f>
        <v>1845637.24</v>
      </c>
      <c r="BG19" s="19">
        <f t="shared" si="146"/>
        <v>1928627.68</v>
      </c>
      <c r="BH19" s="19">
        <f t="shared" ref="BH19:BI19" si="147">IF(BH70="","",SUM(BH70,BH60,BH50,BH40,BH30))</f>
        <v>1857878.4</v>
      </c>
      <c r="BI19" s="19">
        <f t="shared" si="147"/>
        <v>1520529.04</v>
      </c>
      <c r="BJ19" s="19">
        <f t="shared" ref="BJ19:BK19" si="148">IF(BJ70="","",SUM(BJ70,BJ60,BJ50,BJ40,BJ30))</f>
        <v>1392901.07</v>
      </c>
      <c r="BK19" s="19">
        <f t="shared" si="148"/>
        <v>1629558.01</v>
      </c>
      <c r="BL19" s="19">
        <f t="shared" ref="BL19:BM19" si="149">IF(BL70="","",SUM(BL70,BL60,BL50,BL40,BL30))</f>
        <v>1926154.5900000003</v>
      </c>
      <c r="BM19" s="19">
        <f t="shared" si="149"/>
        <v>2605410.1399999997</v>
      </c>
      <c r="BN19" s="19">
        <f t="shared" ref="BN19:BO19" si="150">IF(BN70="","",SUM(BN70,BN60,BN50,BN40,BN30))</f>
        <v>1253945.5499999998</v>
      </c>
      <c r="BO19" s="19">
        <f t="shared" si="150"/>
        <v>1186233.73</v>
      </c>
      <c r="BP19" s="19">
        <f t="shared" ref="BP19:BQ19" si="151">IF(BP70="","",SUM(BP70,BP60,BP50,BP40,BP30))</f>
        <v>1157229.7000000002</v>
      </c>
      <c r="BQ19" s="19">
        <f t="shared" si="151"/>
        <v>1394083.43</v>
      </c>
      <c r="BR19" s="19">
        <f t="shared" ref="BR19:BS19" si="152">IF(BR70="","",SUM(BR70,BR60,BR50,BR40,BR30))</f>
        <v>1673809.1</v>
      </c>
      <c r="BS19" s="19">
        <f t="shared" si="152"/>
        <v>1556607.74</v>
      </c>
      <c r="BT19" s="19">
        <f t="shared" ref="BT19:BU19" si="153">IF(BT70="","",SUM(BT70,BT60,BT50,BT40,BT30))</f>
        <v>1516110.22</v>
      </c>
      <c r="BU19" s="19">
        <f t="shared" si="153"/>
        <v>1273616.48</v>
      </c>
      <c r="BV19" s="19">
        <f t="shared" ref="BV19:BX19" si="154">IF(BV70="","",SUM(BV70,BV60,BV50,BV40,BV30))</f>
        <v>1264502.6927266053</v>
      </c>
      <c r="BW19" s="19">
        <f t="shared" si="154"/>
        <v>1467829.2334502847</v>
      </c>
      <c r="BX19" s="19">
        <f t="shared" si="154"/>
        <v>1622615.5184633653</v>
      </c>
    </row>
    <row r="20" spans="1:76" s="4" customFormat="1" x14ac:dyDescent="0.25">
      <c r="A20" s="292"/>
      <c r="B20" s="16" t="s">
        <v>13</v>
      </c>
      <c r="C20" s="95"/>
      <c r="D20" s="95"/>
      <c r="E20" s="95"/>
      <c r="F20" s="19">
        <f t="shared" ref="F20:M21" si="155">IF(F71="","",SUM(F71,F61,F51,F41,F31))</f>
        <v>0.71203150918887492</v>
      </c>
      <c r="G20" s="19">
        <f>IF(G71="","",SUM(G71,G61,G51,G41,G31))</f>
        <v>4695.4207688607348</v>
      </c>
      <c r="H20" s="19">
        <f t="shared" si="155"/>
        <v>-2449.8598780726179</v>
      </c>
      <c r="I20" s="19">
        <f t="shared" si="155"/>
        <v>-265927.46643753978</v>
      </c>
      <c r="J20" s="19">
        <f t="shared" si="155"/>
        <v>-131169.715421392</v>
      </c>
      <c r="K20" s="19">
        <f t="shared" si="155"/>
        <v>-43957.222433609393</v>
      </c>
      <c r="L20" s="19">
        <f t="shared" si="155"/>
        <v>-122502.17361725139</v>
      </c>
      <c r="M20" s="19">
        <f t="shared" si="155"/>
        <v>-304336.2792786801</v>
      </c>
      <c r="N20" s="19">
        <f>IF(N71="","",SUM(N71,N61,N51,N41,N31))</f>
        <v>-65433.157081010191</v>
      </c>
      <c r="O20" s="19">
        <f t="shared" ref="O20:AE21" si="156">IF(O71="","",SUM(O71,O61,O51,O41,O31))</f>
        <v>32509.51562352556</v>
      </c>
      <c r="P20" s="19">
        <f t="shared" si="156"/>
        <v>167275.80315340095</v>
      </c>
      <c r="Q20" s="19">
        <f>IF(Q71="","",SUM(Q71,Q61,Q51,Q41,Q31))</f>
        <v>19136.33539476915</v>
      </c>
      <c r="R20" s="19">
        <f t="shared" si="156"/>
        <v>-110077.28450135858</v>
      </c>
      <c r="S20" s="19">
        <f t="shared" si="156"/>
        <v>-356666.29899240914</v>
      </c>
      <c r="T20" s="19">
        <f t="shared" si="156"/>
        <v>-176821.71989945308</v>
      </c>
      <c r="U20" s="19">
        <f t="shared" si="156"/>
        <v>380663.8326526123</v>
      </c>
      <c r="V20" s="19">
        <f t="shared" si="156"/>
        <v>588323.66144815541</v>
      </c>
      <c r="W20" s="19">
        <f t="shared" si="156"/>
        <v>779359.73178884923</v>
      </c>
      <c r="X20" s="19">
        <f t="shared" si="156"/>
        <v>616313.05623756989</v>
      </c>
      <c r="Y20" s="19">
        <f t="shared" si="156"/>
        <v>94294.273685406195</v>
      </c>
      <c r="Z20" s="19">
        <f t="shared" si="92"/>
        <v>217360.52228987066</v>
      </c>
      <c r="AA20" s="19">
        <f t="shared" si="156"/>
        <v>272644.01655577932</v>
      </c>
      <c r="AB20" s="19">
        <f t="shared" si="156"/>
        <v>345406.72431663051</v>
      </c>
      <c r="AC20" s="19">
        <f t="shared" si="156"/>
        <v>-612317.2176451839</v>
      </c>
      <c r="AD20" s="19">
        <f t="shared" si="156"/>
        <v>-1251083.8806012496</v>
      </c>
      <c r="AE20" s="19">
        <f t="shared" si="156"/>
        <v>-757486.76922660158</v>
      </c>
      <c r="AF20" s="19">
        <f t="shared" ref="AF20" si="157">IF(AF71="","",SUM(AF71,AF61,AF51,AF41,AF31))</f>
        <v>-440223.98143172619</v>
      </c>
      <c r="AG20" s="19">
        <f t="shared" ref="AG20:AW20" si="158">IF(AG71="","",SUM(AG71,AG61,AG51,AG41,AG31))</f>
        <v>1301972.520306122</v>
      </c>
      <c r="AH20" s="19">
        <f t="shared" si="158"/>
        <v>1607774.8329475964</v>
      </c>
      <c r="AI20" s="19">
        <f t="shared" si="158"/>
        <v>1635415.3023519127</v>
      </c>
      <c r="AJ20" s="19">
        <f t="shared" si="158"/>
        <v>479195.57575719332</v>
      </c>
      <c r="AK20" s="19">
        <f t="shared" si="158"/>
        <v>-622249.26827478828</v>
      </c>
      <c r="AL20" s="19">
        <f t="shared" si="158"/>
        <v>-338958.66069875972</v>
      </c>
      <c r="AM20" s="19">
        <f t="shared" si="158"/>
        <v>-406331.76494770299</v>
      </c>
      <c r="AN20" s="19">
        <f t="shared" si="158"/>
        <v>-374056.09149891004</v>
      </c>
      <c r="AO20" s="19">
        <f t="shared" si="158"/>
        <v>-566479.05339839845</v>
      </c>
      <c r="AP20" s="19">
        <f t="shared" si="158"/>
        <v>-384327.07923458319</v>
      </c>
      <c r="AQ20" s="19">
        <f t="shared" si="158"/>
        <v>-152113.4028808627</v>
      </c>
      <c r="AR20" s="19">
        <f t="shared" si="158"/>
        <v>-9477.251794636868</v>
      </c>
      <c r="AS20" s="19">
        <f t="shared" si="158"/>
        <v>1580383.492124341</v>
      </c>
      <c r="AT20" s="19">
        <f t="shared" si="158"/>
        <v>2091426.9537109674</v>
      </c>
      <c r="AU20" s="19">
        <f t="shared" si="158"/>
        <v>1803303.9312423691</v>
      </c>
      <c r="AV20" s="19">
        <f t="shared" si="158"/>
        <v>996794.52517879615</v>
      </c>
      <c r="AW20" s="19">
        <f t="shared" si="158"/>
        <v>-43766.218875852297</v>
      </c>
      <c r="AX20" s="19">
        <f t="shared" ref="AX20:AY20" si="159">IF(AX71="","",SUM(AX71,AX61,AX51,AX41,AX31))</f>
        <v>50400.12594651409</v>
      </c>
      <c r="AY20" s="19">
        <f t="shared" si="159"/>
        <v>24016.56868488781</v>
      </c>
      <c r="AZ20" s="19">
        <f t="shared" ref="AZ20:BA20" si="160">IF(AZ71="","",SUM(AZ71,AZ61,AZ51,AZ41,AZ31))</f>
        <v>178814.56398114111</v>
      </c>
      <c r="BA20" s="19">
        <f t="shared" si="160"/>
        <v>26285.719075333414</v>
      </c>
      <c r="BB20" s="19">
        <f t="shared" ref="BB20:BC20" si="161">IF(BB71="","",SUM(BB71,BB61,BB51,BB41,BB31))</f>
        <v>-197564.17941383313</v>
      </c>
      <c r="BC20" s="19">
        <f t="shared" si="161"/>
        <v>-199430.27954556586</v>
      </c>
      <c r="BD20" s="19">
        <f t="shared" ref="BD20:BE20" si="162">IF(BD71="","",SUM(BD71,BD61,BD51,BD41,BD31))</f>
        <v>277134.66602080304</v>
      </c>
      <c r="BE20" s="19">
        <f t="shared" si="162"/>
        <v>2918939.9378466401</v>
      </c>
      <c r="BF20" s="19">
        <f t="shared" ref="BF20:BG20" si="163">IF(BF71="","",SUM(BF71,BF61,BF51,BF41,BF31))</f>
        <v>-794597.86464667344</v>
      </c>
      <c r="BG20" s="19">
        <f t="shared" si="163"/>
        <v>-795139.81370660523</v>
      </c>
      <c r="BH20" s="19">
        <f t="shared" ref="BH20:BI20" si="164">IF(BH71="","",SUM(BH71,BH61,BH51,BH41,BH31))</f>
        <v>-1049117.7623683237</v>
      </c>
      <c r="BI20" s="19">
        <f t="shared" si="164"/>
        <v>-1145071.0055331092</v>
      </c>
      <c r="BJ20" s="19">
        <f t="shared" ref="BJ20:BK20" si="165">IF(BJ71="","",SUM(BJ71,BJ61,BJ51,BJ41,BJ31))</f>
        <v>-966208.74042999092</v>
      </c>
      <c r="BK20" s="19">
        <f t="shared" si="165"/>
        <v>-1050136.2263628328</v>
      </c>
      <c r="BL20" s="19">
        <f t="shared" ref="BL20:BM20" si="166">IF(BL71="","",SUM(BL71,BL61,BL51,BL41,BL31))</f>
        <v>-1124549.0641512664</v>
      </c>
      <c r="BM20" s="19">
        <f t="shared" si="166"/>
        <v>-2008619.9819922217</v>
      </c>
      <c r="BN20" s="19">
        <f t="shared" ref="BN20:BO20" si="167">IF(BN71="","",SUM(BN71,BN61,BN51,BN41,BN31))</f>
        <v>-652206.88294153172</v>
      </c>
      <c r="BO20" s="19">
        <f t="shared" si="167"/>
        <v>-632166.58075951529</v>
      </c>
      <c r="BP20" s="19">
        <f t="shared" ref="BP20:BQ20" si="168">IF(BP71="","",SUM(BP71,BP61,BP51,BP41,BP31))</f>
        <v>-402853.77036344318</v>
      </c>
      <c r="BQ20" s="19">
        <f t="shared" si="168"/>
        <v>631268.39487589709</v>
      </c>
      <c r="BR20" s="19">
        <f t="shared" ref="BR20:BS20" si="169">IF(BR71="","",SUM(BR71,BR61,BR51,BR41,BR31))</f>
        <v>951577.4745604574</v>
      </c>
      <c r="BS20" s="19">
        <f t="shared" si="169"/>
        <v>984391.67098095478</v>
      </c>
      <c r="BT20" s="19">
        <f t="shared" ref="BT20:BU20" si="170">IF(BT71="","",SUM(BT71,BT61,BT51,BT41,BT31))</f>
        <v>217673.12137919298</v>
      </c>
      <c r="BU20" s="19">
        <f t="shared" si="170"/>
        <v>-518086.52302948531</v>
      </c>
      <c r="BV20" s="19">
        <f t="shared" ref="BV20:BX20" si="171">IF(BV71="","",SUM(BV71,BV61,BV51,BV41,BV31))</f>
        <v>-473212.19718742103</v>
      </c>
      <c r="BW20" s="19">
        <f t="shared" si="171"/>
        <v>-398779.17197726649</v>
      </c>
      <c r="BX20" s="19">
        <f t="shared" si="171"/>
        <v>-435038.2623558531</v>
      </c>
    </row>
    <row r="21" spans="1:76" s="4" customFormat="1" x14ac:dyDescent="0.25">
      <c r="A21" s="292"/>
      <c r="B21" s="17" t="s">
        <v>8</v>
      </c>
      <c r="C21" s="95"/>
      <c r="D21" s="95"/>
      <c r="E21" s="95"/>
      <c r="F21" s="19">
        <f t="shared" si="155"/>
        <v>0</v>
      </c>
      <c r="G21" s="19">
        <f t="shared" si="155"/>
        <v>10.42</v>
      </c>
      <c r="H21" s="19">
        <f t="shared" si="155"/>
        <v>5.0299999999999994</v>
      </c>
      <c r="I21" s="19">
        <f t="shared" si="155"/>
        <v>-582.26</v>
      </c>
      <c r="J21" s="19">
        <f t="shared" si="155"/>
        <v>-855.06</v>
      </c>
      <c r="K21" s="19">
        <f t="shared" si="155"/>
        <v>-862.55</v>
      </c>
      <c r="L21" s="19">
        <f t="shared" si="155"/>
        <v>-1041.1799999999998</v>
      </c>
      <c r="M21" s="19">
        <f t="shared" si="155"/>
        <v>-1530.79</v>
      </c>
      <c r="N21" s="19">
        <f>IF(N72="","",SUM(N72,N62,N52,N42,N32))</f>
        <v>-1258.5900000000006</v>
      </c>
      <c r="O21" s="19">
        <f t="shared" si="156"/>
        <v>-1443.8799999999999</v>
      </c>
      <c r="P21" s="19">
        <f t="shared" si="156"/>
        <v>-1163.1299999999999</v>
      </c>
      <c r="Q21" s="19">
        <f t="shared" si="156"/>
        <v>-1083.47</v>
      </c>
      <c r="R21" s="19">
        <f t="shared" si="156"/>
        <v>-1000.1500000000001</v>
      </c>
      <c r="S21" s="19">
        <f t="shared" si="156"/>
        <v>-634.92999999999995</v>
      </c>
      <c r="T21" s="19">
        <f t="shared" si="156"/>
        <v>-90.31</v>
      </c>
      <c r="U21" s="19">
        <f t="shared" si="156"/>
        <v>-33.789999999999992</v>
      </c>
      <c r="V21" s="19">
        <f t="shared" si="156"/>
        <v>70.47999999999999</v>
      </c>
      <c r="W21" s="19">
        <f t="shared" si="156"/>
        <v>163.1</v>
      </c>
      <c r="X21" s="19">
        <f t="shared" si="156"/>
        <v>233.22</v>
      </c>
      <c r="Y21" s="19">
        <f t="shared" si="156"/>
        <v>424.84000000000003</v>
      </c>
      <c r="Z21" s="19">
        <f>IF(Z72="","",SUM(Z72,Z62,Z52,Z42,Z32))</f>
        <v>1480.5299999999993</v>
      </c>
      <c r="AA21" s="19">
        <f>IF(AA72="","",SUM(AA72,AA62,AA52,AA42,AA32))</f>
        <v>835.87</v>
      </c>
      <c r="AB21" s="19">
        <f t="shared" si="156"/>
        <v>702.63</v>
      </c>
      <c r="AC21" s="19">
        <f t="shared" si="156"/>
        <v>621.02</v>
      </c>
      <c r="AD21" s="19">
        <f t="shared" si="156"/>
        <v>282.43</v>
      </c>
      <c r="AE21" s="19">
        <f t="shared" si="156"/>
        <v>105.50999999999999</v>
      </c>
      <c r="AF21" s="19">
        <f t="shared" ref="AF21" si="172">IF(AF72="","",SUM(AF72,AF62,AF52,AF42,AF32))</f>
        <v>-24.899999999999991</v>
      </c>
      <c r="AG21" s="19">
        <f t="shared" ref="AG21:AW21" si="173">IF(AG72="","",SUM(AG72,AG62,AG52,AG42,AG32))</f>
        <v>142.43</v>
      </c>
      <c r="AH21" s="19">
        <f t="shared" si="173"/>
        <v>237.6</v>
      </c>
      <c r="AI21" s="19">
        <f t="shared" si="173"/>
        <v>557.42999999999995</v>
      </c>
      <c r="AJ21" s="19">
        <f t="shared" si="173"/>
        <v>535.91999999999996</v>
      </c>
      <c r="AK21" s="19">
        <f t="shared" si="173"/>
        <v>300.35000000000002</v>
      </c>
      <c r="AL21" s="19">
        <f t="shared" si="173"/>
        <v>227.64</v>
      </c>
      <c r="AM21" s="19">
        <f t="shared" si="173"/>
        <v>224.82999999999998</v>
      </c>
      <c r="AN21" s="19">
        <f t="shared" si="173"/>
        <v>46.440000000000026</v>
      </c>
      <c r="AO21" s="19">
        <f t="shared" si="173"/>
        <v>-90.289999999999992</v>
      </c>
      <c r="AP21" s="19">
        <f t="shared" si="173"/>
        <v>-440.00000000000011</v>
      </c>
      <c r="AQ21" s="19">
        <f t="shared" si="173"/>
        <v>-490.49</v>
      </c>
      <c r="AR21" s="19">
        <f t="shared" si="173"/>
        <v>-777.29</v>
      </c>
      <c r="AS21" s="19">
        <f t="shared" si="173"/>
        <v>738.84</v>
      </c>
      <c r="AT21" s="19">
        <f t="shared" si="173"/>
        <v>4560.24</v>
      </c>
      <c r="AU21" s="19">
        <f t="shared" si="173"/>
        <v>9499.7900000000009</v>
      </c>
      <c r="AV21" s="19">
        <f t="shared" si="173"/>
        <v>12902.26</v>
      </c>
      <c r="AW21" s="19">
        <f t="shared" si="173"/>
        <v>15702.85</v>
      </c>
      <c r="AX21" s="19">
        <f t="shared" ref="AX21:AY21" si="174">IF(AX72="","",SUM(AX72,AX62,AX52,AX42,AX32))</f>
        <v>19686.440000000002</v>
      </c>
      <c r="AY21" s="19">
        <f t="shared" si="174"/>
        <v>21314.78</v>
      </c>
      <c r="AZ21" s="19">
        <f t="shared" ref="AZ21:BA21" si="175">IF(AZ72="","",SUM(AZ72,AZ62,AZ52,AZ42,AZ32))</f>
        <v>22475.1</v>
      </c>
      <c r="BA21" s="19">
        <f t="shared" si="175"/>
        <v>21751.33</v>
      </c>
      <c r="BB21" s="19">
        <f t="shared" ref="BB21:BC21" si="176">IF(BB72="","",SUM(BB72,BB62,BB52,BB42,BB32))</f>
        <v>19769.699999999997</v>
      </c>
      <c r="BC21" s="19">
        <f t="shared" si="176"/>
        <v>18219.730000000003</v>
      </c>
      <c r="BD21" s="19">
        <f t="shared" ref="BD21:BE21" si="177">IF(BD72="","",SUM(BD72,BD62,BD52,BD42,BD32))</f>
        <v>18129.25</v>
      </c>
      <c r="BE21" s="19">
        <f t="shared" si="177"/>
        <v>29515.460000000003</v>
      </c>
      <c r="BF21" s="19">
        <f t="shared" ref="BF21:BG21" si="178">IF(BF72="","",SUM(BF72,BF62,BF52,BF42,BF32))</f>
        <v>23818</v>
      </c>
      <c r="BG21" s="19">
        <f t="shared" si="178"/>
        <v>18001.809999999998</v>
      </c>
      <c r="BH21" s="19">
        <f t="shared" ref="BH21:BI21" si="179">IF(BH72="","",SUM(BH72,BH62,BH52,BH42,BH32))</f>
        <v>10793.91</v>
      </c>
      <c r="BI21" s="19">
        <f t="shared" si="179"/>
        <v>3580.88</v>
      </c>
      <c r="BJ21" s="19">
        <f t="shared" ref="BJ21:BK21" si="180">IF(BJ72="","",SUM(BJ72,BJ62,BJ52,BJ42,BJ32))</f>
        <v>-2623.5999999999995</v>
      </c>
      <c r="BK21" s="19">
        <f t="shared" si="180"/>
        <v>-9669.65</v>
      </c>
      <c r="BL21" s="19">
        <f t="shared" ref="BL21:BM21" si="181">IF(BL72="","",SUM(BL72,BL62,BL52,BL42,BL32))</f>
        <v>-17045</v>
      </c>
      <c r="BM21" s="19">
        <f t="shared" si="181"/>
        <v>-22880.59</v>
      </c>
      <c r="BN21" s="19">
        <f t="shared" ref="BN21:BO21" si="182">IF(BN72="","",SUM(BN72,BN62,BN52,BN42,BN32))</f>
        <v>-24831.9</v>
      </c>
      <c r="BO21" s="19">
        <f t="shared" si="182"/>
        <v>-26921.59</v>
      </c>
      <c r="BP21" s="19">
        <f t="shared" ref="BP21:BQ21" si="183">IF(BP72="","",SUM(BP72,BP62,BP52,BP42,BP32))</f>
        <v>-27613.25</v>
      </c>
      <c r="BQ21" s="19">
        <f t="shared" si="183"/>
        <v>-23650.09</v>
      </c>
      <c r="BR21" s="19">
        <f t="shared" ref="BR21:BS21" si="184">IF(BR72="","",SUM(BR72,BR62,BR52,BR42,BR32))</f>
        <v>-17668.27</v>
      </c>
      <c r="BS21" s="19">
        <f t="shared" si="184"/>
        <v>-11474.51</v>
      </c>
      <c r="BT21" s="19">
        <f t="shared" ref="BT21:BU21" si="185">IF(BT72="","",SUM(BT72,BT62,BT52,BT42,BT32))</f>
        <v>-8495.9699999999993</v>
      </c>
      <c r="BU21" s="19">
        <f t="shared" si="185"/>
        <v>-8870.27</v>
      </c>
      <c r="BV21" s="118">
        <f t="shared" ref="BV21:BX21" si="186">IF(BV72="","",SUM(BV72,BV62,BV52,BV42,BV32))</f>
        <v>-9644.23</v>
      </c>
      <c r="BW21" s="118">
        <f t="shared" si="186"/>
        <v>-9929.2799999999988</v>
      </c>
      <c r="BX21" s="118">
        <f t="shared" si="186"/>
        <v>-10219.51</v>
      </c>
    </row>
    <row r="22" spans="1:76" s="4" customFormat="1" x14ac:dyDescent="0.25">
      <c r="A22" s="292"/>
      <c r="B22" s="17" t="s">
        <v>27</v>
      </c>
      <c r="C22" s="95"/>
      <c r="D22" s="95"/>
      <c r="E22" s="94"/>
      <c r="F22" s="14">
        <f>IF(F21="","",E22+F21)</f>
        <v>0</v>
      </c>
      <c r="G22" s="14">
        <f>IF(G21="","",F22+G21)</f>
        <v>10.42</v>
      </c>
      <c r="H22" s="14">
        <f t="shared" ref="H22:AF22" si="187">IF(H21="","",G22+H21)</f>
        <v>15.45</v>
      </c>
      <c r="I22" s="14">
        <f t="shared" si="187"/>
        <v>-566.80999999999995</v>
      </c>
      <c r="J22" s="14">
        <f t="shared" si="187"/>
        <v>-1421.87</v>
      </c>
      <c r="K22" s="14">
        <f t="shared" si="187"/>
        <v>-2284.42</v>
      </c>
      <c r="L22" s="14">
        <f t="shared" si="187"/>
        <v>-3325.6</v>
      </c>
      <c r="M22" s="14">
        <f t="shared" si="187"/>
        <v>-4856.3899999999994</v>
      </c>
      <c r="N22" s="14">
        <f t="shared" si="187"/>
        <v>-6114.98</v>
      </c>
      <c r="O22" s="14">
        <f t="shared" si="187"/>
        <v>-7558.86</v>
      </c>
      <c r="P22" s="14">
        <f t="shared" si="187"/>
        <v>-8721.99</v>
      </c>
      <c r="Q22" s="14">
        <f t="shared" si="187"/>
        <v>-9805.4599999999991</v>
      </c>
      <c r="R22" s="14">
        <f t="shared" si="187"/>
        <v>-10805.609999999999</v>
      </c>
      <c r="S22" s="14">
        <f t="shared" si="187"/>
        <v>-11440.539999999999</v>
      </c>
      <c r="T22" s="14">
        <f t="shared" si="187"/>
        <v>-11530.849999999999</v>
      </c>
      <c r="U22" s="14">
        <f t="shared" si="187"/>
        <v>-11564.64</v>
      </c>
      <c r="V22" s="14">
        <f t="shared" si="187"/>
        <v>-11494.16</v>
      </c>
      <c r="W22" s="14">
        <f t="shared" si="187"/>
        <v>-11331.06</v>
      </c>
      <c r="X22" s="14">
        <f t="shared" si="187"/>
        <v>-11097.84</v>
      </c>
      <c r="Y22" s="14">
        <f t="shared" si="187"/>
        <v>-10673</v>
      </c>
      <c r="Z22" s="14">
        <f>IF(Z21="","",Y22+Z21)</f>
        <v>-9192.4700000000012</v>
      </c>
      <c r="AA22" s="14">
        <f>IF(AA21="","",Z22+AA21)</f>
        <v>-8356.6</v>
      </c>
      <c r="AB22" s="14">
        <f t="shared" si="187"/>
        <v>-7653.97</v>
      </c>
      <c r="AC22" s="14">
        <f t="shared" si="187"/>
        <v>-7032.9500000000007</v>
      </c>
      <c r="AD22" s="14">
        <f t="shared" si="187"/>
        <v>-6750.52</v>
      </c>
      <c r="AE22" s="14">
        <f t="shared" si="187"/>
        <v>-6645.01</v>
      </c>
      <c r="AF22" s="14">
        <f t="shared" si="187"/>
        <v>-6669.91</v>
      </c>
      <c r="AG22" s="14">
        <f t="shared" ref="AG22" si="188">IF(AG21="","",AF22+AG21)</f>
        <v>-6527.48</v>
      </c>
      <c r="AH22" s="14">
        <f t="shared" ref="AH22" si="189">IF(AH21="","",AG22+AH21)</f>
        <v>-6289.8799999999992</v>
      </c>
      <c r="AI22" s="14">
        <f t="shared" ref="AI22" si="190">IF(AI21="","",AH22+AI21)</f>
        <v>-5732.4499999999989</v>
      </c>
      <c r="AJ22" s="14">
        <f t="shared" ref="AJ22" si="191">IF(AJ21="","",AI22+AJ21)</f>
        <v>-5196.5299999999988</v>
      </c>
      <c r="AK22" s="14">
        <f t="shared" ref="AK22" si="192">IF(AK21="","",AJ22+AK21)</f>
        <v>-4896.1799999999985</v>
      </c>
      <c r="AL22" s="14">
        <f t="shared" ref="AL22" si="193">IF(AL21="","",AK22+AL21)</f>
        <v>-4668.5399999999981</v>
      </c>
      <c r="AM22" s="14">
        <f t="shared" ref="AM22" si="194">IF(AM21="","",AL22+AM21)</f>
        <v>-4443.7099999999982</v>
      </c>
      <c r="AN22" s="14">
        <f t="shared" ref="AN22" si="195">IF(AN21="","",AM22+AN21)</f>
        <v>-4397.2699999999986</v>
      </c>
      <c r="AO22" s="14">
        <f t="shared" ref="AO22" si="196">IF(AO21="","",AN22+AO21)</f>
        <v>-4487.5599999999986</v>
      </c>
      <c r="AP22" s="14">
        <f t="shared" ref="AP22" si="197">IF(AP21="","",AO22+AP21)</f>
        <v>-4927.5599999999986</v>
      </c>
      <c r="AQ22" s="14">
        <f t="shared" ref="AQ22" si="198">IF(AQ21="","",AP22+AQ21)</f>
        <v>-5418.0499999999984</v>
      </c>
      <c r="AR22" s="14">
        <f t="shared" ref="AR22" si="199">IF(AR21="","",AQ22+AR21)</f>
        <v>-6195.3399999999983</v>
      </c>
      <c r="AS22" s="14">
        <f t="shared" ref="AS22" si="200">IF(AS21="","",AR22+AS21)</f>
        <v>-5456.4999999999982</v>
      </c>
      <c r="AT22" s="14">
        <f t="shared" ref="AT22" si="201">IF(AT21="","",AS22+AT21)</f>
        <v>-896.2599999999984</v>
      </c>
      <c r="AU22" s="14">
        <f t="shared" ref="AU22" si="202">IF(AU21="","",AT22+AU21)</f>
        <v>8603.5300000000025</v>
      </c>
      <c r="AV22" s="14">
        <f t="shared" ref="AV22" si="203">IF(AV21="","",AU22+AV21)</f>
        <v>21505.79</v>
      </c>
      <c r="AW22" s="14">
        <f t="shared" ref="AW22:BU22" si="204">IF(AW21="","",AV22+AW21)</f>
        <v>37208.639999999999</v>
      </c>
      <c r="AX22" s="14">
        <f t="shared" si="204"/>
        <v>56895.08</v>
      </c>
      <c r="AY22" s="14">
        <f t="shared" si="204"/>
        <v>78209.86</v>
      </c>
      <c r="AZ22" s="14">
        <f t="shared" si="204"/>
        <v>100684.95999999999</v>
      </c>
      <c r="BA22" s="14">
        <f t="shared" si="204"/>
        <v>122436.29</v>
      </c>
      <c r="BB22" s="14">
        <f t="shared" si="204"/>
        <v>142205.99</v>
      </c>
      <c r="BC22" s="14">
        <f t="shared" si="204"/>
        <v>160425.72</v>
      </c>
      <c r="BD22" s="14">
        <f t="shared" si="204"/>
        <v>178554.97</v>
      </c>
      <c r="BE22" s="14">
        <f t="shared" si="204"/>
        <v>208070.43</v>
      </c>
      <c r="BF22" s="14">
        <f t="shared" si="204"/>
        <v>231888.43</v>
      </c>
      <c r="BG22" s="14">
        <f t="shared" si="204"/>
        <v>249890.24</v>
      </c>
      <c r="BH22" s="14">
        <f t="shared" si="204"/>
        <v>260684.15</v>
      </c>
      <c r="BI22" s="14">
        <f t="shared" si="204"/>
        <v>264265.02999999997</v>
      </c>
      <c r="BJ22" s="14">
        <f t="shared" si="204"/>
        <v>261641.42999999996</v>
      </c>
      <c r="BK22" s="14">
        <f t="shared" si="204"/>
        <v>251971.77999999997</v>
      </c>
      <c r="BL22" s="14">
        <f t="shared" si="204"/>
        <v>234926.77999999997</v>
      </c>
      <c r="BM22" s="14">
        <f t="shared" si="204"/>
        <v>212046.18999999997</v>
      </c>
      <c r="BN22" s="14">
        <f t="shared" si="204"/>
        <v>187214.28999999998</v>
      </c>
      <c r="BO22" s="14">
        <f t="shared" si="204"/>
        <v>160292.69999999998</v>
      </c>
      <c r="BP22" s="14">
        <f t="shared" si="204"/>
        <v>132679.44999999998</v>
      </c>
      <c r="BQ22" s="14">
        <f t="shared" si="204"/>
        <v>109029.35999999999</v>
      </c>
      <c r="BR22" s="14">
        <f t="shared" si="204"/>
        <v>91361.089999999982</v>
      </c>
      <c r="BS22" s="14">
        <f t="shared" si="204"/>
        <v>79886.579999999987</v>
      </c>
      <c r="BT22" s="14">
        <f t="shared" si="204"/>
        <v>71390.609999999986</v>
      </c>
      <c r="BU22" s="14">
        <f t="shared" si="204"/>
        <v>62520.339999999982</v>
      </c>
      <c r="BV22" s="14">
        <f t="shared" ref="BV22" si="205">IF(BV21="","",BU22+BV21)</f>
        <v>52876.109999999986</v>
      </c>
      <c r="BW22" s="14">
        <f t="shared" ref="BW22" si="206">IF(BW21="","",BV22+BW21)</f>
        <v>42946.829999999987</v>
      </c>
      <c r="BX22" s="14">
        <f t="shared" ref="BX22" si="207">IF(BX21="","",BW22+BX21)</f>
        <v>32727.319999999985</v>
      </c>
    </row>
    <row r="23" spans="1:76" s="4" customFormat="1" x14ac:dyDescent="0.25">
      <c r="A23" s="292"/>
      <c r="B23" s="16" t="s">
        <v>14</v>
      </c>
      <c r="C23" s="95"/>
      <c r="D23" s="95"/>
      <c r="E23" s="95"/>
      <c r="F23" s="19">
        <f t="shared" ref="F23:AE24" si="208">IF(F73="","",SUM(F73,F63,F53,F43,F33))</f>
        <v>0.71203150918887492</v>
      </c>
      <c r="G23" s="19">
        <f t="shared" si="208"/>
        <v>4705.8407688607349</v>
      </c>
      <c r="H23" s="19">
        <f t="shared" si="208"/>
        <v>-2444.8298780726182</v>
      </c>
      <c r="I23" s="19">
        <f t="shared" si="208"/>
        <v>-266509.72643753979</v>
      </c>
      <c r="J23" s="19">
        <f t="shared" si="208"/>
        <v>-132024.775421392</v>
      </c>
      <c r="K23" s="19">
        <f t="shared" si="208"/>
        <v>-44819.772433609396</v>
      </c>
      <c r="L23" s="19">
        <f t="shared" si="208"/>
        <v>-123543.3536172514</v>
      </c>
      <c r="M23" s="19">
        <f t="shared" si="208"/>
        <v>-305867.06927868014</v>
      </c>
      <c r="N23" s="19">
        <f t="shared" si="208"/>
        <v>-66691.747081010195</v>
      </c>
      <c r="O23" s="19">
        <f>IF(O73="","",SUM(O73,O63,O53,O43,O33))</f>
        <v>31065.635623525563</v>
      </c>
      <c r="P23" s="19">
        <f t="shared" si="208"/>
        <v>166112.67315340095</v>
      </c>
      <c r="Q23" s="19">
        <f t="shared" si="208"/>
        <v>18052.865394769135</v>
      </c>
      <c r="R23" s="19">
        <f t="shared" si="208"/>
        <v>-111077.43450135857</v>
      </c>
      <c r="S23" s="19">
        <f t="shared" si="208"/>
        <v>-357301.22899240913</v>
      </c>
      <c r="T23" s="19">
        <f t="shared" si="208"/>
        <v>-176912.02989945305</v>
      </c>
      <c r="U23" s="19">
        <f t="shared" si="208"/>
        <v>380630.04265261232</v>
      </c>
      <c r="V23" s="19">
        <f t="shared" si="208"/>
        <v>588394.14144815551</v>
      </c>
      <c r="W23" s="19">
        <f t="shared" si="208"/>
        <v>779522.83178884932</v>
      </c>
      <c r="X23" s="19">
        <f t="shared" si="208"/>
        <v>616546.27623756987</v>
      </c>
      <c r="Y23" s="19">
        <f t="shared" si="208"/>
        <v>94719.113685406206</v>
      </c>
      <c r="Z23" s="19">
        <f>IF(Z73="","",SUM(Z73,Z63,Z53,Z43,Z33))</f>
        <v>218841.05228987065</v>
      </c>
      <c r="AA23" s="19">
        <f t="shared" si="208"/>
        <v>273479.88655577932</v>
      </c>
      <c r="AB23" s="19">
        <f t="shared" si="208"/>
        <v>346109.35431663052</v>
      </c>
      <c r="AC23" s="19">
        <f t="shared" si="208"/>
        <v>-611696.19764518389</v>
      </c>
      <c r="AD23" s="19">
        <f t="shared" si="208"/>
        <v>-1250801.4506012495</v>
      </c>
      <c r="AE23" s="19">
        <f t="shared" si="208"/>
        <v>-757381.25922660169</v>
      </c>
      <c r="AF23" s="19">
        <f t="shared" ref="AF23" si="209">IF(AF73="","",SUM(AF73,AF63,AF53,AF43,AF33))</f>
        <v>-440248.88143172616</v>
      </c>
      <c r="AG23" s="19">
        <f t="shared" ref="AG23:AW23" si="210">IF(AG73="","",SUM(AG73,AG63,AG53,AG43,AG33))</f>
        <v>1302114.9503061222</v>
      </c>
      <c r="AH23" s="19">
        <f t="shared" si="210"/>
        <v>1608012.4329475963</v>
      </c>
      <c r="AI23" s="19">
        <f t="shared" si="210"/>
        <v>1635972.7323519127</v>
      </c>
      <c r="AJ23" s="19">
        <f t="shared" si="210"/>
        <v>479731.4957571933</v>
      </c>
      <c r="AK23" s="19">
        <f t="shared" si="210"/>
        <v>-621948.91827478819</v>
      </c>
      <c r="AL23" s="19">
        <f t="shared" si="210"/>
        <v>-338731.02069875965</v>
      </c>
      <c r="AM23" s="19">
        <f t="shared" si="210"/>
        <v>-406106.93494770303</v>
      </c>
      <c r="AN23" s="19">
        <f t="shared" si="210"/>
        <v>-374009.65149891004</v>
      </c>
      <c r="AO23" s="19">
        <f t="shared" si="210"/>
        <v>-566569.34339839849</v>
      </c>
      <c r="AP23" s="19">
        <f t="shared" si="210"/>
        <v>-384767.07923458319</v>
      </c>
      <c r="AQ23" s="19">
        <f t="shared" si="210"/>
        <v>-152603.89288086267</v>
      </c>
      <c r="AR23" s="19">
        <f t="shared" si="210"/>
        <v>-10254.541794636869</v>
      </c>
      <c r="AS23" s="19">
        <f t="shared" si="210"/>
        <v>1581122.3321243408</v>
      </c>
      <c r="AT23" s="19">
        <f t="shared" si="210"/>
        <v>2095987.1937109674</v>
      </c>
      <c r="AU23" s="19">
        <f t="shared" si="210"/>
        <v>1812803.7212423692</v>
      </c>
      <c r="AV23" s="19">
        <f t="shared" si="210"/>
        <v>1009696.7851787962</v>
      </c>
      <c r="AW23" s="19">
        <f t="shared" si="210"/>
        <v>-28063.368875852291</v>
      </c>
      <c r="AX23" s="19">
        <f t="shared" ref="AX23:AY23" si="211">IF(AX73="","",SUM(AX73,AX63,AX53,AX43,AX33))</f>
        <v>70086.565946514078</v>
      </c>
      <c r="AY23" s="19">
        <f t="shared" si="211"/>
        <v>45331.348684887816</v>
      </c>
      <c r="AZ23" s="19">
        <f t="shared" ref="AZ23:BA23" si="212">IF(AZ73="","",SUM(AZ73,AZ63,AZ53,AZ43,AZ33))</f>
        <v>201289.66398114112</v>
      </c>
      <c r="BA23" s="19">
        <f t="shared" si="212"/>
        <v>48037.049075333402</v>
      </c>
      <c r="BB23" s="19">
        <f t="shared" ref="BB23:BC23" si="213">IF(BB73="","",SUM(BB73,BB63,BB53,BB43,BB33))</f>
        <v>-177794.47941383312</v>
      </c>
      <c r="BC23" s="19">
        <f t="shared" si="213"/>
        <v>-181210.54954556585</v>
      </c>
      <c r="BD23" s="19">
        <f t="shared" ref="BD23:BE23" si="214">IF(BD73="","",SUM(BD73,BD63,BD53,BD43,BD33))</f>
        <v>295263.91602080304</v>
      </c>
      <c r="BE23" s="19">
        <f t="shared" si="214"/>
        <v>2948455.3978466401</v>
      </c>
      <c r="BF23" s="19">
        <f t="shared" ref="BF23:BG23" si="215">IF(BF73="","",SUM(BF73,BF63,BF53,BF43,BF33))</f>
        <v>-770779.86464667344</v>
      </c>
      <c r="BG23" s="19">
        <f t="shared" si="215"/>
        <v>-777138.00370660529</v>
      </c>
      <c r="BH23" s="19">
        <f t="shared" ref="BH23:BI23" si="216">IF(BH73="","",SUM(BH73,BH63,BH53,BH43,BH33))</f>
        <v>-1038323.8523683236</v>
      </c>
      <c r="BI23" s="19">
        <f t="shared" si="216"/>
        <v>-1141490.1255331093</v>
      </c>
      <c r="BJ23" s="19">
        <f t="shared" ref="BJ23:BK23" si="217">IF(BJ73="","",SUM(BJ73,BJ63,BJ53,BJ43,BJ33))</f>
        <v>-968832.34042999102</v>
      </c>
      <c r="BK23" s="19">
        <f t="shared" si="217"/>
        <v>-1059805.876362833</v>
      </c>
      <c r="BL23" s="19">
        <f t="shared" ref="BL23:BM23" si="218">IF(BL73="","",SUM(BL73,BL63,BL53,BL43,BL33))</f>
        <v>-1141594.0641512664</v>
      </c>
      <c r="BM23" s="19">
        <f t="shared" si="218"/>
        <v>-2031500.5719922218</v>
      </c>
      <c r="BN23" s="19">
        <f t="shared" ref="BN23:BO23" si="219">IF(BN73="","",SUM(BN73,BN63,BN53,BN43,BN33))</f>
        <v>-677038.78294153174</v>
      </c>
      <c r="BO23" s="19">
        <f t="shared" si="219"/>
        <v>-659088.17075951537</v>
      </c>
      <c r="BP23" s="19">
        <f t="shared" ref="BP23:BQ23" si="220">IF(BP73="","",SUM(BP73,BP63,BP53,BP43,BP33))</f>
        <v>-430467.02036344318</v>
      </c>
      <c r="BQ23" s="19">
        <f t="shared" si="220"/>
        <v>607618.30487589701</v>
      </c>
      <c r="BR23" s="19">
        <f t="shared" ref="BR23:BS23" si="221">IF(BR73="","",SUM(BR73,BR63,BR53,BR43,BR33))</f>
        <v>933909.20456045738</v>
      </c>
      <c r="BS23" s="19">
        <f t="shared" si="221"/>
        <v>972917.16098095488</v>
      </c>
      <c r="BT23" s="19">
        <f t="shared" ref="BT23:BU23" si="222">IF(BT73="","",SUM(BT73,BT63,BT53,BT43,BT33))</f>
        <v>209177.15137919295</v>
      </c>
      <c r="BU23" s="19">
        <f t="shared" si="222"/>
        <v>-526956.79302948527</v>
      </c>
      <c r="BV23" s="19">
        <f t="shared" ref="BV23:BX23" si="223">IF(BV73="","",SUM(BV73,BV63,BV53,BV43,BV33))</f>
        <v>-482856.42718742095</v>
      </c>
      <c r="BW23" s="19">
        <f t="shared" si="223"/>
        <v>-408708.45197726646</v>
      </c>
      <c r="BX23" s="19">
        <f t="shared" si="223"/>
        <v>-445257.77235585311</v>
      </c>
    </row>
    <row r="24" spans="1:76" s="4" customFormat="1" x14ac:dyDescent="0.25">
      <c r="A24" s="292"/>
      <c r="B24" s="18" t="s">
        <v>2</v>
      </c>
      <c r="C24" s="95"/>
      <c r="D24" s="95"/>
      <c r="E24" s="95"/>
      <c r="F24" s="19">
        <f>IF(F74="","",SUM(F74,F64,F54,F44,F34))</f>
        <v>0.71203150918887492</v>
      </c>
      <c r="G24" s="19">
        <f t="shared" si="208"/>
        <v>4706.5528003699237</v>
      </c>
      <c r="H24" s="19">
        <f t="shared" si="208"/>
        <v>2261.7229222973056</v>
      </c>
      <c r="I24" s="19">
        <f t="shared" si="208"/>
        <v>-264248.00351524254</v>
      </c>
      <c r="J24" s="19">
        <f t="shared" si="208"/>
        <v>-396272.77893663448</v>
      </c>
      <c r="K24" s="19">
        <f t="shared" si="208"/>
        <v>-441092.55137024395</v>
      </c>
      <c r="L24" s="19">
        <f t="shared" si="208"/>
        <v>-564635.90498749528</v>
      </c>
      <c r="M24" s="19">
        <f t="shared" si="208"/>
        <v>-870502.97426617541</v>
      </c>
      <c r="N24" s="19">
        <f t="shared" si="208"/>
        <v>-937194.72134718567</v>
      </c>
      <c r="O24" s="19">
        <f>IF(O74="","",SUM(O74,O64,O54,O44,O34))</f>
        <v>-906129.08572366007</v>
      </c>
      <c r="P24" s="19">
        <f t="shared" si="208"/>
        <v>-740016.41257025907</v>
      </c>
      <c r="Q24" s="19">
        <f t="shared" si="208"/>
        <v>-525409.32717548998</v>
      </c>
      <c r="R24" s="19">
        <f t="shared" si="208"/>
        <v>-455212.61167684849</v>
      </c>
      <c r="S24" s="19">
        <f t="shared" si="208"/>
        <v>-662871.82066925766</v>
      </c>
      <c r="T24" s="19">
        <f t="shared" si="208"/>
        <v>-703421.63056871074</v>
      </c>
      <c r="U24" s="19">
        <f t="shared" si="208"/>
        <v>-151579.36791609845</v>
      </c>
      <c r="V24" s="19">
        <f t="shared" si="208"/>
        <v>653572.59353205701</v>
      </c>
      <c r="W24" s="19">
        <f t="shared" si="208"/>
        <v>1642210.4353209063</v>
      </c>
      <c r="X24" s="19">
        <f t="shared" si="208"/>
        <v>2454712.3715584762</v>
      </c>
      <c r="Y24" s="19">
        <f t="shared" si="208"/>
        <v>2696939.4152438822</v>
      </c>
      <c r="Z24" s="19">
        <f>IF(Z74="","",SUM(Z74,Z64,Z54,Z44,Z34))</f>
        <v>3067186.4875337528</v>
      </c>
      <c r="AA24" s="19">
        <f t="shared" si="208"/>
        <v>3524046.4940895322</v>
      </c>
      <c r="AB24" s="19">
        <f t="shared" si="208"/>
        <v>4090952.8684061626</v>
      </c>
      <c r="AC24" s="19">
        <f t="shared" si="208"/>
        <v>3209837.7007609787</v>
      </c>
      <c r="AD24" s="19">
        <f t="shared" si="208"/>
        <v>1586455.3201597293</v>
      </c>
      <c r="AE24" s="19">
        <f t="shared" si="208"/>
        <v>562517.05093312752</v>
      </c>
      <c r="AF24" s="19">
        <f t="shared" ref="AF24" si="224">IF(AF74="","",SUM(AF74,AF64,AF54,AF44,AF34))</f>
        <v>-133210.95049859863</v>
      </c>
      <c r="AG24" s="19">
        <f t="shared" ref="AG24:AW24" si="225">IF(AG74="","",SUM(AG74,AG64,AG54,AG44,AG34))</f>
        <v>847651.22980752343</v>
      </c>
      <c r="AH24" s="19">
        <f t="shared" si="225"/>
        <v>2043353.2127551197</v>
      </c>
      <c r="AI24" s="19">
        <f t="shared" si="225"/>
        <v>3261968.6851070323</v>
      </c>
      <c r="AJ24" s="19">
        <f t="shared" si="225"/>
        <v>3328657.2308642259</v>
      </c>
      <c r="AK24" s="19">
        <f t="shared" si="225"/>
        <v>2403212.0525894375</v>
      </c>
      <c r="AL24" s="19">
        <f t="shared" si="225"/>
        <v>1783212.1718906779</v>
      </c>
      <c r="AM24" s="19">
        <f t="shared" si="225"/>
        <v>1035985.2469429747</v>
      </c>
      <c r="AN24" s="19">
        <f t="shared" si="225"/>
        <v>237729.42544406466</v>
      </c>
      <c r="AO24" s="19">
        <f t="shared" si="225"/>
        <v>-366328.51795433403</v>
      </c>
      <c r="AP24" s="19">
        <f t="shared" si="225"/>
        <v>-767550.09718891722</v>
      </c>
      <c r="AQ24" s="19">
        <f t="shared" si="225"/>
        <v>-980795.26006977982</v>
      </c>
      <c r="AR24" s="19">
        <f t="shared" si="225"/>
        <v>-982925.54186441668</v>
      </c>
      <c r="AS24" s="19">
        <f t="shared" si="225"/>
        <v>597435.28025992424</v>
      </c>
      <c r="AT24" s="19">
        <f t="shared" si="225"/>
        <v>2665285.6339708916</v>
      </c>
      <c r="AU24" s="19">
        <f t="shared" si="225"/>
        <v>4455483.2652132604</v>
      </c>
      <c r="AV24" s="19">
        <f t="shared" si="225"/>
        <v>5461306.1303920569</v>
      </c>
      <c r="AW24" s="19">
        <f t="shared" si="225"/>
        <v>5445892.8815162042</v>
      </c>
      <c r="AX24" s="19">
        <f t="shared" ref="AX24:AY24" si="226">IF(AX74="","",SUM(AX74,AX64,AX54,AX44,AX34))</f>
        <v>5531396.9774627183</v>
      </c>
      <c r="AY24" s="19">
        <f t="shared" si="226"/>
        <v>5560492.8861476071</v>
      </c>
      <c r="AZ24" s="19">
        <f t="shared" ref="AZ24:BA24" si="227">IF(AZ74="","",SUM(AZ74,AZ64,AZ54,AZ44,AZ34))</f>
        <v>5723578.0101287477</v>
      </c>
      <c r="BA24" s="19">
        <f t="shared" si="227"/>
        <v>5405804.3092040811</v>
      </c>
      <c r="BB24" s="19">
        <f t="shared" ref="BB24:BC24" si="228">IF(BB74="","",SUM(BB74,BB64,BB54,BB44,BB34))</f>
        <v>4774566.4897902478</v>
      </c>
      <c r="BC24" s="19">
        <f t="shared" si="228"/>
        <v>4183743.8702446818</v>
      </c>
      <c r="BD24" s="19">
        <f t="shared" ref="BD24:BE24" si="229">IF(BD74="","",SUM(BD74,BD64,BD54,BD44,BD34))</f>
        <v>4102225.2562654852</v>
      </c>
      <c r="BE24" s="19">
        <f t="shared" si="229"/>
        <v>6594802.4941121247</v>
      </c>
      <c r="BF24" s="19">
        <f t="shared" ref="BF24:BG24" si="230">IF(BF74="","",SUM(BF74,BF64,BF54,BF44,BF34))</f>
        <v>5275217.0894654505</v>
      </c>
      <c r="BG24" s="19">
        <f t="shared" si="230"/>
        <v>3931099.8157588458</v>
      </c>
      <c r="BH24" s="19">
        <f t="shared" ref="BH24:BI24" si="231">IF(BH74="","",SUM(BH74,BH64,BH54,BH44,BH34))</f>
        <v>2350885.3033905225</v>
      </c>
      <c r="BI24" s="19">
        <f t="shared" si="231"/>
        <v>782392.94785741309</v>
      </c>
      <c r="BJ24" s="19">
        <f t="shared" ref="BJ24:BK24" si="232">IF(BJ74="","",SUM(BJ74,BJ64,BJ54,BJ44,BJ34))</f>
        <v>-569066.592572578</v>
      </c>
      <c r="BK24" s="19">
        <f t="shared" si="232"/>
        <v>-2101321.4089354109</v>
      </c>
      <c r="BL24" s="19">
        <f t="shared" ref="BL24:BM24" si="233">IF(BL74="","",SUM(BL74,BL64,BL54,BL44,BL34))</f>
        <v>-3820085.9430866777</v>
      </c>
      <c r="BM24" s="19">
        <f t="shared" si="233"/>
        <v>-5129042.2195926867</v>
      </c>
      <c r="BN24" s="19">
        <f t="shared" ref="BN24:BO24" si="234">IF(BN74="","",SUM(BN74,BN64,BN54,BN44,BN34))</f>
        <v>-5513926.882534219</v>
      </c>
      <c r="BO24" s="19">
        <f t="shared" si="234"/>
        <v>-5900545.1132937334</v>
      </c>
      <c r="BP24" s="19">
        <f t="shared" ref="BP24:BQ24" si="235">IF(BP74="","",SUM(BP74,BP64,BP54,BP44,BP34))</f>
        <v>-6063296.6636571772</v>
      </c>
      <c r="BQ24" s="19">
        <f t="shared" si="235"/>
        <v>-5134605.5487812795</v>
      </c>
      <c r="BR24" s="19">
        <f t="shared" ref="BR24:BS24" si="236">IF(BR74="","",SUM(BR74,BR64,BR54,BR44,BR34))</f>
        <v>-3816336.8142208224</v>
      </c>
      <c r="BS24" s="19">
        <f t="shared" si="236"/>
        <v>-2486220.9632398672</v>
      </c>
      <c r="BT24" s="19">
        <f t="shared" ref="BT24:BU24" si="237">IF(BT74="","",SUM(BT74,BT64,BT54,BT44,BT34))</f>
        <v>-1930171.0918606746</v>
      </c>
      <c r="BU24" s="19">
        <f t="shared" si="237"/>
        <v>-2163268.2148901601</v>
      </c>
      <c r="BV24" s="19">
        <f t="shared" ref="BV24:BX24" si="238">IF(BV74="","",SUM(BV74,BV64,BV54,BV44,BV34))</f>
        <v>-2352016.622077581</v>
      </c>
      <c r="BW24" s="19">
        <f t="shared" si="238"/>
        <v>-2421535.2440548474</v>
      </c>
      <c r="BX24" s="19">
        <f t="shared" si="238"/>
        <v>-2492317.0864107003</v>
      </c>
    </row>
    <row r="25" spans="1:76" s="4" customFormat="1" ht="8.25" customHeight="1" x14ac:dyDescent="0.25">
      <c r="A25" s="40"/>
      <c r="B25" s="11"/>
      <c r="C25" s="99"/>
      <c r="D25" s="99"/>
      <c r="E25" s="99"/>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row>
    <row r="26" spans="1:76" s="4" customFormat="1" ht="15" hidden="1" customHeight="1" outlineLevel="1" x14ac:dyDescent="0.25">
      <c r="A26" s="292" t="s">
        <v>20</v>
      </c>
      <c r="B26" s="15"/>
      <c r="C26" s="94"/>
      <c r="D26" s="94"/>
      <c r="E26" s="94"/>
      <c r="F26" s="7"/>
      <c r="G26" s="7"/>
      <c r="H26" s="7"/>
      <c r="I26" s="7"/>
      <c r="J26" s="7"/>
      <c r="K26" s="7"/>
      <c r="L26" s="7"/>
      <c r="M26" s="7"/>
      <c r="N26" s="113">
        <f>'MEEIA 3 adjs'!L12</f>
        <v>8.9999999999918145E-2</v>
      </c>
      <c r="O26" s="7"/>
      <c r="P26" s="7"/>
      <c r="Q26" s="7"/>
      <c r="R26" s="7"/>
      <c r="S26" s="7"/>
      <c r="T26" s="7"/>
      <c r="U26" s="7"/>
      <c r="V26" s="7"/>
      <c r="W26" s="7"/>
      <c r="X26" s="7"/>
      <c r="Y26" s="7"/>
      <c r="Z26" s="113">
        <f>'MEEIA 3 adjs'!AA34</f>
        <v>481.7</v>
      </c>
      <c r="AA26" s="7"/>
      <c r="AB26" s="7"/>
      <c r="AC26" s="7"/>
      <c r="AD26" s="7"/>
      <c r="AE26" s="7"/>
      <c r="AF26" s="7"/>
      <c r="AG26" s="7"/>
      <c r="AH26" s="7"/>
      <c r="AI26" s="7"/>
      <c r="AJ26" s="7"/>
      <c r="AK26" s="7"/>
      <c r="AL26" s="7"/>
      <c r="AM26" s="7"/>
      <c r="AN26" s="7"/>
      <c r="AO26" s="7"/>
      <c r="AP26" s="7"/>
      <c r="AQ26" s="7"/>
      <c r="AR26" s="7"/>
      <c r="AS26" s="7"/>
      <c r="AT26" s="7"/>
      <c r="AU26" s="7"/>
      <c r="AV26" s="7"/>
      <c r="AW26" s="126">
        <v>-112267.825004852</v>
      </c>
      <c r="AX26" s="7"/>
      <c r="AY26" s="7"/>
      <c r="AZ26" s="113">
        <f>'MEEIA 3 adjs'!DZ32</f>
        <v>-197.79000000000087</v>
      </c>
      <c r="BA26" s="7"/>
      <c r="BB26" s="7"/>
      <c r="BC26" s="7"/>
      <c r="BD26" s="7"/>
      <c r="BE26" s="7"/>
      <c r="BF26" s="7"/>
      <c r="BG26" s="7"/>
      <c r="BH26" s="7"/>
      <c r="BI26" s="7"/>
      <c r="BJ26" s="7"/>
      <c r="BK26" s="7"/>
      <c r="BL26" s="7"/>
      <c r="BM26" s="68">
        <v>27214.984457062703</v>
      </c>
      <c r="BN26" s="7"/>
      <c r="BO26" s="7"/>
      <c r="BP26" s="7"/>
      <c r="BQ26" s="7"/>
      <c r="BR26" s="7"/>
      <c r="BS26" s="7"/>
      <c r="BT26" s="7"/>
      <c r="BU26" s="7"/>
      <c r="BV26" s="7"/>
      <c r="BW26" s="7"/>
      <c r="BX26" s="7"/>
    </row>
    <row r="27" spans="1:76" s="2" customFormat="1" ht="15" hidden="1" customHeight="1" outlineLevel="1" x14ac:dyDescent="0.25">
      <c r="A27" s="292"/>
      <c r="B27" s="15" t="s">
        <v>28</v>
      </c>
      <c r="C27" s="94"/>
      <c r="D27" s="94"/>
      <c r="E27" s="94"/>
      <c r="F27" s="20">
        <f>IF('M3 Allocations - TD'!D5="","",'M3 Allocations - TD'!D31)</f>
        <v>0</v>
      </c>
      <c r="G27" s="20">
        <f>IF('M3 Allocations - TD'!E5="","",'M3 Allocations - TD'!E31)</f>
        <v>3542.7066619947968</v>
      </c>
      <c r="H27" s="20">
        <f>IF('M3 Allocations - TD'!F5="","",'M3 Allocations - TD'!F31)</f>
        <v>26593.748856903429</v>
      </c>
      <c r="I27" s="20">
        <f>IF('M3 Allocations - TD'!G5="","",'M3 Allocations - TD'!G31)</f>
        <v>243363.92907678595</v>
      </c>
      <c r="J27" s="20">
        <f>IF('M3 Allocations - TD'!H5="","",'M3 Allocations - TD'!H31)</f>
        <v>441129.8099540461</v>
      </c>
      <c r="K27" s="20">
        <f>IF('M3 Allocations - TD'!I5="","",'M3 Allocations - TD'!I31)</f>
        <v>538055.00088770315</v>
      </c>
      <c r="L27" s="20">
        <f>IF('M3 Allocations - TD'!J5="","",'M3 Allocations - TD'!J31)</f>
        <v>375001.00963366695</v>
      </c>
      <c r="M27" s="20">
        <f>IF('M3 Allocations - TD'!K5="","",'M3 Allocations - TD'!K31)</f>
        <v>137834.38057719183</v>
      </c>
      <c r="N27" s="20">
        <f>IF('M3 Allocations - TD'!L5="","",'M3 Allocations - TD'!L31)</f>
        <v>274809.55657286098</v>
      </c>
      <c r="O27" s="20">
        <f>IF('M3 Allocations - TD'!M5="","",'M3 Allocations - TD'!M31)</f>
        <v>467843.25553902646</v>
      </c>
      <c r="P27" s="20">
        <f>IF('M3 Allocations - TD'!N5="","",'M3 Allocations - TD'!N31)</f>
        <v>544296.07292371744</v>
      </c>
      <c r="Q27" s="20">
        <f>IF('M3 Allocations - TD'!O5="","",'M3 Allocations - TD'!O31)</f>
        <v>676189.22029010952</v>
      </c>
      <c r="R27" s="20">
        <f>IF('M3 Allocations - TD'!P5="","",'M3 Allocations - TD'!P31)</f>
        <v>463090.51540533279</v>
      </c>
      <c r="S27" s="20">
        <f>IF('M3 Allocations - TD'!Q5="","",'M3 Allocations - TD'!Q31)</f>
        <v>212999.83668866704</v>
      </c>
      <c r="T27" s="20">
        <f>IF('M3 Allocations - TD'!R5="","",'M3 Allocations - TD'!R31)</f>
        <v>239315.41925638349</v>
      </c>
      <c r="U27" s="20">
        <f>IF('M3 Allocations - TD'!S5="","",'M3 Allocations - TD'!S31)</f>
        <v>745964.63979628112</v>
      </c>
      <c r="V27" s="20">
        <f>IF('M3 Allocations - TD'!T5="","",'M3 Allocations - TD'!T31)</f>
        <v>1021961.1417325244</v>
      </c>
      <c r="W27" s="20">
        <f>IF('M3 Allocations - TD'!U5="","",'M3 Allocations - TD'!U31)</f>
        <v>1221140.287913003</v>
      </c>
      <c r="X27" s="20">
        <f>IF('M3 Allocations - TD'!V5="","",'M3 Allocations - TD'!V31)</f>
        <v>1038934.5439936385</v>
      </c>
      <c r="Y27" s="20">
        <f>IF('M3 Allocations - TD'!W5="","",'M3 Allocations - TD'!W31)</f>
        <v>456853.18990942289</v>
      </c>
      <c r="Z27" s="20">
        <f>IF('M3 Allocations - TD'!X5="","",'M3 Allocations - TD'!X31)</f>
        <v>609473.30327174987</v>
      </c>
      <c r="AA27" s="20">
        <f>IF('M3 Allocations - TD'!Y5="","",'M3 Allocations - TD'!Y31)</f>
        <v>767580.56672561402</v>
      </c>
      <c r="AB27" s="20">
        <f>IF('M3 Allocations - TD'!Z5="","",'M3 Allocations - TD'!Z31)</f>
        <v>793063.84804214339</v>
      </c>
      <c r="AC27" s="20">
        <f>IF('M3 Allocations - TD'!AA5="","",'M3 Allocations - TD'!AA31)</f>
        <v>764854.30430963449</v>
      </c>
      <c r="AD27" s="20">
        <f>IF('M3 Allocations - TD'!AB5="","",'M3 Allocations - TD'!AB31)</f>
        <v>819560.20806617534</v>
      </c>
      <c r="AE27" s="20">
        <f>IF('M3 Allocations - TD'!AC5="","",'M3 Allocations - TD'!AC31)</f>
        <v>733166.25858200283</v>
      </c>
      <c r="AF27" s="20">
        <f>IF('M3 Allocations - TD'!AD5="","",'M3 Allocations - TD'!AD31)</f>
        <v>808585.44290839287</v>
      </c>
      <c r="AG27" s="20">
        <f>IF('M3 Allocations - TD'!AE5="","",'M3 Allocations - TD'!AE31)</f>
        <v>2229150.475396621</v>
      </c>
      <c r="AH27" s="20">
        <f>IF('M3 Allocations - TD'!AF5="","",'M3 Allocations - TD'!AF31)</f>
        <v>2728598.0253418689</v>
      </c>
      <c r="AI27" s="20">
        <f>IF('M3 Allocations - TD'!AG5="","",'M3 Allocations - TD'!AG31)</f>
        <v>2843181.2454154654</v>
      </c>
      <c r="AJ27" s="20">
        <f>IF('M3 Allocations - TD'!AH5="","",'M3 Allocations - TD'!AH31)</f>
        <v>2152415.8892408246</v>
      </c>
      <c r="AK27" s="20">
        <f>IF('M3 Allocations - TD'!AI5="","",'M3 Allocations - TD'!AI31)</f>
        <v>886771.1903804827</v>
      </c>
      <c r="AL27" s="20">
        <f>IF('M3 Allocations - TD'!AJ5="","",'M3 Allocations - TD'!AJ31)</f>
        <v>1017970.7346454827</v>
      </c>
      <c r="AM27" s="20">
        <f>IF('M3 Allocations - TD'!AK5="","",'M3 Allocations - TD'!AK31)</f>
        <v>1252923.0225376603</v>
      </c>
      <c r="AN27" s="20">
        <f>IF('M3 Allocations - TD'!AL5="","",'M3 Allocations - TD'!AL31)</f>
        <v>1434652.1574546397</v>
      </c>
      <c r="AO27" s="20">
        <f>IF('M3 Allocations - TD'!AM5="","",'M3 Allocations - TD'!AM31)</f>
        <v>1242256.6900827016</v>
      </c>
      <c r="AP27" s="20">
        <f>IF('M3 Allocations - TD'!AN5="","",'M3 Allocations - TD'!AN31)</f>
        <v>466704.19082447694</v>
      </c>
      <c r="AQ27" s="20">
        <f>IF('M3 Allocations - TD'!AO5="","",'M3 Allocations - TD'!AO31)</f>
        <v>411086.64598257263</v>
      </c>
      <c r="AR27" s="20">
        <f>IF('M3 Allocations - TD'!AP5="","",'M3 Allocations - TD'!AP31)</f>
        <v>460606.66199414816</v>
      </c>
      <c r="AS27" s="20">
        <f>IF('M3 Allocations - TD'!AQ5="","",'M3 Allocations - TD'!AQ31)</f>
        <v>1458035.3553365585</v>
      </c>
      <c r="AT27" s="20">
        <f>IF('M3 Allocations - TD'!AR5="","",'M3 Allocations - TD'!AR31)</f>
        <v>1865399.5827007205</v>
      </c>
      <c r="AU27" s="20">
        <f>IF('M3 Allocations - TD'!AS5="","",'M3 Allocations - TD'!AS31)</f>
        <v>1789207.583547906</v>
      </c>
      <c r="AV27" s="20">
        <f>IF('M3 Allocations - TD'!AT5="","",'M3 Allocations - TD'!AT31)</f>
        <v>1230661.6176145528</v>
      </c>
      <c r="AW27" s="20">
        <f>IF('M3 Allocations - TD'!AU5="","",'M3 Allocations - TD'!AU31)</f>
        <v>448108.96181830607</v>
      </c>
      <c r="AX27" s="20">
        <f>IF('M3 Allocations - TD'!AV5="","",'M3 Allocations - TD'!AV31)</f>
        <v>511415.71013617213</v>
      </c>
      <c r="AY27" s="20">
        <f>IF('M3 Allocations - TD'!AW5="","",'M3 Allocations - TD'!AW31)</f>
        <v>657599.6612363765</v>
      </c>
      <c r="AZ27" s="20">
        <f>IF('M3 Allocations - TD'!AX5="","",'M3 Allocations - TD'!AX31)</f>
        <v>715751.71736553009</v>
      </c>
      <c r="BA27" s="20">
        <f>IF('M3 Allocations - TD'!AY5="","",'M3 Allocations - TD'!AY31)</f>
        <v>611610.33271900774</v>
      </c>
      <c r="BB27" s="20">
        <f>IF('M3 Allocations - TD'!AZ5="","",'M3 Allocations - TD'!AZ31)</f>
        <v>580052.23772821727</v>
      </c>
      <c r="BC27" s="20">
        <f>IF('M3 Allocations - TD'!BA5="","",'M3 Allocations - TD'!BA31)</f>
        <v>485147.45423910866</v>
      </c>
      <c r="BD27" s="20">
        <f>IF('M3 Allocations - TD'!BB5="","",'M3 Allocations - TD'!BB31)</f>
        <v>579019.58477694308</v>
      </c>
      <c r="BE27" s="20">
        <f>IF('M3 Allocations - TD'!BC5="","",'M3 Allocations - TD'!BC31)</f>
        <v>2075209.7832731153</v>
      </c>
      <c r="BF27" s="20">
        <f>IF('M3 Allocations - TD'!BD5="","",'M3 Allocations - TD'!BD31)</f>
        <v>336900.48174892482</v>
      </c>
      <c r="BG27" s="20">
        <f>IF('M3 Allocations - TD'!BE5="","",'M3 Allocations - TD'!BE31)</f>
        <v>423106.97149800922</v>
      </c>
      <c r="BH27" s="20">
        <f>IF('M3 Allocations - TD'!BF5="","",'M3 Allocations - TD'!BF31)</f>
        <v>257414.74403194929</v>
      </c>
      <c r="BI27" s="20">
        <f>IF('M3 Allocations - TD'!BG5="","",'M3 Allocations - TD'!BG31)</f>
        <v>72670.704773576188</v>
      </c>
      <c r="BJ27" s="20">
        <f>IF('M3 Allocations - TD'!BH5="","",'M3 Allocations - TD'!BH31)</f>
        <v>107651.21205611953</v>
      </c>
      <c r="BK27" s="20">
        <f>IF('M3 Allocations - TD'!BI5="","",'M3 Allocations - TD'!BI31)</f>
        <v>190082.4773555084</v>
      </c>
      <c r="BL27" s="20">
        <f>IF('M3 Allocations - TD'!BJ5="","",'M3 Allocations - TD'!BJ31)</f>
        <v>234716.31279439255</v>
      </c>
      <c r="BM27" s="20">
        <f>IF('M3 Allocations - TD'!BK5="","",'M3 Allocations - TD'!BK31)</f>
        <v>189707.45135280554</v>
      </c>
      <c r="BN27" s="20">
        <f>IF('M3 Allocations - TD'!BL5="","",'M3 Allocations - TD'!BL31)</f>
        <v>161384.19695432918</v>
      </c>
      <c r="BO27" s="20">
        <f>IF('M3 Allocations - TD'!BM5="","",'M3 Allocations - TD'!BM31)</f>
        <v>121228.18203919443</v>
      </c>
      <c r="BP27" s="20">
        <f>IF('M3 Allocations - TD'!BN5="","",'M3 Allocations - TD'!BN31)</f>
        <v>171153.07554214355</v>
      </c>
      <c r="BQ27" s="20">
        <f>IF('M3 Allocations - TD'!BO5="","",'M3 Allocations - TD'!BO31)</f>
        <v>726807.55664463679</v>
      </c>
      <c r="BR27" s="20">
        <f>IF('M3 Allocations - TD'!BP5="","",'M3 Allocations - TD'!BP31)</f>
        <v>1035244.8874318618</v>
      </c>
      <c r="BS27" s="20">
        <f>IF('M3 Allocations - TD'!BQ5="","",'M3 Allocations - TD'!BQ31)</f>
        <v>1044606.4999408977</v>
      </c>
      <c r="BT27" s="20">
        <f>IF('M3 Allocations - TD'!BR5="","",'M3 Allocations - TD'!BR31)</f>
        <v>601256.55125012272</v>
      </c>
      <c r="BU27" s="20">
        <f>IF('M3 Allocations - TD'!BS5="","",'M3 Allocations - TD'!BS31)</f>
        <v>165216.72821033362</v>
      </c>
      <c r="BV27" s="20">
        <f>IF('M3 Allocations - TD'!BT5="","",'M3 Allocations - TD'!BT31)</f>
        <v>239550.05334239668</v>
      </c>
      <c r="BW27" s="20">
        <f>IF('M3 Allocations - TD'!BU5="","",'M3 Allocations - TD'!BU31)</f>
        <v>384889.84076727502</v>
      </c>
      <c r="BX27" s="20">
        <f>IF('M3 Allocations - TD'!BV5="","",'M3 Allocations - TD'!BV31)</f>
        <v>401782.68356373912</v>
      </c>
    </row>
    <row r="28" spans="1:76" s="4" customFormat="1" ht="15" hidden="1" customHeight="1" outlineLevel="1" x14ac:dyDescent="0.25">
      <c r="A28" s="292"/>
      <c r="B28" s="16" t="s">
        <v>26</v>
      </c>
      <c r="C28" s="94"/>
      <c r="D28" s="94"/>
      <c r="E28" s="94"/>
      <c r="F28" s="20">
        <f>IF('M3 Allocations - TD'!D51="","",'M3 Allocations - TD'!D69)</f>
        <v>0</v>
      </c>
      <c r="G28" s="20">
        <f>IF('M3 Allocations - TD'!E51="","",'M3 Allocations - TD'!E69)</f>
        <v>0</v>
      </c>
      <c r="H28" s="20">
        <f>IF('M3 Allocations - TD'!F51="","",'M3 Allocations - TD'!F69)</f>
        <v>28636.335868779192</v>
      </c>
      <c r="I28" s="20">
        <f>IF('M3 Allocations - TD'!G51="","",'M3 Allocations - TD'!G69)</f>
        <v>344669.92129031231</v>
      </c>
      <c r="J28" s="20">
        <f>IF('M3 Allocations - TD'!H51="","",'M3 Allocations - TD'!H69)</f>
        <v>437739.69493695599</v>
      </c>
      <c r="K28" s="20">
        <f>IF('M3 Allocations - TD'!I51="","",'M3 Allocations - TD'!I69)</f>
        <v>461093.89388914994</v>
      </c>
      <c r="L28" s="20">
        <f>IF('M3 Allocations - TD'!J51="","",'M3 Allocations - TD'!J69)</f>
        <v>425531.99443758972</v>
      </c>
      <c r="M28" s="20">
        <f>IF('M3 Allocations - TD'!K51="","",'M3 Allocations - TD'!K69)</f>
        <v>350101.97926152864</v>
      </c>
      <c r="N28" s="20">
        <f>IF('M3 Allocations - TD'!L51="","",'M3 Allocations - TD'!L69)</f>
        <v>315194.78964232601</v>
      </c>
      <c r="O28" s="20">
        <f>IF('M3 Allocations - TD'!M51="","",'M3 Allocations - TD'!M69)</f>
        <v>423499.84124645527</v>
      </c>
      <c r="P28" s="20">
        <f>IF('M3 Allocations - TD'!N51="","",'M3 Allocations - TD'!N69)</f>
        <v>467459.76087976695</v>
      </c>
      <c r="Q28" s="20">
        <f>IF('M3 Allocations - TD'!O51="","",'M3 Allocations - TD'!O69)</f>
        <v>474323.05163473397</v>
      </c>
      <c r="R28" s="20">
        <f>IF('M3 Allocations - TD'!P51="","",'M3 Allocations - TD'!P69)</f>
        <v>428810.25716296653</v>
      </c>
      <c r="S28" s="20">
        <f>IF('M3 Allocations - TD'!Q51="","",'M3 Allocations - TD'!Q69)</f>
        <v>339346.33491655142</v>
      </c>
      <c r="T28" s="20">
        <f>IF('M3 Allocations - TD'!R51="","",'M3 Allocations - TD'!R69)</f>
        <v>302925.05162387801</v>
      </c>
      <c r="U28" s="20">
        <f>IF('M3 Allocations - TD'!S51="","",'M3 Allocations - TD'!S69)</f>
        <v>399589.74786578171</v>
      </c>
      <c r="V28" s="20">
        <f>IF('M3 Allocations - TD'!T51="","",'M3 Allocations - TD'!T69)</f>
        <v>536049.73122413771</v>
      </c>
      <c r="W28" s="20">
        <f>IF('M3 Allocations - TD'!U51="","",'M3 Allocations - TD'!U69)</f>
        <v>503311.04413038632</v>
      </c>
      <c r="X28" s="20">
        <f>IF('M3 Allocations - TD'!V51="","",'M3 Allocations - TD'!V69)</f>
        <v>453730.11803544633</v>
      </c>
      <c r="Y28" s="20">
        <f>IF('M3 Allocations - TD'!W51="","",'M3 Allocations - TD'!W69)</f>
        <v>307694.93026905361</v>
      </c>
      <c r="Z28" s="20">
        <f>IF('M3 Allocations - TD'!X51="","",'M3 Allocations - TD'!X69)</f>
        <v>328619.27667869348</v>
      </c>
      <c r="AA28" s="20">
        <f>IF('M3 Allocations - TD'!Y51="","",'M3 Allocations - TD'!Y69)</f>
        <v>435339.54516653361</v>
      </c>
      <c r="AB28" s="20">
        <f>IF('M3 Allocations - TD'!Z51="","",'M3 Allocations - TD'!Z69)</f>
        <v>565868.64496161381</v>
      </c>
      <c r="AC28" s="20">
        <f>IF('M3 Allocations - TD'!AA51="","",'M3 Allocations - TD'!AA69)</f>
        <v>1375644.4768897495</v>
      </c>
      <c r="AD28" s="20">
        <f>IF('M3 Allocations - TD'!AB51="","",'M3 Allocations - TD'!AB69)</f>
        <v>1787809.7846895901</v>
      </c>
      <c r="AE28" s="20">
        <f>IF('M3 Allocations - TD'!AC51="","",'M3 Allocations - TD'!AC69)</f>
        <v>1208966.210998087</v>
      </c>
      <c r="AF28" s="20">
        <f>IF('M3 Allocations - TD'!AD51="","",'M3 Allocations - TD'!AD69)</f>
        <v>1135096.7258818494</v>
      </c>
      <c r="AG28" s="20">
        <f>IF('M3 Allocations - TD'!AE51="","",'M3 Allocations - TD'!AE69)</f>
        <v>1483131.5421443433</v>
      </c>
      <c r="AH28" s="20">
        <f>IF('M3 Allocations - TD'!AF51="","",'M3 Allocations - TD'!AF69)</f>
        <v>1957827.6512690852</v>
      </c>
      <c r="AI28" s="20">
        <f>IF('M3 Allocations - TD'!AG51="","",'M3 Allocations - TD'!AG69)</f>
        <v>1996815.833049651</v>
      </c>
      <c r="AJ28" s="20">
        <f>IF('M3 Allocations - TD'!AH51="","",'M3 Allocations - TD'!AH69)</f>
        <v>1962236.8311878431</v>
      </c>
      <c r="AK28" s="20">
        <f>IF('M3 Allocations - TD'!AI51="","",'M3 Allocations - TD'!AI69)</f>
        <v>1361448.9893388003</v>
      </c>
      <c r="AL28" s="20">
        <f>IF('M3 Allocations - TD'!AJ51="","",'M3 Allocations - TD'!AJ69)</f>
        <v>1278047.5437683114</v>
      </c>
      <c r="AM28" s="20">
        <f>IF('M3 Allocations - TD'!AK51="","",'M3 Allocations - TD'!AK69)</f>
        <v>1599362.0545714868</v>
      </c>
      <c r="AN28" s="20">
        <f>IF('M3 Allocations - TD'!AL51="","",'M3 Allocations - TD'!AL69)</f>
        <v>2061688.4651608262</v>
      </c>
      <c r="AO28" s="20">
        <f>IF('M3 Allocations - TD'!AM51="","",'M3 Allocations - TD'!AM69)</f>
        <v>1660014.398272939</v>
      </c>
      <c r="AP28" s="20">
        <f>IF('M3 Allocations - TD'!AN51="","",'M3 Allocations - TD'!AN69)</f>
        <v>727343.38262135477</v>
      </c>
      <c r="AQ28" s="20">
        <f>IF('M3 Allocations - TD'!AO51="","",'M3 Allocations - TD'!AO69)</f>
        <v>558489.16557480057</v>
      </c>
      <c r="AR28" s="20">
        <f>IF('M3 Allocations - TD'!AP51="","",'M3 Allocations - TD'!AP69)</f>
        <v>521512.93435668247</v>
      </c>
      <c r="AS28" s="20">
        <f>IF('M3 Allocations - TD'!AQ51="","",'M3 Allocations - TD'!AQ69)</f>
        <v>661161.70778882992</v>
      </c>
      <c r="AT28" s="20">
        <f>IF('M3 Allocations - TD'!AR51="","",'M3 Allocations - TD'!AR69)</f>
        <v>907955.1483625297</v>
      </c>
      <c r="AU28" s="20">
        <f>IF('M3 Allocations - TD'!AS51="","",'M3 Allocations - TD'!AS69)</f>
        <v>865613.78677226591</v>
      </c>
      <c r="AV28" s="20">
        <f>IF('M3 Allocations - TD'!AT51="","",'M3 Allocations - TD'!AT69)</f>
        <v>722180.00996221579</v>
      </c>
      <c r="AW28" s="20">
        <f>IF('M3 Allocations - TD'!AU51="","",'M3 Allocations - TD'!AU69)</f>
        <v>521401.47348380275</v>
      </c>
      <c r="AX28" s="20">
        <f>IF('M3 Allocations - TD'!AV51="","",'M3 Allocations - TD'!AV69)</f>
        <v>494704.46538048884</v>
      </c>
      <c r="AY28" s="20">
        <f>IF('M3 Allocations - TD'!AW51="","",'M3 Allocations - TD'!AW69)</f>
        <v>756126.23939637165</v>
      </c>
      <c r="AZ28" s="20">
        <f>IF('M3 Allocations - TD'!AX51="","",'M3 Allocations - TD'!AX69)</f>
        <v>905435.35475830093</v>
      </c>
      <c r="BA28" s="20">
        <f>IF('M3 Allocations - TD'!AY51="","",'M3 Allocations - TD'!AY69)</f>
        <v>894861.30971378379</v>
      </c>
      <c r="BB28" s="20">
        <f>IF('M3 Allocations - TD'!AZ51="","",'M3 Allocations - TD'!AZ69)</f>
        <v>886186.43605950114</v>
      </c>
      <c r="BC28" s="20">
        <f>IF('M3 Allocations - TD'!BA51="","",'M3 Allocations - TD'!BA69)</f>
        <v>765014.07629471621</v>
      </c>
      <c r="BD28" s="20">
        <f>IF('M3 Allocations - TD'!BB51="","",'M3 Allocations - TD'!BB69)</f>
        <v>653602.05200737016</v>
      </c>
      <c r="BE28" s="20">
        <f>IF('M3 Allocations - TD'!BC51="","",'M3 Allocations - TD'!BC69)</f>
        <v>842781.28485866333</v>
      </c>
      <c r="BF28" s="20">
        <f>IF('M3 Allocations - TD'!BD51="","",'M3 Allocations - TD'!BD69)</f>
        <v>1100550.8342116643</v>
      </c>
      <c r="BG28" s="20">
        <f>IF('M3 Allocations - TD'!BE51="","",'M3 Allocations - TD'!BE69)</f>
        <v>1135131.3126591197</v>
      </c>
      <c r="BH28" s="20">
        <f>IF('M3 Allocations - TD'!BF51="","",'M3 Allocations - TD'!BF69)</f>
        <v>1050840.2575926636</v>
      </c>
      <c r="BI28" s="20">
        <f>IF('M3 Allocations - TD'!BG51="","",'M3 Allocations - TD'!BG69)</f>
        <v>764524.99814993259</v>
      </c>
      <c r="BJ28" s="20">
        <f>IF('M3 Allocations - TD'!BH51="","",'M3 Allocations - TD'!BH69)</f>
        <v>670016.45565617608</v>
      </c>
      <c r="BK28" s="20">
        <f>IF('M3 Allocations - TD'!BI51="","",'M3 Allocations - TD'!BI69)</f>
        <v>931821.74610436941</v>
      </c>
      <c r="BL28" s="20">
        <f>IF('M3 Allocations - TD'!BJ51="","",'M3 Allocations - TD'!BJ69)</f>
        <v>1217209.6013274563</v>
      </c>
      <c r="BM28" s="20">
        <f>IF('M3 Allocations - TD'!BK51="","",'M3 Allocations - TD'!BK69)</f>
        <v>923613.94602948474</v>
      </c>
      <c r="BN28" s="20">
        <f>IF('M3 Allocations - TD'!BL51="","",'M3 Allocations - TD'!BL69)</f>
        <v>309676.30404386291</v>
      </c>
      <c r="BO28" s="20">
        <f>IF('M3 Allocations - TD'!BM51="","",'M3 Allocations - TD'!BM69)</f>
        <v>277828.71246966731</v>
      </c>
      <c r="BP28" s="20">
        <f>IF('M3 Allocations - TD'!BN51="","",'M3 Allocations - TD'!BN69)</f>
        <v>251603.3624850972</v>
      </c>
      <c r="BQ28" s="20">
        <f>IF('M3 Allocations - TD'!BO51="","",'M3 Allocations - TD'!BO69)</f>
        <v>342099.90476893133</v>
      </c>
      <c r="BR28" s="20">
        <f>IF('M3 Allocations - TD'!BP51="","",'M3 Allocations - TD'!BP69)</f>
        <v>456637.17127485393</v>
      </c>
      <c r="BS28" s="20">
        <f>IF('M3 Allocations - TD'!BQ51="","",'M3 Allocations - TD'!BQ69)</f>
        <v>416198.73979180312</v>
      </c>
      <c r="BT28" s="20">
        <f>IF('M3 Allocations - TD'!BR51="","",'M3 Allocations - TD'!BR69)</f>
        <v>395220.80121849308</v>
      </c>
      <c r="BU28" s="20">
        <f>IF('M3 Allocations - TD'!BS51="","",'M3 Allocations - TD'!BS69)</f>
        <v>289269.85646854306</v>
      </c>
      <c r="BV28" s="20">
        <f>IF('M3 Allocations - TD'!BT51="","",'M3 Allocations - TD'!BT69)</f>
        <v>316702.31165735261</v>
      </c>
      <c r="BW28" s="20">
        <f>IF('M3 Allocations - TD'!BU51="","",'M3 Allocations - TD'!BU69)</f>
        <v>399492.0191064456</v>
      </c>
      <c r="BX28" s="20">
        <f>IF('M3 Allocations - TD'!BV51="","",'M3 Allocations - TD'!BV69)</f>
        <v>469601.09296804987</v>
      </c>
    </row>
    <row r="29" spans="1:76" s="4" customFormat="1" ht="15" hidden="1" customHeight="1" outlineLevel="1" x14ac:dyDescent="0.25">
      <c r="A29" s="292"/>
      <c r="B29" s="16" t="s">
        <v>51</v>
      </c>
      <c r="C29" s="94"/>
      <c r="D29" s="94"/>
      <c r="E29" s="94"/>
      <c r="F29" s="20">
        <f>IF(F28="","",0)</f>
        <v>0</v>
      </c>
      <c r="G29" s="20">
        <f t="shared" ref="G29:P29" si="239">IF(G28="","",0)</f>
        <v>0</v>
      </c>
      <c r="H29" s="20">
        <f t="shared" si="239"/>
        <v>0</v>
      </c>
      <c r="I29" s="20">
        <f t="shared" si="239"/>
        <v>0</v>
      </c>
      <c r="J29" s="20">
        <f t="shared" si="239"/>
        <v>0</v>
      </c>
      <c r="K29" s="20">
        <f t="shared" si="239"/>
        <v>0</v>
      </c>
      <c r="L29" s="20">
        <f t="shared" si="239"/>
        <v>0</v>
      </c>
      <c r="M29" s="20">
        <f t="shared" si="239"/>
        <v>0</v>
      </c>
      <c r="N29" s="20">
        <f>IF(N28="","",0)</f>
        <v>0</v>
      </c>
      <c r="O29" s="20">
        <f t="shared" si="239"/>
        <v>0</v>
      </c>
      <c r="P29" s="20">
        <f t="shared" si="239"/>
        <v>0</v>
      </c>
      <c r="Q29" s="20">
        <f>IF(Q28="","",-'M3 TD amort'!C8)</f>
        <v>115732.97</v>
      </c>
      <c r="R29" s="20">
        <f>IF(R28="","",-'M3 TD amort'!D8)</f>
        <v>104574.51</v>
      </c>
      <c r="S29" s="20">
        <f>IF(S28="","",-'M3 TD amort'!E8)</f>
        <v>82818.98</v>
      </c>
      <c r="T29" s="20">
        <f>IF(T28="","",-'M3 TD amort'!F8)</f>
        <v>74005.649999999994</v>
      </c>
      <c r="U29" s="20">
        <f>IF(U28="","",-'M3 TD amort'!G8)</f>
        <v>97941.18</v>
      </c>
      <c r="V29" s="20">
        <f>IF(V28="","",-'M3 TD amort'!H8)</f>
        <v>131594.67000000001</v>
      </c>
      <c r="W29" s="20">
        <f>IF(W28="","",-'M3 TD amort'!I8)</f>
        <v>123527.13</v>
      </c>
      <c r="X29" s="20">
        <f>IF(X28="","",-'M3 TD amort'!J8)</f>
        <v>111322.95</v>
      </c>
      <c r="Y29" s="20">
        <f>IF(Y28="","",-'M3 TD amort'!K8)</f>
        <v>75219.710000000006</v>
      </c>
      <c r="Z29" s="20">
        <f>IF(Z28="","",-'M3 TD amort'!L8)</f>
        <v>80241.5</v>
      </c>
      <c r="AA29" s="20">
        <f>IF(AA28="","",-'M3 TD amort'!M8)</f>
        <v>106401.64</v>
      </c>
      <c r="AB29" s="20">
        <f>IF(AB28="","",-'M3 TD amort'!N8)</f>
        <v>138469.78</v>
      </c>
      <c r="AC29" s="20">
        <f>IF(AC28="","",-'M3 TD amort'!O8)</f>
        <v>-214209.84</v>
      </c>
      <c r="AD29" s="20">
        <f>IF(AD28="","",-'M3 TD amort'!P8)</f>
        <v>-278064.93</v>
      </c>
      <c r="AE29" s="20">
        <f>IF(AE28="","",-'M3 TD amort'!Q8)</f>
        <v>-187629.17</v>
      </c>
      <c r="AF29" s="20">
        <f>IF(AF28="","",-'M3 TD amort'!R8)</f>
        <v>-176283.71</v>
      </c>
      <c r="AG29" s="20">
        <f>IF(AG28="","",-'M3 TD amort'!S8)</f>
        <v>-231223.27</v>
      </c>
      <c r="AH29" s="20">
        <f>IF(AH28="","",-'M3 TD amort'!T8)</f>
        <v>-305423.73</v>
      </c>
      <c r="AI29" s="20">
        <f>IF(AI28="","",-'M3 TD amort'!U8)</f>
        <v>-311615.01</v>
      </c>
      <c r="AJ29" s="20">
        <f>IF(AJ28="","",-'M3 TD amort'!V8)</f>
        <v>-306092.45</v>
      </c>
      <c r="AK29" s="20">
        <f>IF(AK28="","",-'M3 TD amort'!W8)</f>
        <v>-211968.1</v>
      </c>
      <c r="AL29" s="20">
        <f>IF(AL28="","",-'M3 TD amort'!X8)</f>
        <v>-198628.63</v>
      </c>
      <c r="AM29" s="20">
        <f>IF(AM28="","",-'M3 TD amort'!Y8)</f>
        <v>-248528.93</v>
      </c>
      <c r="AN29" s="20">
        <f>IF(AN28="","",-'M3 TD amort'!Z8)</f>
        <v>-321239.03999999998</v>
      </c>
      <c r="AO29" s="20">
        <f>IF(AO28="","",-'M3 TD amort'!AA8)</f>
        <v>-270175.45</v>
      </c>
      <c r="AP29" s="20">
        <f>IF(AP28="","",-'M3 TD amort'!AB8)</f>
        <v>-118232.21</v>
      </c>
      <c r="AQ29" s="20">
        <f>IF(AQ28="","",-'M3 TD amort'!AC8)</f>
        <v>-90604.87</v>
      </c>
      <c r="AR29" s="20">
        <f>IF(AR28="","",-'M3 TD amort'!AD8)</f>
        <v>-84722.21</v>
      </c>
      <c r="AS29" s="20">
        <f>IF(AS28="","",-'M3 TD amort'!AE8)</f>
        <v>-107685.96</v>
      </c>
      <c r="AT29" s="20">
        <f>IF(AT28="","",-'M3 TD amort'!AF8)</f>
        <v>-148122.69</v>
      </c>
      <c r="AU29" s="20">
        <f>IF(AU28="","",-'M3 TD amort'!AG8)</f>
        <v>-141095.97</v>
      </c>
      <c r="AV29" s="20">
        <f>IF(AV28="","",-'M3 TD amort'!AH8)</f>
        <v>-117508.65</v>
      </c>
      <c r="AW29" s="20">
        <f>IF(AW28="","",-'M3 TD amort'!AI8)</f>
        <v>-84587.71</v>
      </c>
      <c r="AX29" s="20">
        <f>IF(AX28="","",-'M3 TD amort'!AJ8)</f>
        <v>-80065.600000000006</v>
      </c>
      <c r="AY29" s="20">
        <f>IF(AY28="","",-'M3 TD amort'!AK8)</f>
        <v>-122414.96</v>
      </c>
      <c r="AZ29" s="20">
        <f>IF(AZ28="","",-'M3 TD amort'!AL8)</f>
        <v>-146964.76</v>
      </c>
      <c r="BA29" s="20">
        <f>IF(BA28="","",-'M3 TD amort'!AM8)</f>
        <v>-277535.48</v>
      </c>
      <c r="BB29" s="20">
        <f>IF(BB28="","",-'M3 TD amort'!AN8)</f>
        <v>-274328.76</v>
      </c>
      <c r="BC29" s="20">
        <f>IF(BC28="","",-'M3 TD amort'!AO8)</f>
        <v>-236568.66</v>
      </c>
      <c r="BD29" s="20">
        <f>IF(BD28="","",-'M3 TD amort'!AP8)</f>
        <v>-202231.43</v>
      </c>
      <c r="BE29" s="20">
        <f>IF(BE28="","",-'M3 TD amort'!AQ8)</f>
        <v>-261560.47</v>
      </c>
      <c r="BF29" s="20">
        <f>IF(BF28="","",-'M3 TD amort'!AR8)</f>
        <v>-342264.98</v>
      </c>
      <c r="BG29" s="20">
        <f>IF(BG28="","",-'M3 TD amort'!AS8)</f>
        <v>-352779.45</v>
      </c>
      <c r="BH29" s="20">
        <f>IF(BH28="","",-'M3 TD amort'!AT8)</f>
        <v>-326302.92</v>
      </c>
      <c r="BI29" s="20">
        <f>IF(BI28="","",-'M3 TD amort'!AU8)</f>
        <v>-236589.06</v>
      </c>
      <c r="BJ29" s="20">
        <f>IF(BJ28="","",-'M3 TD amort'!AV8)</f>
        <v>-206838.83</v>
      </c>
      <c r="BK29" s="20">
        <f>IF(BK28="","",-'M3 TD amort'!AW8)</f>
        <v>-288105.44</v>
      </c>
      <c r="BL29" s="20">
        <f>IF(BL28="","",-'M3 TD amort'!AX8)</f>
        <v>-377121</v>
      </c>
      <c r="BM29" s="20">
        <f>IF(BM28="","",-'M3 TD amort'!AY8)</f>
        <v>325945.17</v>
      </c>
      <c r="BN29" s="20">
        <f>IF(BN28="","",-'M3 TD amort'!AZ8)</f>
        <v>108965.9</v>
      </c>
      <c r="BO29" s="20">
        <f>IF(BO28="","",-'M3 TD amort'!BA8)</f>
        <v>97785.39</v>
      </c>
      <c r="BP29" s="20">
        <f>IF(BP28="","",-'M3 TD amort'!BB8)</f>
        <v>88646.22</v>
      </c>
      <c r="BQ29" s="20">
        <f>IF(BQ28="","",-'M3 TD amort'!BC8)</f>
        <v>121019.85</v>
      </c>
      <c r="BR29" s="20">
        <f>IF(BR28="","",-'M3 TD amort'!BD8)</f>
        <v>161803.12</v>
      </c>
      <c r="BS29" s="20">
        <f>IF(BS28="","",-'M3 TD amort'!BE8)</f>
        <v>147420.89000000001</v>
      </c>
      <c r="BT29" s="20">
        <f>IF(BT28="","",-'M3 TD amort'!BF8)</f>
        <v>139969.9</v>
      </c>
      <c r="BU29" s="20">
        <f>IF(BU28="","",-'M3 TD amort'!BG8)</f>
        <v>102161.55</v>
      </c>
      <c r="BV29" s="20">
        <f>IF(BV28="","",-'M3 TD amort'!BH8)</f>
        <v>111848.95</v>
      </c>
      <c r="BW29" s="20">
        <f>IF(BW28="","",-'M3 TD amort'!BI8)</f>
        <v>141284.98000000001</v>
      </c>
      <c r="BX29" s="20">
        <f>IF(BX28="","",-'M3 TD amort'!BJ8)</f>
        <v>166254.85</v>
      </c>
    </row>
    <row r="30" spans="1:76" s="4" customFormat="1" ht="15" hidden="1" customHeight="1" outlineLevel="1" x14ac:dyDescent="0.25">
      <c r="A30" s="292"/>
      <c r="B30" s="16" t="s">
        <v>52</v>
      </c>
      <c r="C30" s="94"/>
      <c r="D30" s="94"/>
      <c r="E30" s="94"/>
      <c r="F30" s="7">
        <f t="shared" ref="F30:M30" si="240">IF(OR(F29="",F28=""),"",F28+F29)</f>
        <v>0</v>
      </c>
      <c r="G30" s="7">
        <f t="shared" si="240"/>
        <v>0</v>
      </c>
      <c r="H30" s="7">
        <f t="shared" si="240"/>
        <v>28636.335868779192</v>
      </c>
      <c r="I30" s="7">
        <f t="shared" si="240"/>
        <v>344669.92129031231</v>
      </c>
      <c r="J30" s="7">
        <f t="shared" si="240"/>
        <v>437739.69493695599</v>
      </c>
      <c r="K30" s="7">
        <f t="shared" si="240"/>
        <v>461093.89388914994</v>
      </c>
      <c r="L30" s="7">
        <f t="shared" si="240"/>
        <v>425531.99443758972</v>
      </c>
      <c r="M30" s="7">
        <f t="shared" si="240"/>
        <v>350101.97926152864</v>
      </c>
      <c r="N30" s="7">
        <f>IF(OR(N29="",N28=""),"",N28+N29)</f>
        <v>315194.78964232601</v>
      </c>
      <c r="O30" s="7">
        <f>IF(OR(O29="",O28=""),"",O28+O29)</f>
        <v>423499.84124645527</v>
      </c>
      <c r="P30" s="7">
        <f t="shared" ref="P30:AE30" si="241">IF(OR(P29="",P28=""),"",P28+P29)</f>
        <v>467459.76087976695</v>
      </c>
      <c r="Q30" s="7">
        <f t="shared" si="241"/>
        <v>590056.021634734</v>
      </c>
      <c r="R30" s="7">
        <f t="shared" si="241"/>
        <v>533384.76716296654</v>
      </c>
      <c r="S30" s="7">
        <f t="shared" si="241"/>
        <v>422165.3149165514</v>
      </c>
      <c r="T30" s="7">
        <f t="shared" si="241"/>
        <v>376930.70162387798</v>
      </c>
      <c r="U30" s="7">
        <f t="shared" si="241"/>
        <v>497530.9278657817</v>
      </c>
      <c r="V30" s="7">
        <f t="shared" si="241"/>
        <v>667644.40122413775</v>
      </c>
      <c r="W30" s="7">
        <f t="shared" si="241"/>
        <v>626838.17413038632</v>
      </c>
      <c r="X30" s="7">
        <f t="shared" si="241"/>
        <v>565053.06803544634</v>
      </c>
      <c r="Y30" s="7">
        <f t="shared" si="241"/>
        <v>382914.64026905363</v>
      </c>
      <c r="Z30" s="7">
        <f>IF(OR(Z29="",Z28=""),"",Z28+Z29)</f>
        <v>408860.77667869348</v>
      </c>
      <c r="AA30" s="7">
        <f t="shared" si="241"/>
        <v>541741.18516653357</v>
      </c>
      <c r="AB30" s="7">
        <f t="shared" si="241"/>
        <v>704338.42496161384</v>
      </c>
      <c r="AC30" s="7">
        <f t="shared" si="241"/>
        <v>1161434.6368897494</v>
      </c>
      <c r="AD30" s="7">
        <f t="shared" si="241"/>
        <v>1509744.8546895902</v>
      </c>
      <c r="AE30" s="7">
        <f t="shared" si="241"/>
        <v>1021337.0409980869</v>
      </c>
      <c r="AF30" s="7">
        <f t="shared" ref="AF30:AW30" si="242">IF(OR(AF29="",AF28=""),"",AF28+AF29)</f>
        <v>958813.01588184945</v>
      </c>
      <c r="AG30" s="7">
        <f t="shared" si="242"/>
        <v>1251908.2721443432</v>
      </c>
      <c r="AH30" s="7">
        <f t="shared" si="242"/>
        <v>1652403.9212690853</v>
      </c>
      <c r="AI30" s="7">
        <f t="shared" si="242"/>
        <v>1685200.823049651</v>
      </c>
      <c r="AJ30" s="7">
        <f t="shared" si="242"/>
        <v>1656144.3811878432</v>
      </c>
      <c r="AK30" s="7">
        <f t="shared" si="242"/>
        <v>1149480.8893388002</v>
      </c>
      <c r="AL30" s="7">
        <f t="shared" si="242"/>
        <v>1079418.9137683115</v>
      </c>
      <c r="AM30" s="7">
        <f t="shared" si="242"/>
        <v>1350833.1245714868</v>
      </c>
      <c r="AN30" s="7">
        <f t="shared" si="242"/>
        <v>1740449.4251608262</v>
      </c>
      <c r="AO30" s="7">
        <f t="shared" si="242"/>
        <v>1389838.9482729391</v>
      </c>
      <c r="AP30" s="7">
        <f t="shared" si="242"/>
        <v>609111.17262135481</v>
      </c>
      <c r="AQ30" s="7">
        <f t="shared" si="242"/>
        <v>467884.29557480058</v>
      </c>
      <c r="AR30" s="7">
        <f t="shared" si="242"/>
        <v>436790.72435668245</v>
      </c>
      <c r="AS30" s="7">
        <f t="shared" si="242"/>
        <v>553475.74778882996</v>
      </c>
      <c r="AT30" s="7">
        <f t="shared" si="242"/>
        <v>759832.45836252975</v>
      </c>
      <c r="AU30" s="7">
        <f t="shared" si="242"/>
        <v>724517.81677226594</v>
      </c>
      <c r="AV30" s="7">
        <f>IF(OR(AV29="",AV28=""),"",AV28+AV29)</f>
        <v>604671.35996221576</v>
      </c>
      <c r="AW30" s="7">
        <f t="shared" si="242"/>
        <v>436813.76348380273</v>
      </c>
      <c r="AX30" s="7">
        <f>IF(OR(AX29="",AX28=""),"",AX28+AX29)</f>
        <v>414638.8653804888</v>
      </c>
      <c r="AY30" s="7">
        <f t="shared" ref="AY30" si="243">IF(OR(AY29="",AY28=""),"",AY28+AY29)</f>
        <v>633711.27939637168</v>
      </c>
      <c r="AZ30" s="7">
        <f t="shared" ref="AZ30:BA30" si="244">IF(OR(AZ29="",AZ28=""),"",AZ28+AZ29)</f>
        <v>758470.59475830093</v>
      </c>
      <c r="BA30" s="7">
        <f t="shared" si="244"/>
        <v>617325.82971378381</v>
      </c>
      <c r="BB30" s="7">
        <f t="shared" ref="BB30:BC30" si="245">IF(OR(BB29="",BB28=""),"",BB28+BB29)</f>
        <v>611857.67605950113</v>
      </c>
      <c r="BC30" s="7">
        <f t="shared" si="245"/>
        <v>528445.41629471618</v>
      </c>
      <c r="BD30" s="7">
        <f t="shared" ref="BD30:BE30" si="246">IF(OR(BD29="",BD28=""),"",BD28+BD29)</f>
        <v>451370.62200737017</v>
      </c>
      <c r="BE30" s="7">
        <f t="shared" si="246"/>
        <v>581220.81485866336</v>
      </c>
      <c r="BF30" s="7">
        <f t="shared" ref="BF30:BG30" si="247">IF(OR(BF29="",BF28=""),"",BF28+BF29)</f>
        <v>758285.85421166429</v>
      </c>
      <c r="BG30" s="7">
        <f t="shared" si="247"/>
        <v>782351.86265911977</v>
      </c>
      <c r="BH30" s="7">
        <f t="shared" ref="BH30:BI30" si="248">IF(OR(BH29="",BH28=""),"",BH28+BH29)</f>
        <v>724537.33759266371</v>
      </c>
      <c r="BI30" s="7">
        <f t="shared" si="248"/>
        <v>527935.93814993254</v>
      </c>
      <c r="BJ30" s="7">
        <f t="shared" ref="BJ30:BK30" si="249">IF(OR(BJ29="",BJ28=""),"",BJ28+BJ29)</f>
        <v>463177.62565617613</v>
      </c>
      <c r="BK30" s="7">
        <f t="shared" si="249"/>
        <v>643716.30610436946</v>
      </c>
      <c r="BL30" s="7">
        <f t="shared" ref="BL30" si="250">IF(OR(BL29="",BL28=""),"",BL28+BL29)</f>
        <v>840088.6013274563</v>
      </c>
      <c r="BM30" s="7">
        <f t="shared" ref="BM30:BR30" si="251">IF(OR(BM29="",BM28=""),"",BM28+BM29)</f>
        <v>1249559.1160294847</v>
      </c>
      <c r="BN30" s="7">
        <f t="shared" si="251"/>
        <v>418642.20404386288</v>
      </c>
      <c r="BO30" s="7">
        <f t="shared" si="251"/>
        <v>375614.10246966733</v>
      </c>
      <c r="BP30" s="7">
        <f t="shared" si="251"/>
        <v>340249.58248509723</v>
      </c>
      <c r="BQ30" s="7">
        <f t="shared" si="251"/>
        <v>463119.75476893131</v>
      </c>
      <c r="BR30" s="7">
        <f t="shared" si="251"/>
        <v>618440.29127485398</v>
      </c>
      <c r="BS30" s="7">
        <f t="shared" ref="BS30:BT30" si="252">IF(OR(BS29="",BS28=""),"",BS28+BS29)</f>
        <v>563619.62979180319</v>
      </c>
      <c r="BT30" s="7">
        <f t="shared" si="252"/>
        <v>535190.70121849305</v>
      </c>
      <c r="BU30" s="7">
        <f t="shared" ref="BU30:BX30" si="253">IF(OR(BU29="",BU28=""),"",BU28+BU29)</f>
        <v>391431.40646854305</v>
      </c>
      <c r="BV30" s="7">
        <f t="shared" si="253"/>
        <v>428551.26165735262</v>
      </c>
      <c r="BW30" s="7">
        <f t="shared" si="253"/>
        <v>540776.99910644558</v>
      </c>
      <c r="BX30" s="7">
        <f t="shared" si="253"/>
        <v>635855.9429680499</v>
      </c>
    </row>
    <row r="31" spans="1:76" s="4" customFormat="1" hidden="1" outlineLevel="1" x14ac:dyDescent="0.25">
      <c r="A31" s="292"/>
      <c r="B31" s="16" t="s">
        <v>13</v>
      </c>
      <c r="C31" s="94"/>
      <c r="D31" s="94"/>
      <c r="E31" s="94"/>
      <c r="F31" s="7">
        <f t="shared" ref="F31:L31" si="254">IF(OR(F28="",F27=""),"",F27-F28)</f>
        <v>0</v>
      </c>
      <c r="G31" s="7">
        <f>IF(OR(G28="",G27=""),"",G27-G28)</f>
        <v>3542.7066619947968</v>
      </c>
      <c r="H31" s="7">
        <f t="shared" si="254"/>
        <v>-2042.587011875763</v>
      </c>
      <c r="I31" s="7">
        <f t="shared" si="254"/>
        <v>-101305.99221352636</v>
      </c>
      <c r="J31" s="7">
        <f t="shared" si="254"/>
        <v>3390.1150170901092</v>
      </c>
      <c r="K31" s="7">
        <f t="shared" si="254"/>
        <v>76961.106998553209</v>
      </c>
      <c r="L31" s="7">
        <f t="shared" si="254"/>
        <v>-50530.984803922765</v>
      </c>
      <c r="M31" s="7">
        <f>IF(OR(M28="",M27=""),"",M27-M28)</f>
        <v>-212267.59868433682</v>
      </c>
      <c r="N31" s="7">
        <f>IF(OR(N30="",N27=""),"",N27-N30)</f>
        <v>-40385.23306946503</v>
      </c>
      <c r="O31" s="7">
        <f t="shared" ref="O31:AE31" si="255">IF(OR(O30="",O27=""),"",O27-O30)</f>
        <v>44343.414292571193</v>
      </c>
      <c r="P31" s="7">
        <f t="shared" si="255"/>
        <v>76836.312043950486</v>
      </c>
      <c r="Q31" s="7">
        <f t="shared" si="255"/>
        <v>86133.198655375512</v>
      </c>
      <c r="R31" s="7">
        <f t="shared" si="255"/>
        <v>-70294.251757633756</v>
      </c>
      <c r="S31" s="7">
        <f t="shared" si="255"/>
        <v>-209165.47822788436</v>
      </c>
      <c r="T31" s="7">
        <f t="shared" si="255"/>
        <v>-137615.28236749448</v>
      </c>
      <c r="U31" s="7">
        <f t="shared" si="255"/>
        <v>248433.71193049941</v>
      </c>
      <c r="V31" s="7">
        <f t="shared" si="255"/>
        <v>354316.74050838663</v>
      </c>
      <c r="W31" s="7">
        <f t="shared" si="255"/>
        <v>594302.11378261668</v>
      </c>
      <c r="X31" s="7">
        <f t="shared" si="255"/>
        <v>473881.47595819214</v>
      </c>
      <c r="Y31" s="7">
        <f t="shared" si="255"/>
        <v>73938.549640369252</v>
      </c>
      <c r="Z31" s="7">
        <f>IF(OR(Z30="",Z27=""),"",Z27-Z30)</f>
        <v>200612.52659305639</v>
      </c>
      <c r="AA31" s="7">
        <f t="shared" si="255"/>
        <v>225839.38155908044</v>
      </c>
      <c r="AB31" s="7">
        <f t="shared" si="255"/>
        <v>88725.423080529552</v>
      </c>
      <c r="AC31" s="7">
        <f t="shared" si="255"/>
        <v>-396580.33258011495</v>
      </c>
      <c r="AD31" s="7">
        <f t="shared" si="255"/>
        <v>-690184.64662341482</v>
      </c>
      <c r="AE31" s="7">
        <f t="shared" si="255"/>
        <v>-288170.78241608408</v>
      </c>
      <c r="AF31" s="7">
        <f t="shared" ref="AF31:AU31" si="256">IF(OR(AF30="",AF27=""),"",AF27-AF30)</f>
        <v>-150227.57297345658</v>
      </c>
      <c r="AG31" s="7">
        <f t="shared" si="256"/>
        <v>977242.2032522778</v>
      </c>
      <c r="AH31" s="7">
        <f t="shared" si="256"/>
        <v>1076194.1040727836</v>
      </c>
      <c r="AI31" s="7">
        <f t="shared" si="256"/>
        <v>1157980.4223658144</v>
      </c>
      <c r="AJ31" s="7">
        <f t="shared" si="256"/>
        <v>496271.50805298146</v>
      </c>
      <c r="AK31" s="7">
        <f t="shared" si="256"/>
        <v>-262709.69895831752</v>
      </c>
      <c r="AL31" s="7">
        <f t="shared" si="256"/>
        <v>-61448.179122828762</v>
      </c>
      <c r="AM31" s="7">
        <f t="shared" si="256"/>
        <v>-97910.102033826523</v>
      </c>
      <c r="AN31" s="7">
        <f t="shared" si="256"/>
        <v>-305797.26770618651</v>
      </c>
      <c r="AO31" s="7">
        <f t="shared" si="256"/>
        <v>-147582.25819023745</v>
      </c>
      <c r="AP31" s="7">
        <f t="shared" si="256"/>
        <v>-142406.98179687787</v>
      </c>
      <c r="AQ31" s="7">
        <f t="shared" si="256"/>
        <v>-56797.649592227943</v>
      </c>
      <c r="AR31" s="7">
        <f t="shared" si="256"/>
        <v>23815.937637465715</v>
      </c>
      <c r="AS31" s="7">
        <f t="shared" si="256"/>
        <v>904559.60754772858</v>
      </c>
      <c r="AT31" s="7">
        <f t="shared" si="256"/>
        <v>1105567.1243381908</v>
      </c>
      <c r="AU31" s="7">
        <f t="shared" si="256"/>
        <v>1064689.7667756402</v>
      </c>
      <c r="AV31" s="7">
        <f>IF(OR(AV30="",AV27=""),"",AV27-AV30)</f>
        <v>625990.25765233708</v>
      </c>
      <c r="AW31" s="126">
        <f>IF(OR(AW30="",AW27=""),"",AW27-AW30)+AW26</f>
        <v>-100972.62667034866</v>
      </c>
      <c r="AX31" s="7">
        <f>IF(OR(AX30="",AX27=""),"",AX27-AX30)</f>
        <v>96776.844755683327</v>
      </c>
      <c r="AY31" s="7">
        <f>IF(OR(AY30="",AY27=""),"",AY27-AY30)</f>
        <v>23888.381840004819</v>
      </c>
      <c r="AZ31" s="7">
        <f t="shared" ref="AZ31:BA31" si="257">IF(OR(AZ30="",AZ27=""),"",AZ27-AZ30)</f>
        <v>-42718.877392770839</v>
      </c>
      <c r="BA31" s="7">
        <f t="shared" si="257"/>
        <v>-5715.4969947760692</v>
      </c>
      <c r="BB31" s="7">
        <f t="shared" ref="BB31:BC31" si="258">IF(OR(BB30="",BB27=""),"",BB27-BB30)</f>
        <v>-31805.438331283862</v>
      </c>
      <c r="BC31" s="7">
        <f t="shared" si="258"/>
        <v>-43297.962055607524</v>
      </c>
      <c r="BD31" s="7">
        <f t="shared" ref="BD31:BE31" si="259">IF(OR(BD30="",BD27=""),"",BD27-BD30)</f>
        <v>127648.96276957291</v>
      </c>
      <c r="BE31" s="7">
        <f t="shared" si="259"/>
        <v>1493988.9684144519</v>
      </c>
      <c r="BF31" s="7">
        <f t="shared" ref="BF31:BG31" si="260">IF(OR(BF30="",BF27=""),"",BF27-BF30)</f>
        <v>-421385.37246273947</v>
      </c>
      <c r="BG31" s="7">
        <f t="shared" si="260"/>
        <v>-359244.89116111054</v>
      </c>
      <c r="BH31" s="7">
        <f t="shared" ref="BH31:BI31" si="261">IF(OR(BH30="",BH27=""),"",BH27-BH30)</f>
        <v>-467122.59356071439</v>
      </c>
      <c r="BI31" s="7">
        <f t="shared" si="261"/>
        <v>-455265.23337635637</v>
      </c>
      <c r="BJ31" s="7">
        <f t="shared" ref="BJ31:BK31" si="262">IF(OR(BJ30="",BJ27=""),"",BJ27-BJ30)</f>
        <v>-355526.41360005661</v>
      </c>
      <c r="BK31" s="7">
        <f t="shared" si="262"/>
        <v>-453633.82874886109</v>
      </c>
      <c r="BL31" s="7">
        <f t="shared" ref="BL31:BQ31" si="263">IF(OR(BL30="",BL27=""),"",BL27-BL30)</f>
        <v>-605372.28853306372</v>
      </c>
      <c r="BM31" s="7">
        <f t="shared" si="263"/>
        <v>-1059851.6646766791</v>
      </c>
      <c r="BN31" s="7">
        <f t="shared" si="263"/>
        <v>-257258.0070895337</v>
      </c>
      <c r="BO31" s="7">
        <f t="shared" si="263"/>
        <v>-254385.92043047288</v>
      </c>
      <c r="BP31" s="7">
        <f t="shared" si="263"/>
        <v>-169096.50694295368</v>
      </c>
      <c r="BQ31" s="7">
        <f t="shared" si="263"/>
        <v>263687.80187570548</v>
      </c>
      <c r="BR31" s="7">
        <f t="shared" ref="BR31:BS31" si="264">IF(OR(BR30="",BR27=""),"",BR27-BR30)</f>
        <v>416804.59615700785</v>
      </c>
      <c r="BS31" s="7">
        <f t="shared" si="264"/>
        <v>480986.87014909449</v>
      </c>
      <c r="BT31" s="7">
        <f t="shared" ref="BT31:BU31" si="265">IF(OR(BT30="",BT27=""),"",BT27-BT30)</f>
        <v>66065.85003162967</v>
      </c>
      <c r="BU31" s="7">
        <f t="shared" si="265"/>
        <v>-226214.67825820943</v>
      </c>
      <c r="BV31" s="7">
        <f t="shared" ref="BV31:BX31" si="266">IF(OR(BV30="",BV27=""),"",BV27-BV30)</f>
        <v>-189001.20831495593</v>
      </c>
      <c r="BW31" s="7">
        <f t="shared" si="266"/>
        <v>-155887.15833917056</v>
      </c>
      <c r="BX31" s="7">
        <f t="shared" si="266"/>
        <v>-234073.25940431078</v>
      </c>
    </row>
    <row r="32" spans="1:76" s="4" customFormat="1" hidden="1" outlineLevel="1" x14ac:dyDescent="0.25">
      <c r="A32" s="292"/>
      <c r="B32" s="17" t="s">
        <v>8</v>
      </c>
      <c r="C32" s="94"/>
      <c r="D32" s="94"/>
      <c r="E32" s="94"/>
      <c r="F32" s="7">
        <f>IF(OR(F9="",F31=""),"",ROUND((F31+E34)*F9/12,2))</f>
        <v>0</v>
      </c>
      <c r="G32" s="7">
        <f t="shared" ref="G32:L32" si="267">IF(OR(G9="",G31=""),"",ROUND((G31+F34)*G9/12,2))</f>
        <v>7.86</v>
      </c>
      <c r="H32" s="7">
        <f t="shared" si="267"/>
        <v>3.36</v>
      </c>
      <c r="I32" s="7">
        <f>IF(OR(I9="",I31=""),"",ROUND((I31+H34)*I9/12,2))</f>
        <v>-220.38</v>
      </c>
      <c r="J32" s="7">
        <f>IF(OR(J9="",J31=""),"",ROUND((J31+I34)*J9/12,2))</f>
        <v>-208.94</v>
      </c>
      <c r="K32" s="7">
        <f>IF(OR(K9="",K31=""),"",ROUND((K31+J34)*K9/12,2))</f>
        <v>-38.94</v>
      </c>
      <c r="L32" s="7">
        <f t="shared" si="267"/>
        <v>-130.13999999999999</v>
      </c>
      <c r="M32" s="7">
        <f>IF(OR(M9="",M31=""),"",ROUND((M31+L34)*M9/12,2))</f>
        <v>-498.25</v>
      </c>
      <c r="N32" s="115">
        <f>IF(OR(N9="",N31=""),"",ROUND((N31+M34)*N9/12,2))+N26</f>
        <v>-489.81000000000006</v>
      </c>
      <c r="O32" s="7">
        <f t="shared" ref="O32" si="268">IF(OR(O9="",O31=""),"",ROUND((O31+N34)*O9/12,2))</f>
        <v>-446.67</v>
      </c>
      <c r="P32" s="7">
        <f t="shared" ref="P32" si="269">IF(OR(P9="",P31=""),"",ROUND((P31+O34)*P9/12,2))</f>
        <v>-320.33</v>
      </c>
      <c r="Q32" s="7">
        <f t="shared" ref="Q32:R32" si="270">IF(OR(Q9="",Q31=""),"",ROUND((Q31+P34)*Q9/12,2))</f>
        <v>-176.85</v>
      </c>
      <c r="R32" s="7">
        <f t="shared" si="270"/>
        <v>-113.95</v>
      </c>
      <c r="S32" s="7">
        <f t="shared" ref="S32" si="271">IF(OR(S9="",S31=""),"",ROUND((S31+R34)*S9/12,2))</f>
        <v>-138.51</v>
      </c>
      <c r="T32" s="7">
        <f t="shared" ref="T32" si="272">IF(OR(T9="",T31=""),"",ROUND((T31+S34)*T9/12,2))</f>
        <v>-24.96</v>
      </c>
      <c r="U32" s="7">
        <f t="shared" ref="U32" si="273">IF(OR(U9="",U31=""),"",ROUND((U31+T34)*U9/12,2))</f>
        <v>9.4600000000000009</v>
      </c>
      <c r="V32" s="7">
        <f t="shared" ref="V32" si="274">IF(OR(V9="",V31=""),"",ROUND((V31+U34)*V9/12,2))</f>
        <v>87.57</v>
      </c>
      <c r="W32" s="7">
        <f t="shared" ref="W32:X32" si="275">IF(OR(W9="",W31=""),"",ROUND((W31+V34)*W9/12,2))</f>
        <v>144.4</v>
      </c>
      <c r="X32" s="7">
        <f t="shared" si="275"/>
        <v>192.71</v>
      </c>
      <c r="Y32" s="7">
        <f>IF(OR(Y9="",Y31=""),"",ROUND((Y31+X34)*Y9/12,2))</f>
        <v>341.94</v>
      </c>
      <c r="Z32" s="7">
        <f>IF(OR(Z9="",Z31=""),"",ROUND((Z29+Z31+Y34+Z26)*Z9/12,2))+Z26</f>
        <v>988.38</v>
      </c>
      <c r="AA32" s="7">
        <f>IF(OR(AA9="",AA31=""),"",ROUND((AA29+AA31+Z34)*AA9/12,2))</f>
        <v>650.36</v>
      </c>
      <c r="AB32" s="7">
        <f>IF(OR(AB9="",AB31=""),"",ROUND((AB29+AB31+AA34)*AB9/12,2))</f>
        <v>510.04</v>
      </c>
      <c r="AC32" s="7">
        <f t="shared" ref="AC32:AE32" si="276">IF(OR(AC9="",AC31=""),"",ROUND((AC29+AC31+AB34)*AC9/12,2))</f>
        <v>456.47</v>
      </c>
      <c r="AD32" s="7">
        <f t="shared" si="276"/>
        <v>247.69</v>
      </c>
      <c r="AE32" s="7">
        <f t="shared" si="276"/>
        <v>171.75</v>
      </c>
      <c r="AF32" s="7">
        <f t="shared" ref="AF32" si="277">IF(OR(AF9="",AF31=""),"",ROUND((AF29+AF31+AE34)*AF9/12,2))</f>
        <v>110.11</v>
      </c>
      <c r="AG32" s="7">
        <f t="shared" ref="AG32" si="278">IF(OR(AG9="",AG31=""),"",ROUND((AG29+AG31+AF34)*AG9/12,2))</f>
        <v>224.39</v>
      </c>
      <c r="AH32" s="7">
        <f t="shared" ref="AH32" si="279">IF(OR(AH9="",AH31=""),"",ROUND((AH29+AH31+AG34)*AH9/12,2))</f>
        <v>244.94</v>
      </c>
      <c r="AI32" s="7">
        <f t="shared" ref="AI32" si="280">IF(OR(AI9="",AI31=""),"",ROUND((AI29+AI31+AH34)*AI9/12,2))</f>
        <v>504.7</v>
      </c>
      <c r="AJ32" s="7">
        <f t="shared" ref="AJ32" si="281">IF(OR(AJ9="",AJ31=""),"",ROUND((AJ29+AJ31+AI34)*AJ9/12,2))</f>
        <v>506.2</v>
      </c>
      <c r="AK32" s="7">
        <f t="shared" ref="AK32" si="282">IF(OR(AK9="",AK31=""),"",ROUND((AK29+AK31+AJ34)*AK9/12,2))</f>
        <v>333.67</v>
      </c>
      <c r="AL32" s="7">
        <f t="shared" ref="AL32" si="283">IF(OR(AL9="",AL31=""),"",ROUND((AL29+AL31+AK34)*AL9/12,2))</f>
        <v>307.64999999999998</v>
      </c>
      <c r="AM32" s="7">
        <f t="shared" ref="AM32" si="284">IF(OR(AM9="",AM31=""),"",ROUND((AM29+AM31+AL34)*AM9/12,2))</f>
        <v>447.9</v>
      </c>
      <c r="AN32" s="7">
        <f t="shared" ref="AN32" si="285">IF(OR(AN9="",AN31=""),"",ROUND((AN29+AN31+AM34)*AN9/12,2))</f>
        <v>280.74</v>
      </c>
      <c r="AO32" s="7">
        <f t="shared" ref="AO32" si="286">IF(OR(AO9="",AO31=""),"",ROUND((AO29+AO31+AN34)*AO9/12,2))</f>
        <v>251.34</v>
      </c>
      <c r="AP32" s="7">
        <f t="shared" ref="AP32" si="287">IF(OR(AP9="",AP31=""),"",ROUND((AP29+AP31+AO34)*AP9/12,2))</f>
        <v>435.39</v>
      </c>
      <c r="AQ32" s="7">
        <f t="shared" ref="AQ32" si="288">IF(OR(AQ9="",AQ31=""),"",ROUND((AQ29+AQ31+AP34)*AQ9/12,2))</f>
        <v>306.26</v>
      </c>
      <c r="AR32" s="7">
        <f t="shared" ref="AR32" si="289">IF(OR(AR9="",AR31=""),"",ROUND((AR29+AR31+AQ34)*AR9/12,2))</f>
        <v>436.47</v>
      </c>
      <c r="AS32" s="7">
        <f t="shared" ref="AS32" si="290">IF(OR(AS9="",AS31=""),"",ROUND((AS29+AS31+AR34)*AS9/12,2))</f>
        <v>1670.13</v>
      </c>
      <c r="AT32" s="7">
        <f t="shared" ref="AT32" si="291">IF(OR(AT9="",AT31=""),"",ROUND((AT29+AT31+AS34)*AT9/12,2))</f>
        <v>3955.58</v>
      </c>
      <c r="AU32" s="7">
        <f t="shared" ref="AU32" si="292">IF(OR(AU9="",AU31=""),"",ROUND((AU29+AU31+AT34)*AU9/12,2))</f>
        <v>6913.29</v>
      </c>
      <c r="AV32" s="7">
        <f>IF(OR(AV9="",AV31=""),"",ROUND((AV29+AV31+AU34)*AV9/12,2))</f>
        <v>8882.3700000000008</v>
      </c>
      <c r="AW32" s="7">
        <f>IF(OR(AW9="",AW31=""),"",ROUND((AW29+AW31+AV34)*AW9/12,2))</f>
        <v>10335.74</v>
      </c>
      <c r="AX32" s="7">
        <f>IF(OR(AX9="",AX31=""),"",ROUND((AX29+AX31+AW34)*AX9/12,2))</f>
        <v>12862.73</v>
      </c>
      <c r="AY32" s="7">
        <f>IF(OR(AY9="",AY31=""),"",ROUND((AY29+AY31+AX34)*AY9/12,2))</f>
        <v>13527.96</v>
      </c>
      <c r="AZ32" s="115">
        <f>IF(OR(AZ9="",AZ31=""),"",ROUND((AZ29+AZ31+AY34)*AZ9/12,2))+AZ26</f>
        <v>13116.08</v>
      </c>
      <c r="BA32" s="114">
        <f t="shared" ref="BA32:BL32" si="293">IF(OR(BA9="",BA31=""),"",ROUND((BA29+BA31+AZ34)*BA9/12,2))</f>
        <v>12399.78</v>
      </c>
      <c r="BB32" s="114">
        <f t="shared" si="293"/>
        <v>11540.32</v>
      </c>
      <c r="BC32" s="114">
        <f t="shared" si="293"/>
        <v>10966.45</v>
      </c>
      <c r="BD32" s="114">
        <f t="shared" si="293"/>
        <v>10847.16</v>
      </c>
      <c r="BE32" s="114">
        <f t="shared" si="293"/>
        <v>16575.080000000002</v>
      </c>
      <c r="BF32" s="114">
        <f t="shared" si="293"/>
        <v>13333.67</v>
      </c>
      <c r="BG32" s="114">
        <f t="shared" si="293"/>
        <v>10310.049999999999</v>
      </c>
      <c r="BH32" s="114">
        <f t="shared" si="293"/>
        <v>6725.21</v>
      </c>
      <c r="BI32" s="114">
        <f t="shared" si="293"/>
        <v>3553.59</v>
      </c>
      <c r="BJ32" s="114">
        <f t="shared" si="293"/>
        <v>991.49</v>
      </c>
      <c r="BK32" s="114">
        <f t="shared" si="293"/>
        <v>-2434.84</v>
      </c>
      <c r="BL32" s="114">
        <f t="shared" si="293"/>
        <v>-6774.95</v>
      </c>
      <c r="BM32" s="272">
        <f>IF(OR(BM9="",BM31=""),"",ROUND((BM29+BM31+BL34+BM26)*BM9/12,2))</f>
        <v>-9970.52</v>
      </c>
      <c r="BN32" s="114">
        <f t="shared" ref="BN32:BU32" si="294">IF(OR(BN9="",BN31=""),"",ROUND((BN29+BN31+BM34)*BN9/12,2))</f>
        <v>-10781.9</v>
      </c>
      <c r="BO32" s="114">
        <f t="shared" si="294"/>
        <v>-11691.16</v>
      </c>
      <c r="BP32" s="114">
        <f t="shared" si="294"/>
        <v>-12091.1</v>
      </c>
      <c r="BQ32" s="114">
        <f t="shared" si="294"/>
        <v>-10505.19</v>
      </c>
      <c r="BR32" s="114">
        <f t="shared" si="294"/>
        <v>-7916.97</v>
      </c>
      <c r="BS32" s="114">
        <f t="shared" si="294"/>
        <v>-5015.24</v>
      </c>
      <c r="BT32" s="114">
        <f t="shared" si="294"/>
        <v>-3893.39</v>
      </c>
      <c r="BU32" s="114">
        <f t="shared" si="294"/>
        <v>-4152.6099999999997</v>
      </c>
      <c r="BV32" s="114">
        <f t="shared" ref="BV32" si="295">IF(OR(BV9="",BV31=""),"",ROUND((BV29+BV31+BU34)*BV9/12,2))</f>
        <v>-4487.37</v>
      </c>
      <c r="BW32" s="114">
        <f t="shared" ref="BW32" si="296">IF(OR(BW9="",BW31=""),"",ROUND((BW29+BW31+BV34)*BW9/12,2))</f>
        <v>-4565.97</v>
      </c>
      <c r="BX32" s="114">
        <f t="shared" ref="BX32" si="297">IF(OR(BX9="",BX31=""),"",ROUND((BX29+BX31+BW34)*BX9/12,2))</f>
        <v>-4863.99</v>
      </c>
    </row>
    <row r="33" spans="1:76" s="4" customFormat="1" hidden="1" outlineLevel="1" x14ac:dyDescent="0.25">
      <c r="A33" s="292"/>
      <c r="B33" s="16" t="s">
        <v>14</v>
      </c>
      <c r="C33" s="94"/>
      <c r="D33" s="94"/>
      <c r="E33" s="94"/>
      <c r="F33" s="7">
        <f t="shared" ref="F33:M33" si="298">IF(OR(F31="",F32=""),"",F31+F32)</f>
        <v>0</v>
      </c>
      <c r="G33" s="7">
        <f>IF(OR(G31="",G32=""),"",G31+G32)</f>
        <v>3550.566661994797</v>
      </c>
      <c r="H33" s="7">
        <f t="shared" si="298"/>
        <v>-2039.2270118757631</v>
      </c>
      <c r="I33" s="7">
        <f t="shared" si="298"/>
        <v>-101526.37221352637</v>
      </c>
      <c r="J33" s="7">
        <f t="shared" si="298"/>
        <v>3181.1750170901091</v>
      </c>
      <c r="K33" s="7">
        <f t="shared" si="298"/>
        <v>76922.166998553206</v>
      </c>
      <c r="L33" s="7">
        <f t="shared" si="298"/>
        <v>-50661.124803922765</v>
      </c>
      <c r="M33" s="7">
        <f t="shared" si="298"/>
        <v>-212765.84868433682</v>
      </c>
      <c r="N33" s="7">
        <f>IF(OR(N31="",N32=""),"",N31+N32)</f>
        <v>-40875.043069465028</v>
      </c>
      <c r="O33" s="7">
        <f>IF(OR(O31="",O32=""),"",O31+O32)</f>
        <v>43896.744292571195</v>
      </c>
      <c r="P33" s="7">
        <f t="shared" ref="P33:AE33" si="299">IF(OR(P31="",P32=""),"",P31+P32)</f>
        <v>76515.982043950484</v>
      </c>
      <c r="Q33" s="7">
        <f>IF(OR(Q31="",Q32=""),"",Q31+Q32)</f>
        <v>85956.348655375506</v>
      </c>
      <c r="R33" s="7">
        <f t="shared" si="299"/>
        <v>-70408.201757633753</v>
      </c>
      <c r="S33" s="7">
        <f t="shared" si="299"/>
        <v>-209303.98822788437</v>
      </c>
      <c r="T33" s="7">
        <f t="shared" si="299"/>
        <v>-137640.24236749447</v>
      </c>
      <c r="U33" s="7">
        <f t="shared" si="299"/>
        <v>248443.1719304994</v>
      </c>
      <c r="V33" s="7">
        <f t="shared" si="299"/>
        <v>354404.31050838664</v>
      </c>
      <c r="W33" s="7">
        <f t="shared" si="299"/>
        <v>594446.5137826167</v>
      </c>
      <c r="X33" s="7">
        <f t="shared" si="299"/>
        <v>474074.18595819216</v>
      </c>
      <c r="Y33" s="7">
        <f t="shared" si="299"/>
        <v>74280.489640369255</v>
      </c>
      <c r="Z33" s="7">
        <f>IF(OR(Z31="",Z32=""),"",Z31+Z32)</f>
        <v>201600.9065930564</v>
      </c>
      <c r="AA33" s="7">
        <f t="shared" si="299"/>
        <v>226489.74155908043</v>
      </c>
      <c r="AB33" s="7">
        <f t="shared" si="299"/>
        <v>89235.463080529546</v>
      </c>
      <c r="AC33" s="7">
        <f t="shared" si="299"/>
        <v>-396123.86258011498</v>
      </c>
      <c r="AD33" s="7">
        <f t="shared" si="299"/>
        <v>-689936.95662341488</v>
      </c>
      <c r="AE33" s="7">
        <f t="shared" si="299"/>
        <v>-287999.03241608408</v>
      </c>
      <c r="AF33" s="7">
        <f t="shared" ref="AF33:AU33" si="300">IF(OR(AF31="",AF32=""),"",AF31+AF32)</f>
        <v>-150117.4629734566</v>
      </c>
      <c r="AG33" s="7">
        <f t="shared" si="300"/>
        <v>977466.59325227782</v>
      </c>
      <c r="AH33" s="7">
        <f t="shared" si="300"/>
        <v>1076439.0440727836</v>
      </c>
      <c r="AI33" s="7">
        <f t="shared" si="300"/>
        <v>1158485.1223658144</v>
      </c>
      <c r="AJ33" s="7">
        <f t="shared" si="300"/>
        <v>496777.70805298147</v>
      </c>
      <c r="AK33" s="7">
        <f t="shared" si="300"/>
        <v>-262376.02895831753</v>
      </c>
      <c r="AL33" s="7">
        <f t="shared" si="300"/>
        <v>-61140.529122828761</v>
      </c>
      <c r="AM33" s="7">
        <f t="shared" si="300"/>
        <v>-97462.202033826528</v>
      </c>
      <c r="AN33" s="7">
        <f t="shared" si="300"/>
        <v>-305516.52770618652</v>
      </c>
      <c r="AO33" s="7">
        <f t="shared" si="300"/>
        <v>-147330.91819023745</v>
      </c>
      <c r="AP33" s="7">
        <f t="shared" si="300"/>
        <v>-141971.59179687785</v>
      </c>
      <c r="AQ33" s="7">
        <f t="shared" si="300"/>
        <v>-56491.389592227941</v>
      </c>
      <c r="AR33" s="7">
        <f t="shared" si="300"/>
        <v>24252.407637465716</v>
      </c>
      <c r="AS33" s="7">
        <f t="shared" si="300"/>
        <v>906229.73754772858</v>
      </c>
      <c r="AT33" s="7">
        <f t="shared" si="300"/>
        <v>1109522.7043381908</v>
      </c>
      <c r="AU33" s="7">
        <f t="shared" si="300"/>
        <v>1071603.0567756402</v>
      </c>
      <c r="AV33" s="7">
        <f>IF(OR(AV31="",AV32=""),"",AV31+AV32)</f>
        <v>634872.62765233708</v>
      </c>
      <c r="AW33" s="7">
        <f>IF(OR(AW31="",AW32=""),"",AW31+AW32)</f>
        <v>-90636.886670348656</v>
      </c>
      <c r="AX33" s="7">
        <f>IF(OR(AX31="",AX32=""),"",AX31+AX32)</f>
        <v>109639.57475568332</v>
      </c>
      <c r="AY33" s="7">
        <f t="shared" ref="AY33" si="301">IF(OR(AY31="",AY32=""),"",AY31+AY32)</f>
        <v>37416.341840004818</v>
      </c>
      <c r="AZ33" s="7">
        <f t="shared" ref="AZ33:BA33" si="302">IF(OR(AZ31="",AZ32=""),"",AZ31+AZ32)</f>
        <v>-29602.797392770837</v>
      </c>
      <c r="BA33" s="7">
        <f t="shared" si="302"/>
        <v>6684.2830052239315</v>
      </c>
      <c r="BB33" s="7">
        <f t="shared" ref="BB33:BC33" si="303">IF(OR(BB31="",BB32=""),"",BB31+BB32)</f>
        <v>-20265.118331283862</v>
      </c>
      <c r="BC33" s="7">
        <f t="shared" si="303"/>
        <v>-32331.512055607524</v>
      </c>
      <c r="BD33" s="7">
        <f t="shared" ref="BD33:BE33" si="304">IF(OR(BD31="",BD32=""),"",BD31+BD32)</f>
        <v>138496.12276957292</v>
      </c>
      <c r="BE33" s="7">
        <f t="shared" si="304"/>
        <v>1510564.048414452</v>
      </c>
      <c r="BF33" s="7">
        <f t="shared" ref="BF33:BG33" si="305">IF(OR(BF31="",BF32=""),"",BF31+BF32)</f>
        <v>-408051.70246273949</v>
      </c>
      <c r="BG33" s="7">
        <f t="shared" si="305"/>
        <v>-348934.84116111055</v>
      </c>
      <c r="BH33" s="7">
        <f t="shared" ref="BH33:BI33" si="306">IF(OR(BH31="",BH32=""),"",BH31+BH32)</f>
        <v>-460397.38356071437</v>
      </c>
      <c r="BI33" s="7">
        <f t="shared" si="306"/>
        <v>-451711.64337635634</v>
      </c>
      <c r="BJ33" s="7">
        <f t="shared" ref="BJ33:BK33" si="307">IF(OR(BJ31="",BJ32=""),"",BJ31+BJ32)</f>
        <v>-354534.92360005662</v>
      </c>
      <c r="BK33" s="7">
        <f t="shared" si="307"/>
        <v>-456068.66874886112</v>
      </c>
      <c r="BL33" s="7">
        <f t="shared" ref="BL33" si="308">IF(OR(BL31="",BL32=""),"",BL31+BL32)</f>
        <v>-612147.23853306368</v>
      </c>
      <c r="BM33" s="7">
        <f t="shared" ref="BM33:BR33" si="309">IF(OR(BM31="",BM32=""),"",BM31+BM32)</f>
        <v>-1069822.1846766791</v>
      </c>
      <c r="BN33" s="7">
        <f t="shared" si="309"/>
        <v>-268039.90708953369</v>
      </c>
      <c r="BO33" s="7">
        <f t="shared" si="309"/>
        <v>-266077.08043047285</v>
      </c>
      <c r="BP33" s="7">
        <f t="shared" si="309"/>
        <v>-181187.60694295369</v>
      </c>
      <c r="BQ33" s="7">
        <f t="shared" si="309"/>
        <v>253182.61187570548</v>
      </c>
      <c r="BR33" s="7">
        <f t="shared" si="309"/>
        <v>408887.62615700788</v>
      </c>
      <c r="BS33" s="7">
        <f t="shared" ref="BS33:BT33" si="310">IF(OR(BS31="",BS32=""),"",BS31+BS32)</f>
        <v>475971.6301490945</v>
      </c>
      <c r="BT33" s="7">
        <f t="shared" si="310"/>
        <v>62172.460031629671</v>
      </c>
      <c r="BU33" s="7">
        <f t="shared" ref="BU33:BX33" si="311">IF(OR(BU31="",BU32=""),"",BU31+BU32)</f>
        <v>-230367.28825820942</v>
      </c>
      <c r="BV33" s="7">
        <f t="shared" si="311"/>
        <v>-193488.57831495593</v>
      </c>
      <c r="BW33" s="7">
        <f t="shared" si="311"/>
        <v>-160453.12833917057</v>
      </c>
      <c r="BX33" s="7">
        <f t="shared" si="311"/>
        <v>-238937.24940431077</v>
      </c>
    </row>
    <row r="34" spans="1:76" s="4" customFormat="1" hidden="1" outlineLevel="1" x14ac:dyDescent="0.25">
      <c r="A34" s="292"/>
      <c r="B34" s="18" t="s">
        <v>15</v>
      </c>
      <c r="C34" s="94"/>
      <c r="D34" s="94"/>
      <c r="E34" s="94"/>
      <c r="F34" s="7">
        <f>IF(OR(F33=""),"",F33)</f>
        <v>0</v>
      </c>
      <c r="G34" s="7">
        <f>IF(OR(G33="",F34=""),"",G33+F34)</f>
        <v>3550.566661994797</v>
      </c>
      <c r="H34" s="7">
        <f t="shared" ref="H34:K34" si="312">IF(OR(H33="",G34=""),"",H33+G34)</f>
        <v>1511.3396501190339</v>
      </c>
      <c r="I34" s="7">
        <f t="shared" si="312"/>
        <v>-100015.03256340734</v>
      </c>
      <c r="J34" s="7">
        <f t="shared" si="312"/>
        <v>-96833.857546317231</v>
      </c>
      <c r="K34" s="7">
        <f t="shared" si="312"/>
        <v>-19911.690547764025</v>
      </c>
      <c r="L34" s="7">
        <f>IF(OR(L33="",K34=""),"",L33+K34)</f>
        <v>-70572.81535168679</v>
      </c>
      <c r="M34" s="7">
        <f>IF(OR(M33="",L34=""),"",M33+L34)</f>
        <v>-283338.66403602361</v>
      </c>
      <c r="N34" s="7">
        <f>IF(OR(N33="",M34=""),"",N33+N29+M34)</f>
        <v>-324213.70710548863</v>
      </c>
      <c r="O34" s="7">
        <f>IF(OR(O33="",N34=""),"",O33+O29+N34)</f>
        <v>-280316.96281291742</v>
      </c>
      <c r="P34" s="7">
        <f t="shared" ref="P34:AE34" si="313">IF(OR(P33="",O34=""),"",P33+P29+O34)</f>
        <v>-203800.98076896695</v>
      </c>
      <c r="Q34" s="7">
        <f t="shared" si="313"/>
        <v>-2111.6621135914465</v>
      </c>
      <c r="R34" s="7">
        <f t="shared" si="313"/>
        <v>32054.646128774795</v>
      </c>
      <c r="S34" s="7">
        <f t="shared" si="313"/>
        <v>-94430.362099109581</v>
      </c>
      <c r="T34" s="7">
        <f t="shared" si="313"/>
        <v>-158064.95446660405</v>
      </c>
      <c r="U34" s="7">
        <f t="shared" si="313"/>
        <v>188319.39746389538</v>
      </c>
      <c r="V34" s="7">
        <f t="shared" si="313"/>
        <v>674318.377972282</v>
      </c>
      <c r="W34" s="7">
        <f t="shared" si="313"/>
        <v>1392292.0217548986</v>
      </c>
      <c r="X34" s="7">
        <f t="shared" si="313"/>
        <v>1977689.1577130908</v>
      </c>
      <c r="Y34" s="7">
        <f t="shared" si="313"/>
        <v>2127189.35735346</v>
      </c>
      <c r="Z34" s="7">
        <f>IF(OR(Z33="",Y34=""),"",Z33+Z29+Y34)</f>
        <v>2409031.7639465164</v>
      </c>
      <c r="AA34" s="7">
        <f t="shared" si="313"/>
        <v>2741923.1455055969</v>
      </c>
      <c r="AB34" s="7">
        <f t="shared" si="313"/>
        <v>2969628.3885861263</v>
      </c>
      <c r="AC34" s="7">
        <f t="shared" si="313"/>
        <v>2359294.6860060114</v>
      </c>
      <c r="AD34" s="7">
        <f t="shared" si="313"/>
        <v>1391292.7993825965</v>
      </c>
      <c r="AE34" s="7">
        <f t="shared" si="313"/>
        <v>915664.59696651238</v>
      </c>
      <c r="AF34" s="7">
        <f t="shared" ref="AF34" si="314">IF(OR(AF33="",AE34=""),"",AF33+AF29+AE34)</f>
        <v>589263.42399305583</v>
      </c>
      <c r="AG34" s="7">
        <f t="shared" ref="AG34" si="315">IF(OR(AG33="",AF34=""),"",AG33+AG29+AF34)</f>
        <v>1335506.7472453336</v>
      </c>
      <c r="AH34" s="7">
        <f t="shared" ref="AH34" si="316">IF(OR(AH33="",AG34=""),"",AH33+AH29+AG34)</f>
        <v>2106522.0613181172</v>
      </c>
      <c r="AI34" s="7">
        <f t="shared" ref="AI34" si="317">IF(OR(AI33="",AH34=""),"",AI33+AI29+AH34)</f>
        <v>2953392.1736839316</v>
      </c>
      <c r="AJ34" s="7">
        <f t="shared" ref="AJ34" si="318">IF(OR(AJ33="",AI34=""),"",AJ33+AJ29+AI34)</f>
        <v>3144077.431736913</v>
      </c>
      <c r="AK34" s="7">
        <f t="shared" ref="AK34" si="319">IF(OR(AK33="",AJ34=""),"",AK33+AK29+AJ34)</f>
        <v>2669733.3027785956</v>
      </c>
      <c r="AL34" s="7">
        <f t="shared" ref="AL34" si="320">IF(OR(AL33="",AK34=""),"",AL33+AL29+AK34)</f>
        <v>2409964.1436557667</v>
      </c>
      <c r="AM34" s="7">
        <f t="shared" ref="AM34" si="321">IF(OR(AM33="",AL34=""),"",AM33+AM29+AL34)</f>
        <v>2063973.0116219402</v>
      </c>
      <c r="AN34" s="7">
        <f t="shared" ref="AN34" si="322">IF(OR(AN33="",AM34=""),"",AN33+AN29+AM34)</f>
        <v>1437217.4439157536</v>
      </c>
      <c r="AO34" s="7">
        <f t="shared" ref="AO34" si="323">IF(OR(AO33="",AN34=""),"",AO33+AO29+AN34)</f>
        <v>1019711.0757255162</v>
      </c>
      <c r="AP34" s="7">
        <f t="shared" ref="AP34" si="324">IF(OR(AP33="",AO34=""),"",AP33+AP29+AO34)</f>
        <v>759507.27392863831</v>
      </c>
      <c r="AQ34" s="7">
        <f t="shared" ref="AQ34" si="325">IF(OR(AQ33="",AP34=""),"",AQ33+AQ29+AP34)</f>
        <v>612411.01433641044</v>
      </c>
      <c r="AR34" s="7">
        <f t="shared" ref="AR34" si="326">IF(OR(AR33="",AQ34=""),"",AR33+AR29+AQ34)</f>
        <v>551941.21197387611</v>
      </c>
      <c r="AS34" s="7">
        <f t="shared" ref="AS34" si="327">IF(OR(AS33="",AR34=""),"",AS33+AS29+AR34)</f>
        <v>1350484.9895216047</v>
      </c>
      <c r="AT34" s="7">
        <f t="shared" ref="AT34" si="328">IF(OR(AT33="",AS34=""),"",AT33+AT29+AS34)</f>
        <v>2311885.0038597956</v>
      </c>
      <c r="AU34" s="7">
        <f t="shared" ref="AU34" si="329">IF(OR(AU33="",AT34=""),"",AU33+AU29+AT34)</f>
        <v>3242392.0906354357</v>
      </c>
      <c r="AV34" s="7">
        <f>IF(OR(AV33="",AU34=""),"",AV33+AV29+AU34)</f>
        <v>3759756.0682877726</v>
      </c>
      <c r="AW34" s="7">
        <f>IF(OR(AW33="",AV34=""),"",AW33+AW29+AV34)</f>
        <v>3584531.4716174239</v>
      </c>
      <c r="AX34" s="7">
        <f>IF(OR(AX33="",AW34=""),"",AX33+AX29+AW34)</f>
        <v>3614105.4463731074</v>
      </c>
      <c r="AY34" s="7">
        <f t="shared" ref="AY34:BL34" si="330">IF(OR(AY33="",AX34=""),"",AY33+AY29+AX34)</f>
        <v>3529106.8282131124</v>
      </c>
      <c r="AZ34" s="7">
        <f t="shared" si="330"/>
        <v>3352539.2708203415</v>
      </c>
      <c r="BA34" s="7">
        <f t="shared" si="330"/>
        <v>3081688.0738255656</v>
      </c>
      <c r="BB34" s="7">
        <f t="shared" si="330"/>
        <v>2787094.1954942816</v>
      </c>
      <c r="BC34" s="7">
        <f t="shared" si="330"/>
        <v>2518194.0234386739</v>
      </c>
      <c r="BD34" s="7">
        <f t="shared" si="330"/>
        <v>2454458.716208247</v>
      </c>
      <c r="BE34" s="7">
        <f t="shared" si="330"/>
        <v>3703462.2946226988</v>
      </c>
      <c r="BF34" s="7">
        <f t="shared" si="330"/>
        <v>2953145.612159959</v>
      </c>
      <c r="BG34" s="7">
        <f t="shared" si="330"/>
        <v>2251431.3209988484</v>
      </c>
      <c r="BH34" s="7">
        <f t="shared" si="330"/>
        <v>1464731.0174381342</v>
      </c>
      <c r="BI34" s="7">
        <f t="shared" si="330"/>
        <v>776430.3140617779</v>
      </c>
      <c r="BJ34" s="7">
        <f t="shared" si="330"/>
        <v>215056.56046172127</v>
      </c>
      <c r="BK34" s="7">
        <f t="shared" si="330"/>
        <v>-529117.54828713986</v>
      </c>
      <c r="BL34" s="7">
        <f t="shared" si="330"/>
        <v>-1518385.7868202035</v>
      </c>
      <c r="BM34" s="126">
        <f>IF(OR(BM33="",BL34=""),"",BM33+BM29+BL34+BM26)</f>
        <v>-2235047.8170398204</v>
      </c>
      <c r="BN34" s="7">
        <f t="shared" ref="BN34:BU34" si="331">IF(OR(BN33="",BM34=""),"",BN33+BN29+BM34)</f>
        <v>-2394121.8241293542</v>
      </c>
      <c r="BO34" s="7">
        <f t="shared" si="331"/>
        <v>-2562413.5145598268</v>
      </c>
      <c r="BP34" s="7">
        <f t="shared" si="331"/>
        <v>-2654954.9015027806</v>
      </c>
      <c r="BQ34" s="7">
        <f t="shared" si="331"/>
        <v>-2280752.4396270751</v>
      </c>
      <c r="BR34" s="7">
        <f t="shared" si="331"/>
        <v>-1710061.6934700673</v>
      </c>
      <c r="BS34" s="7">
        <f t="shared" si="331"/>
        <v>-1086669.1733209728</v>
      </c>
      <c r="BT34" s="7">
        <f t="shared" si="331"/>
        <v>-884526.81328934315</v>
      </c>
      <c r="BU34" s="7">
        <f t="shared" si="331"/>
        <v>-1012732.5515475526</v>
      </c>
      <c r="BV34" s="7">
        <f t="shared" ref="BV34" si="332">IF(OR(BV33="",BU34=""),"",BV33+BV29+BU34)</f>
        <v>-1094372.1798625086</v>
      </c>
      <c r="BW34" s="7">
        <f t="shared" ref="BW34" si="333">IF(OR(BW33="",BV34=""),"",BW33+BW29+BV34)</f>
        <v>-1113540.328201679</v>
      </c>
      <c r="BX34" s="7">
        <f t="shared" ref="BX34" si="334">IF(OR(BX33="",BW34=""),"",BX33+BX29+BW34)</f>
        <v>-1186222.7276059899</v>
      </c>
    </row>
    <row r="35" spans="1:76" s="4" customFormat="1" ht="8.25" hidden="1" customHeight="1" outlineLevel="1" x14ac:dyDescent="0.25">
      <c r="A35" s="40"/>
      <c r="B35" s="11"/>
      <c r="C35" s="99"/>
      <c r="D35" s="99"/>
      <c r="E35" s="99"/>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row>
    <row r="36" spans="1:76" s="4" customFormat="1" ht="15" hidden="1" customHeight="1" outlineLevel="1" x14ac:dyDescent="0.25">
      <c r="A36" s="292" t="s">
        <v>21</v>
      </c>
      <c r="B36" s="15"/>
      <c r="C36" s="94"/>
      <c r="D36" s="94"/>
      <c r="E36" s="94"/>
      <c r="F36" s="7"/>
      <c r="G36" s="7"/>
      <c r="H36" s="7"/>
      <c r="I36" s="7"/>
      <c r="J36" s="7"/>
      <c r="K36" s="7"/>
      <c r="L36" s="7"/>
      <c r="M36" s="7"/>
      <c r="N36" s="113">
        <f>'MEEIA 3 adjs'!L22</f>
        <v>1.999999999998181E-2</v>
      </c>
      <c r="O36" s="7"/>
      <c r="P36" s="7"/>
      <c r="Q36" s="7"/>
      <c r="R36" s="7"/>
      <c r="S36" s="7"/>
      <c r="T36" s="7"/>
      <c r="U36" s="7"/>
      <c r="V36" s="7"/>
      <c r="W36" s="7"/>
      <c r="X36" s="7"/>
      <c r="Y36" s="7"/>
      <c r="Z36" s="113">
        <f>'MEEIA 3 adjs'!AA44</f>
        <v>78.53</v>
      </c>
      <c r="AA36" s="7"/>
      <c r="AB36" s="7"/>
      <c r="AC36" s="7"/>
      <c r="AD36" s="7"/>
      <c r="AE36" s="7"/>
      <c r="AF36" s="7"/>
      <c r="AG36" s="7"/>
      <c r="AH36" s="7"/>
      <c r="AI36" s="7"/>
      <c r="AJ36" s="7"/>
      <c r="AK36" s="7"/>
      <c r="AL36" s="7"/>
      <c r="AM36" s="7"/>
      <c r="AN36" s="7"/>
      <c r="AO36" s="7"/>
      <c r="AP36" s="7"/>
      <c r="AQ36" s="7"/>
      <c r="AR36" s="7"/>
      <c r="AS36" s="7"/>
      <c r="AT36" s="7"/>
      <c r="AU36" s="7"/>
      <c r="AV36" s="7"/>
      <c r="AW36" s="126">
        <v>26657.471334484057</v>
      </c>
      <c r="AX36" s="7"/>
      <c r="AY36" s="7"/>
      <c r="AZ36" s="113">
        <f>'MEEIA 3 adjs'!DZ42</f>
        <v>-27.780000000000655</v>
      </c>
      <c r="BA36" s="7"/>
      <c r="BB36" s="7"/>
      <c r="BC36" s="7"/>
      <c r="BD36" s="7"/>
      <c r="BE36" s="7"/>
      <c r="BF36" s="7"/>
      <c r="BG36" s="7"/>
      <c r="BH36" s="7"/>
      <c r="BI36" s="7"/>
      <c r="BJ36" s="7"/>
      <c r="BK36" s="7"/>
      <c r="BL36" s="7"/>
      <c r="BM36" s="68">
        <v>8651.4029467096771</v>
      </c>
      <c r="BN36" s="7"/>
      <c r="BO36" s="7"/>
      <c r="BP36" s="7"/>
      <c r="BQ36" s="7"/>
      <c r="BR36" s="7"/>
      <c r="BS36" s="7"/>
      <c r="BT36" s="7"/>
      <c r="BU36" s="7"/>
      <c r="BV36" s="7"/>
      <c r="BW36" s="7"/>
      <c r="BX36" s="7"/>
    </row>
    <row r="37" spans="1:76" s="2" customFormat="1" ht="15" hidden="1" customHeight="1" outlineLevel="1" x14ac:dyDescent="0.25">
      <c r="A37" s="292"/>
      <c r="B37" s="15" t="s">
        <v>28</v>
      </c>
      <c r="C37" s="94"/>
      <c r="D37" s="94"/>
      <c r="E37" s="94"/>
      <c r="F37" s="20">
        <f>IF('M3 Allocations - TD'!D6="","",'M3 Allocations - TD'!D32)</f>
        <v>0.34412602678174997</v>
      </c>
      <c r="G37" s="20">
        <f>IF('M3 Allocations - TD'!E6="","",'M3 Allocations - TD'!E32)</f>
        <v>593.85341007321881</v>
      </c>
      <c r="H37" s="20">
        <f>IF('M3 Allocations - TD'!F6="","",'M3 Allocations - TD'!F32)</f>
        <v>8368.5225960071712</v>
      </c>
      <c r="I37" s="20">
        <f>IF('M3 Allocations - TD'!G6="","",'M3 Allocations - TD'!G32)</f>
        <v>23641.814181406706</v>
      </c>
      <c r="J37" s="20">
        <f>IF('M3 Allocations - TD'!H6="","",'M3 Allocations - TD'!H32)</f>
        <v>47663.861231335664</v>
      </c>
      <c r="K37" s="20">
        <f>IF('M3 Allocations - TD'!I6="","",'M3 Allocations - TD'!I32)</f>
        <v>53414.007632337976</v>
      </c>
      <c r="L37" s="20">
        <f>IF('M3 Allocations - TD'!J6="","",'M3 Allocations - TD'!J32)</f>
        <v>71963.570102025027</v>
      </c>
      <c r="M37" s="20">
        <f>IF('M3 Allocations - TD'!K6="","",'M3 Allocations - TD'!K32)</f>
        <v>61965.410188273323</v>
      </c>
      <c r="N37" s="20">
        <f>IF('M3 Allocations - TD'!L6="","",'M3 Allocations - TD'!L32)</f>
        <v>64700.998849587129</v>
      </c>
      <c r="O37" s="20">
        <f>IF('M3 Allocations - TD'!M6="","",'M3 Allocations - TD'!M32)</f>
        <v>81956.189294724609</v>
      </c>
      <c r="P37" s="20">
        <f>IF('M3 Allocations - TD'!N6="","",'M3 Allocations - TD'!N32)</f>
        <v>113990.99327753842</v>
      </c>
      <c r="Q37" s="20">
        <f>IF('M3 Allocations - TD'!O6="","",'M3 Allocations - TD'!O32)</f>
        <v>88043.147483850829</v>
      </c>
      <c r="R37" s="20">
        <f>IF('M3 Allocations - TD'!P6="","",'M3 Allocations - TD'!P32)</f>
        <v>103641.60510926238</v>
      </c>
      <c r="S37" s="20">
        <f>IF('M3 Allocations - TD'!Q6="","",'M3 Allocations - TD'!Q32)</f>
        <v>44495.668454394727</v>
      </c>
      <c r="T37" s="20">
        <f>IF('M3 Allocations - TD'!R6="","",'M3 Allocations - TD'!R32)</f>
        <v>72447.479306892477</v>
      </c>
      <c r="U37" s="20">
        <f>IF('M3 Allocations - TD'!S6="","",'M3 Allocations - TD'!S32)</f>
        <v>100242.14080653639</v>
      </c>
      <c r="V37" s="20">
        <f>IF('M3 Allocations - TD'!T6="","",'M3 Allocations - TD'!T32)</f>
        <v>144814.88878280437</v>
      </c>
      <c r="W37" s="20">
        <f>IF('M3 Allocations - TD'!U6="","",'M3 Allocations - TD'!U32)</f>
        <v>113846.66455304027</v>
      </c>
      <c r="X37" s="20">
        <f>IF('M3 Allocations - TD'!V6="","",'M3 Allocations - TD'!V32)</f>
        <v>127713.0610159208</v>
      </c>
      <c r="Y37" s="20">
        <f>IF('M3 Allocations - TD'!W6="","",'M3 Allocations - TD'!W32)</f>
        <v>102944.20736329375</v>
      </c>
      <c r="Z37" s="20">
        <f>IF('M3 Allocations - TD'!X6="","",'M3 Allocations - TD'!X32)</f>
        <v>98619.753088261379</v>
      </c>
      <c r="AA37" s="20">
        <f>IF('M3 Allocations - TD'!Y6="","",'M3 Allocations - TD'!Y32)</f>
        <v>116491.49867964754</v>
      </c>
      <c r="AB37" s="20">
        <f>IF('M3 Allocations - TD'!Z6="","",'M3 Allocations - TD'!Z32)</f>
        <v>196559.66519683803</v>
      </c>
      <c r="AC37" s="20">
        <f>IF('M3 Allocations - TD'!AA6="","",'M3 Allocations - TD'!AA32)</f>
        <v>143190.44336244816</v>
      </c>
      <c r="AD37" s="20">
        <f>IF('M3 Allocations - TD'!AB6="","",'M3 Allocations - TD'!AB32)</f>
        <v>165885.95699877734</v>
      </c>
      <c r="AE37" s="20">
        <f>IF('M3 Allocations - TD'!AC6="","",'M3 Allocations - TD'!AC32)</f>
        <v>168014.93999895826</v>
      </c>
      <c r="AF37" s="20">
        <f>IF('M3 Allocations - TD'!AD6="","",'M3 Allocations - TD'!AD32)</f>
        <v>224708.57117023846</v>
      </c>
      <c r="AG37" s="20">
        <f>IF('M3 Allocations - TD'!AE6="","",'M3 Allocations - TD'!AE32)</f>
        <v>334985.01191056194</v>
      </c>
      <c r="AH37" s="20">
        <f>IF('M3 Allocations - TD'!AF6="","",'M3 Allocations - TD'!AF32)</f>
        <v>449867.18718954525</v>
      </c>
      <c r="AI37" s="20">
        <f>IF('M3 Allocations - TD'!AG6="","",'M3 Allocations - TD'!AG32)</f>
        <v>392143.15877642907</v>
      </c>
      <c r="AJ37" s="20">
        <f>IF('M3 Allocations - TD'!AH6="","",'M3 Allocations - TD'!AH32)</f>
        <v>337751.81199888035</v>
      </c>
      <c r="AK37" s="20">
        <f>IF('M3 Allocations - TD'!AI6="","",'M3 Allocations - TD'!AI32)</f>
        <v>247793.76914859904</v>
      </c>
      <c r="AL37" s="20">
        <f>IF('M3 Allocations - TD'!AJ6="","",'M3 Allocations - TD'!AJ32)</f>
        <v>222262.13845546212</v>
      </c>
      <c r="AM37" s="20">
        <f>IF('M3 Allocations - TD'!AK6="","",'M3 Allocations - TD'!AK32)</f>
        <v>249509.48642011534</v>
      </c>
      <c r="AN37" s="20">
        <f>IF('M3 Allocations - TD'!AL6="","",'M3 Allocations - TD'!AL32)</f>
        <v>321944.69044732186</v>
      </c>
      <c r="AO37" s="20">
        <f>IF('M3 Allocations - TD'!AM6="","",'M3 Allocations - TD'!AM32)</f>
        <v>246962.75301226831</v>
      </c>
      <c r="AP37" s="20">
        <f>IF('M3 Allocations - TD'!AN6="","",'M3 Allocations - TD'!AN32)</f>
        <v>100845.58616926862</v>
      </c>
      <c r="AQ37" s="20">
        <f>IF('M3 Allocations - TD'!AO6="","",'M3 Allocations - TD'!AO32)</f>
        <v>127422.49440160212</v>
      </c>
      <c r="AR37" s="20">
        <f>IF('M3 Allocations - TD'!AP6="","",'M3 Allocations - TD'!AP32)</f>
        <v>191471.00601967305</v>
      </c>
      <c r="AS37" s="20">
        <f>IF('M3 Allocations - TD'!AQ6="","",'M3 Allocations - TD'!AQ32)</f>
        <v>262682.7688338983</v>
      </c>
      <c r="AT37" s="20">
        <f>IF('M3 Allocations - TD'!AR6="","",'M3 Allocations - TD'!AR32)</f>
        <v>354188.78297288192</v>
      </c>
      <c r="AU37" s="20">
        <f>IF('M3 Allocations - TD'!AS6="","",'M3 Allocations - TD'!AS32)</f>
        <v>291793.54141646903</v>
      </c>
      <c r="AV37" s="20">
        <f>IF('M3 Allocations - TD'!AT6="","",'M3 Allocations - TD'!AT32)</f>
        <v>288002.90399346605</v>
      </c>
      <c r="AW37" s="20">
        <f>IF('M3 Allocations - TD'!AU6="","",'M3 Allocations - TD'!AU32)</f>
        <v>176158.92806469859</v>
      </c>
      <c r="AX37" s="20">
        <f>IF('M3 Allocations - TD'!AV6="","",'M3 Allocations - TD'!AV32)</f>
        <v>148988.71783347923</v>
      </c>
      <c r="AY37" s="20">
        <f>IF('M3 Allocations - TD'!AW6="","",'M3 Allocations - TD'!AW32)</f>
        <v>166383.33688258496</v>
      </c>
      <c r="AZ37" s="20">
        <f>IF('M3 Allocations - TD'!AX6="","",'M3 Allocations - TD'!AX32)</f>
        <v>230424.97504364184</v>
      </c>
      <c r="BA37" s="20">
        <f>IF('M3 Allocations - TD'!AY6="","",'M3 Allocations - TD'!AY32)</f>
        <v>167267.8186977868</v>
      </c>
      <c r="BB37" s="20">
        <f>IF('M3 Allocations - TD'!AZ6="","",'M3 Allocations - TD'!AZ32)</f>
        <v>188556.51884636932</v>
      </c>
      <c r="BC37" s="20">
        <f>IF('M3 Allocations - TD'!BA6="","",'M3 Allocations - TD'!BA32)</f>
        <v>207172.72942284547</v>
      </c>
      <c r="BD37" s="20">
        <f>IF('M3 Allocations - TD'!BB6="","",'M3 Allocations - TD'!BB32)</f>
        <v>282077.02604301338</v>
      </c>
      <c r="BE37" s="20">
        <f>IF('M3 Allocations - TD'!BC6="","",'M3 Allocations - TD'!BC32)</f>
        <v>384908.25435282208</v>
      </c>
      <c r="BF37" s="20">
        <f>IF('M3 Allocations - TD'!BD6="","",'M3 Allocations - TD'!BD32)</f>
        <v>139737.20125715411</v>
      </c>
      <c r="BG37" s="20">
        <f>IF('M3 Allocations - TD'!BE6="","",'M3 Allocations - TD'!BE32)</f>
        <v>125981.43604405341</v>
      </c>
      <c r="BH37" s="20">
        <f>IF('M3 Allocations - TD'!BF6="","",'M3 Allocations - TD'!BF32)</f>
        <v>117180.62967897265</v>
      </c>
      <c r="BI37" s="20">
        <f>IF('M3 Allocations - TD'!BG6="","",'M3 Allocations - TD'!BG32)</f>
        <v>83769.976962386063</v>
      </c>
      <c r="BJ37" s="20">
        <f>IF('M3 Allocations - TD'!BH6="","",'M3 Allocations - TD'!BH32)</f>
        <v>86625.171754673938</v>
      </c>
      <c r="BK37" s="20">
        <f>IF('M3 Allocations - TD'!BI6="","",'M3 Allocations - TD'!BI32)</f>
        <v>103759.43732189588</v>
      </c>
      <c r="BL37" s="20">
        <f>IF('M3 Allocations - TD'!BJ6="","",'M3 Allocations - TD'!BJ32)</f>
        <v>153373.54325638647</v>
      </c>
      <c r="BM37" s="20">
        <f>IF('M3 Allocations - TD'!BK6="","",'M3 Allocations - TD'!BK32)</f>
        <v>106775.05460937983</v>
      </c>
      <c r="BN37" s="20">
        <f>IF('M3 Allocations - TD'!BL6="","",'M3 Allocations - TD'!BL32)</f>
        <v>120639.5759518858</v>
      </c>
      <c r="BO37" s="20">
        <f>IF('M3 Allocations - TD'!BM6="","",'M3 Allocations - TD'!BM32)</f>
        <v>133274.54920832094</v>
      </c>
      <c r="BP37" s="20">
        <f>IF('M3 Allocations - TD'!BN6="","",'M3 Allocations - TD'!BN32)</f>
        <v>178850.56851695653</v>
      </c>
      <c r="BQ37" s="20">
        <f>IF('M3 Allocations - TD'!BO6="","",'M3 Allocations - TD'!BO32)</f>
        <v>275918.7728501762</v>
      </c>
      <c r="BR37" s="20">
        <f>IF('M3 Allocations - TD'!BP6="","",'M3 Allocations - TD'!BP32)</f>
        <v>360364.02993826458</v>
      </c>
      <c r="BS37" s="20">
        <f>IF('M3 Allocations - TD'!BQ6="","",'M3 Allocations - TD'!BQ32)</f>
        <v>316057.92453325889</v>
      </c>
      <c r="BT37" s="20">
        <f>IF('M3 Allocations - TD'!BR6="","",'M3 Allocations - TD'!BR32)</f>
        <v>271016.40741513378</v>
      </c>
      <c r="BU37" s="20">
        <f>IF('M3 Allocations - TD'!BS6="","",'M3 Allocations - TD'!BS32)</f>
        <v>173245.5348725713</v>
      </c>
      <c r="BV37" s="20">
        <f>IF('M3 Allocations - TD'!BT6="","",'M3 Allocations - TD'!BT32)</f>
        <v>156606.5114440406</v>
      </c>
      <c r="BW37" s="20">
        <f>IF('M3 Allocations - TD'!BU6="","",'M3 Allocations - TD'!BU32)</f>
        <v>189358.16827443533</v>
      </c>
      <c r="BX37" s="20">
        <f>IF('M3 Allocations - TD'!BV6="","",'M3 Allocations - TD'!BV32)</f>
        <v>213549.25609198381</v>
      </c>
    </row>
    <row r="38" spans="1:76" s="4" customFormat="1" ht="15" hidden="1" customHeight="1" outlineLevel="1" x14ac:dyDescent="0.25">
      <c r="A38" s="292"/>
      <c r="B38" s="16" t="s">
        <v>26</v>
      </c>
      <c r="C38" s="94"/>
      <c r="D38" s="94"/>
      <c r="E38" s="94"/>
      <c r="F38" s="20">
        <f>IF('M3 Allocations - TD'!D52="","",'M3 Allocations - TD'!D70)</f>
        <v>0</v>
      </c>
      <c r="G38" s="20">
        <f>IF('M3 Allocations - TD'!E52="","",'M3 Allocations - TD'!E70)</f>
        <v>0</v>
      </c>
      <c r="H38" s="20">
        <f>IF('M3 Allocations - TD'!F52="","",'M3 Allocations - TD'!F70)</f>
        <v>4662.874879564878</v>
      </c>
      <c r="I38" s="20">
        <f>IF('M3 Allocations - TD'!G52="","",'M3 Allocations - TD'!G70)</f>
        <v>60575.806014450071</v>
      </c>
      <c r="J38" s="20">
        <f>IF('M3 Allocations - TD'!H52="","",'M3 Allocations - TD'!H70)</f>
        <v>69235.226705339766</v>
      </c>
      <c r="K38" s="20">
        <f>IF('M3 Allocations - TD'!I52="","",'M3 Allocations - TD'!I70)</f>
        <v>71132.268141530934</v>
      </c>
      <c r="L38" s="20">
        <f>IF('M3 Allocations - TD'!J52="","",'M3 Allocations - TD'!J70)</f>
        <v>68766.003213137257</v>
      </c>
      <c r="M38" s="20">
        <f>IF('M3 Allocations - TD'!K52="","",'M3 Allocations - TD'!K70)</f>
        <v>61936.863591354115</v>
      </c>
      <c r="N38" s="20">
        <f>IF('M3 Allocations - TD'!L52="","",'M3 Allocations - TD'!L70)</f>
        <v>55314.675500358826</v>
      </c>
      <c r="O38" s="20">
        <f>IF('M3 Allocations - TD'!M52="","",'M3 Allocations - TD'!M70)</f>
        <v>64772.869833744619</v>
      </c>
      <c r="P38" s="20">
        <f>IF('M3 Allocations - TD'!N52="","",'M3 Allocations - TD'!N70)</f>
        <v>69020.979330338465</v>
      </c>
      <c r="Q38" s="20">
        <f>IF('M3 Allocations - TD'!O52="","",'M3 Allocations - TD'!O70)</f>
        <v>72477.677451482814</v>
      </c>
      <c r="R38" s="20">
        <f>IF('M3 Allocations - TD'!P52="","",'M3 Allocations - TD'!P70)</f>
        <v>71928.028717536567</v>
      </c>
      <c r="S38" s="20">
        <f>IF('M3 Allocations - TD'!Q52="","",'M3 Allocations - TD'!Q70)</f>
        <v>55453.451619799707</v>
      </c>
      <c r="T38" s="20">
        <f>IF('M3 Allocations - TD'!R52="","",'M3 Allocations - TD'!R70)</f>
        <v>50391.746026202469</v>
      </c>
      <c r="U38" s="20">
        <f>IF('M3 Allocations - TD'!S52="","",'M3 Allocations - TD'!S70)</f>
        <v>63389.498728401399</v>
      </c>
      <c r="V38" s="20">
        <f>IF('M3 Allocations - TD'!T52="","",'M3 Allocations - TD'!T70)</f>
        <v>78881.855890584935</v>
      </c>
      <c r="W38" s="20">
        <f>IF('M3 Allocations - TD'!U52="","",'M3 Allocations - TD'!U70)</f>
        <v>76955.02703194521</v>
      </c>
      <c r="X38" s="20">
        <f>IF('M3 Allocations - TD'!V52="","",'M3 Allocations - TD'!V70)</f>
        <v>73755.388306573834</v>
      </c>
      <c r="Y38" s="20">
        <f>IF('M3 Allocations - TD'!W52="","",'M3 Allocations - TD'!W70)</f>
        <v>59772.834718849517</v>
      </c>
      <c r="Z38" s="20">
        <f>IF('M3 Allocations - TD'!X52="","",'M3 Allocations - TD'!X70)</f>
        <v>59572.876185864705</v>
      </c>
      <c r="AA38" s="20">
        <f>IF('M3 Allocations - TD'!Y52="","",'M3 Allocations - TD'!Y70)</f>
        <v>68599.470346323797</v>
      </c>
      <c r="AB38" s="20">
        <f>IF('M3 Allocations - TD'!Z52="","",'M3 Allocations - TD'!Z70)</f>
        <v>81564.73791205966</v>
      </c>
      <c r="AC38" s="20">
        <f>IF('M3 Allocations - TD'!AA52="","",'M3 Allocations - TD'!AA70)</f>
        <v>242664.75286538465</v>
      </c>
      <c r="AD38" s="20">
        <f>IF('M3 Allocations - TD'!AB52="","",'M3 Allocations - TD'!AB70)</f>
        <v>375919.83719992841</v>
      </c>
      <c r="AE38" s="20">
        <f>IF('M3 Allocations - TD'!AC52="","",'M3 Allocations - TD'!AC70)</f>
        <v>300075.62636462261</v>
      </c>
      <c r="AF38" s="20">
        <f>IF('M3 Allocations - TD'!AD52="","",'M3 Allocations - TD'!AD70)</f>
        <v>293923.98139317043</v>
      </c>
      <c r="AG38" s="20">
        <f>IF('M3 Allocations - TD'!AE52="","",'M3 Allocations - TD'!AE70)</f>
        <v>350815.31218641665</v>
      </c>
      <c r="AH38" s="20">
        <f>IF('M3 Allocations - TD'!AF52="","",'M3 Allocations - TD'!AF70)</f>
        <v>415012.49945076351</v>
      </c>
      <c r="AI38" s="20">
        <f>IF('M3 Allocations - TD'!AG52="","",'M3 Allocations - TD'!AG70)</f>
        <v>415043.37829811877</v>
      </c>
      <c r="AJ38" s="20">
        <f>IF('M3 Allocations - TD'!AH52="","",'M3 Allocations - TD'!AH70)</f>
        <v>419425.17682734353</v>
      </c>
      <c r="AK38" s="20">
        <f>IF('M3 Allocations - TD'!AI52="","",'M3 Allocations - TD'!AI70)</f>
        <v>350351.57477839955</v>
      </c>
      <c r="AL38" s="20">
        <f>IF('M3 Allocations - TD'!AJ52="","",'M3 Allocations - TD'!AJ70)</f>
        <v>312397.32107489841</v>
      </c>
      <c r="AM38" s="20">
        <f>IF('M3 Allocations - TD'!AK52="","",'M3 Allocations - TD'!AK70)</f>
        <v>355639.37645809754</v>
      </c>
      <c r="AN38" s="20">
        <f>IF('M3 Allocations - TD'!AL52="","",'M3 Allocations - TD'!AL70)</f>
        <v>419510.42236398638</v>
      </c>
      <c r="AO38" s="20">
        <f>IF('M3 Allocations - TD'!AM52="","",'M3 Allocations - TD'!AM70)</f>
        <v>345889.73802590865</v>
      </c>
      <c r="AP38" s="20">
        <f>IF('M3 Allocations - TD'!AN52="","",'M3 Allocations - TD'!AN70)</f>
        <v>199586.56344967708</v>
      </c>
      <c r="AQ38" s="20">
        <f>IF('M3 Allocations - TD'!AO52="","",'M3 Allocations - TD'!AO70)</f>
        <v>176831.15319493209</v>
      </c>
      <c r="AR38" s="20">
        <f>IF('M3 Allocations - TD'!AP52="","",'M3 Allocations - TD'!AP70)</f>
        <v>171543.19774187819</v>
      </c>
      <c r="AS38" s="20">
        <f>IF('M3 Allocations - TD'!AQ52="","",'M3 Allocations - TD'!AQ70)</f>
        <v>199615.15184616181</v>
      </c>
      <c r="AT38" s="20">
        <f>IF('M3 Allocations - TD'!AR52="","",'M3 Allocations - TD'!AR70)</f>
        <v>238634.42662698543</v>
      </c>
      <c r="AU38" s="20">
        <f>IF('M3 Allocations - TD'!AS52="","",'M3 Allocations - TD'!AS70)</f>
        <v>233703.41244781748</v>
      </c>
      <c r="AV38" s="20">
        <f>IF('M3 Allocations - TD'!AT52="","",'M3 Allocations - TD'!AT70)</f>
        <v>214332.64423371092</v>
      </c>
      <c r="AW38" s="20">
        <f>IF('M3 Allocations - TD'!AU52="","",'M3 Allocations - TD'!AU70)</f>
        <v>176304.098950004</v>
      </c>
      <c r="AX38" s="20">
        <f>IF('M3 Allocations - TD'!AV52="","",'M3 Allocations - TD'!AV70)</f>
        <v>167898.42293823551</v>
      </c>
      <c r="AY38" s="20">
        <f>IF('M3 Allocations - TD'!AW52="","",'M3 Allocations - TD'!AW70)</f>
        <v>208742.33055279544</v>
      </c>
      <c r="AZ38" s="20">
        <f>IF('M3 Allocations - TD'!AX52="","",'M3 Allocations - TD'!AX70)</f>
        <v>238776.54615310833</v>
      </c>
      <c r="BA38" s="20">
        <f>IF('M3 Allocations - TD'!AY52="","",'M3 Allocations - TD'!AY70)</f>
        <v>183122.16294648265</v>
      </c>
      <c r="BB38" s="20">
        <f>IF('M3 Allocations - TD'!AZ52="","",'M3 Allocations - TD'!AZ70)</f>
        <v>132175.3110263155</v>
      </c>
      <c r="BC38" s="20">
        <f>IF('M3 Allocations - TD'!BA52="","",'M3 Allocations - TD'!BA70)</f>
        <v>121716.31880553745</v>
      </c>
      <c r="BD38" s="20">
        <f>IF('M3 Allocations - TD'!BB52="","",'M3 Allocations - TD'!BB70)</f>
        <v>112859.12458406219</v>
      </c>
      <c r="BE38" s="20">
        <f>IF('M3 Allocations - TD'!BC52="","",'M3 Allocations - TD'!BC70)</f>
        <v>135711.65425614105</v>
      </c>
      <c r="BF38" s="20">
        <f>IF('M3 Allocations - TD'!BD52="","",'M3 Allocations - TD'!BD70)</f>
        <v>157092.67328108675</v>
      </c>
      <c r="BG38" s="20">
        <f>IF('M3 Allocations - TD'!BE52="","",'M3 Allocations - TD'!BE70)</f>
        <v>160402.84864590407</v>
      </c>
      <c r="BH38" s="20">
        <f>IF('M3 Allocations - TD'!BF52="","",'M3 Allocations - TD'!BF70)</f>
        <v>155339.15490700732</v>
      </c>
      <c r="BI38" s="20">
        <f>IF('M3 Allocations - TD'!BG52="","",'M3 Allocations - TD'!BG70)</f>
        <v>131677.62985970045</v>
      </c>
      <c r="BJ38" s="20">
        <f>IF('M3 Allocations - TD'!BH52="","",'M3 Allocations - TD'!BH70)</f>
        <v>120918.22269657685</v>
      </c>
      <c r="BK38" s="20">
        <f>IF('M3 Allocations - TD'!BI52="","",'M3 Allocations - TD'!BI70)</f>
        <v>138127.82733634952</v>
      </c>
      <c r="BL38" s="20">
        <f>IF('M3 Allocations - TD'!BJ52="","",'M3 Allocations - TD'!BJ70)</f>
        <v>166136.60452411827</v>
      </c>
      <c r="BM38" s="20">
        <f>IF('M3 Allocations - TD'!BK52="","",'M3 Allocations - TD'!BK70)</f>
        <v>176808.40654881706</v>
      </c>
      <c r="BN38" s="20">
        <f>IF('M3 Allocations - TD'!BL52="","",'M3 Allocations - TD'!BL70)</f>
        <v>164534.37132568457</v>
      </c>
      <c r="BO38" s="20">
        <f>IF('M3 Allocations - TD'!BM52="","",'M3 Allocations - TD'!BM70)</f>
        <v>160123.77436654735</v>
      </c>
      <c r="BP38" s="20">
        <f>IF('M3 Allocations - TD'!BN52="","",'M3 Allocations - TD'!BN70)</f>
        <v>152714.47419511774</v>
      </c>
      <c r="BQ38" s="20">
        <f>IF('M3 Allocations - TD'!BO52="","",'M3 Allocations - TD'!BO70)</f>
        <v>186653.21437213788</v>
      </c>
      <c r="BR38" s="20">
        <f>IF('M3 Allocations - TD'!BP52="","",'M3 Allocations - TD'!BP70)</f>
        <v>223027.91014690811</v>
      </c>
      <c r="BS38" s="20">
        <f>IF('M3 Allocations - TD'!BQ52="","",'M3 Allocations - TD'!BQ70)</f>
        <v>209338.96303343435</v>
      </c>
      <c r="BT38" s="20">
        <f>IF('M3 Allocations - TD'!BR52="","",'M3 Allocations - TD'!BR70)</f>
        <v>203862.2764313856</v>
      </c>
      <c r="BU38" s="20">
        <f>IF('M3 Allocations - TD'!BS52="","",'M3 Allocations - TD'!BS70)</f>
        <v>172077.40616793602</v>
      </c>
      <c r="BV38" s="20">
        <f>IF('M3 Allocations - TD'!BT52="","",'M3 Allocations - TD'!BT70)</f>
        <v>161460.37279541328</v>
      </c>
      <c r="BW38" s="20">
        <f>IF('M3 Allocations - TD'!BU52="","",'M3 Allocations - TD'!BU70)</f>
        <v>193143.64387531852</v>
      </c>
      <c r="BX38" s="20">
        <f>IF('M3 Allocations - TD'!BV52="","",'M3 Allocations - TD'!BV70)</f>
        <v>217122.24136735094</v>
      </c>
    </row>
    <row r="39" spans="1:76" s="4" customFormat="1" ht="15" hidden="1" customHeight="1" outlineLevel="1" x14ac:dyDescent="0.25">
      <c r="A39" s="292"/>
      <c r="B39" s="16" t="s">
        <v>51</v>
      </c>
      <c r="C39" s="94"/>
      <c r="D39" s="94"/>
      <c r="E39" s="94"/>
      <c r="F39" s="20">
        <f>IF(F38="","",0)</f>
        <v>0</v>
      </c>
      <c r="G39" s="20">
        <f t="shared" ref="G39" si="335">IF(G38="","",0)</f>
        <v>0</v>
      </c>
      <c r="H39" s="20">
        <f t="shared" ref="H39" si="336">IF(H38="","",0)</f>
        <v>0</v>
      </c>
      <c r="I39" s="20">
        <f t="shared" ref="I39" si="337">IF(I38="","",0)</f>
        <v>0</v>
      </c>
      <c r="J39" s="20">
        <f t="shared" ref="J39" si="338">IF(J38="","",0)</f>
        <v>0</v>
      </c>
      <c r="K39" s="20">
        <f t="shared" ref="K39" si="339">IF(K38="","",0)</f>
        <v>0</v>
      </c>
      <c r="L39" s="20">
        <f t="shared" ref="L39" si="340">IF(L38="","",0)</f>
        <v>0</v>
      </c>
      <c r="M39" s="20">
        <f t="shared" ref="M39" si="341">IF(M38="","",0)</f>
        <v>0</v>
      </c>
      <c r="N39" s="20">
        <f t="shared" ref="N39" si="342">IF(N38="","",0)</f>
        <v>0</v>
      </c>
      <c r="O39" s="20">
        <f t="shared" ref="O39" si="343">IF(O38="","",0)</f>
        <v>0</v>
      </c>
      <c r="P39" s="20">
        <f t="shared" ref="P39" si="344">IF(P38="","",0)</f>
        <v>0</v>
      </c>
      <c r="Q39" s="20">
        <f>IF(Q38="","",-'M3 TD amort'!C15)</f>
        <v>17996.03</v>
      </c>
      <c r="R39" s="20">
        <f>IF(R38="","",-'M3 TD amort'!D15)</f>
        <v>17828.82</v>
      </c>
      <c r="S39" s="20">
        <f>IF(S38="","",-'M3 TD amort'!E15)</f>
        <v>13698.34</v>
      </c>
      <c r="T39" s="20">
        <f>IF(T38="","",-'M3 TD amort'!F15)</f>
        <v>12419.68</v>
      </c>
      <c r="U39" s="20">
        <f>IF(U38="","",-'M3 TD amort'!G15)</f>
        <v>15595.43</v>
      </c>
      <c r="V39" s="20">
        <f>IF(V38="","",-'M3 TD amort'!H15)</f>
        <v>19419.18</v>
      </c>
      <c r="W39" s="20">
        <f>IF(W38="","",-'M3 TD amort'!I15)</f>
        <v>18927.88</v>
      </c>
      <c r="X39" s="20">
        <f>IF(X38="","",-'M3 TD amort'!J15)</f>
        <v>18118.43</v>
      </c>
      <c r="Y39" s="20">
        <f>IF(Y38="","",-'M3 TD amort'!K15)</f>
        <v>14686.23</v>
      </c>
      <c r="Z39" s="20">
        <f>IF(Z38="","",-'M3 TD amort'!L15)</f>
        <v>14677.84</v>
      </c>
      <c r="AA39" s="20">
        <f>IF(AA38="","",-'M3 TD amort'!M15)</f>
        <v>16957.169999999998</v>
      </c>
      <c r="AB39" s="20">
        <f>IF(AB38="","",-'M3 TD amort'!N15)</f>
        <v>20227.96</v>
      </c>
      <c r="AC39" s="20">
        <f>IF(AC38="","",-'M3 TD amort'!O15)</f>
        <v>-27075.87</v>
      </c>
      <c r="AD39" s="20">
        <f>IF(AD38="","",-'M3 TD amort'!P15)</f>
        <v>-41869.919999999998</v>
      </c>
      <c r="AE39" s="20">
        <f>IF(AE38="","",-'M3 TD amort'!Q15)</f>
        <v>-33303.57</v>
      </c>
      <c r="AF39" s="20">
        <f>IF(AF38="","",-'M3 TD amort'!R15)</f>
        <v>-32560.29</v>
      </c>
      <c r="AG39" s="20">
        <f>IF(AG38="","",-'M3 TD amort'!S15)</f>
        <v>-38841.39</v>
      </c>
      <c r="AH39" s="20">
        <f>IF(AH38="","",-'M3 TD amort'!T15)</f>
        <v>-45977.98</v>
      </c>
      <c r="AI39" s="20">
        <f>IF(AI38="","",-'M3 TD amort'!U15)</f>
        <v>-45995.38</v>
      </c>
      <c r="AJ39" s="20">
        <f>IF(AJ38="","",-'M3 TD amort'!V15)</f>
        <v>-46474.38</v>
      </c>
      <c r="AK39" s="20">
        <f>IF(AK38="","",-'M3 TD amort'!W15)</f>
        <v>-38765.449999999997</v>
      </c>
      <c r="AL39" s="20">
        <f>IF(AL38="","",-'M3 TD amort'!X15)</f>
        <v>-34659.79</v>
      </c>
      <c r="AM39" s="20">
        <f>IF(AM38="","",-'M3 TD amort'!Y15)</f>
        <v>-39489.65</v>
      </c>
      <c r="AN39" s="20">
        <f>IF(AN38="","",-'M3 TD amort'!Z15)</f>
        <v>-46633.93</v>
      </c>
      <c r="AO39" s="20">
        <f>IF(AO38="","",-'M3 TD amort'!AA15)</f>
        <v>59971.88</v>
      </c>
      <c r="AP39" s="20">
        <f>IF(AP38="","",-'M3 TD amort'!AB15)</f>
        <v>34460.21</v>
      </c>
      <c r="AQ39" s="20">
        <f>IF(AQ38="","",-'M3 TD amort'!AC15)</f>
        <v>30482.11</v>
      </c>
      <c r="AR39" s="20">
        <f>IF(AR38="","",-'M3 TD amort'!AD15)</f>
        <v>29523.43</v>
      </c>
      <c r="AS39" s="20">
        <f>IF(AS38="","",-'M3 TD amort'!AE15)</f>
        <v>34337.879999999997</v>
      </c>
      <c r="AT39" s="20">
        <f>IF(AT38="","",-'M3 TD amort'!AF15)</f>
        <v>41091.919999999998</v>
      </c>
      <c r="AU39" s="20">
        <f>IF(AU38="","",-'M3 TD amort'!AG15)</f>
        <v>40250.86</v>
      </c>
      <c r="AV39" s="20">
        <f>IF(AV38="","",-'M3 TD amort'!AH15)</f>
        <v>36905.46</v>
      </c>
      <c r="AW39" s="20">
        <f>IF(AW38="","",-'M3 TD amort'!AI15)</f>
        <v>30354.95</v>
      </c>
      <c r="AX39" s="20">
        <f>IF(AX38="","",-'M3 TD amort'!AJ15)</f>
        <v>28938.2</v>
      </c>
      <c r="AY39" s="20">
        <f>IF(AY38="","",-'M3 TD amort'!AK15)</f>
        <v>36146.32</v>
      </c>
      <c r="AZ39" s="20">
        <f>IF(AZ38="","",-'M3 TD amort'!AL15)</f>
        <v>41356.58</v>
      </c>
      <c r="BA39" s="20">
        <f>IF(BA38="","",-'M3 TD amort'!AM15)</f>
        <v>51287.19</v>
      </c>
      <c r="BB39" s="20">
        <f>IF(BB38="","",-'M3 TD amort'!AN15)</f>
        <v>37406.94</v>
      </c>
      <c r="BC39" s="20">
        <f>IF(BC38="","",-'M3 TD amort'!AO15)</f>
        <v>34363.08</v>
      </c>
      <c r="BD39" s="20">
        <f>IF(BD38="","",-'M3 TD amort'!AP15)</f>
        <v>31707.18</v>
      </c>
      <c r="BE39" s="20">
        <f>IF(BE38="","",-'M3 TD amort'!AQ15)</f>
        <v>38111.519999999997</v>
      </c>
      <c r="BF39" s="20">
        <f>IF(BF38="","",-'M3 TD amort'!AR15)</f>
        <v>44222.96</v>
      </c>
      <c r="BG39" s="20">
        <f>IF(BG38="","",-'M3 TD amort'!AS15)</f>
        <v>45175.25</v>
      </c>
      <c r="BH39" s="20">
        <f>IF(BH38="","",-'M3 TD amort'!AT15)</f>
        <v>43726.97</v>
      </c>
      <c r="BI39" s="20">
        <f>IF(BI38="","",-'M3 TD amort'!AU15)</f>
        <v>37032.21</v>
      </c>
      <c r="BJ39" s="20">
        <f>IF(BJ38="","",-'M3 TD amort'!AV15)</f>
        <v>34046.879999999997</v>
      </c>
      <c r="BK39" s="20">
        <f>IF(BK38="","",-'M3 TD amort'!AW15)</f>
        <v>39135.71</v>
      </c>
      <c r="BL39" s="20">
        <f>IF(BL38="","",-'M3 TD amort'!AX15)</f>
        <v>47215.65</v>
      </c>
      <c r="BM39" s="20">
        <f>IF(BM38="","",-'M3 TD amort'!AY15)</f>
        <v>15100.77</v>
      </c>
      <c r="BN39" s="20">
        <f>IF(BN38="","",-'M3 TD amort'!AZ15)</f>
        <v>13789.73</v>
      </c>
      <c r="BO39" s="20">
        <f>IF(BO38="","",-'M3 TD amort'!BA15)</f>
        <v>13405.68</v>
      </c>
      <c r="BP39" s="20">
        <f>IF(BP38="","",-'M3 TD amort'!BB15)</f>
        <v>12767</v>
      </c>
      <c r="BQ39" s="20">
        <f>IF(BQ38="","",-'M3 TD amort'!BC15)</f>
        <v>15604.25</v>
      </c>
      <c r="BR39" s="20">
        <f>IF(BR38="","",-'M3 TD amort'!BD15)</f>
        <v>18658.240000000002</v>
      </c>
      <c r="BS39" s="20">
        <f>IF(BS38="","",-'M3 TD amort'!BE15)</f>
        <v>17510.7</v>
      </c>
      <c r="BT39" s="20">
        <f>IF(BT38="","",-'M3 TD amort'!BF15)</f>
        <v>17048.64</v>
      </c>
      <c r="BU39" s="20">
        <f>IF(BU38="","",-'M3 TD amort'!BG15)</f>
        <v>14381.12</v>
      </c>
      <c r="BV39" s="20">
        <f>IF(BV38="","",-'M3 TD amort'!BH15)</f>
        <v>13510.9</v>
      </c>
      <c r="BW39" s="20">
        <f>IF(BW38="","",-'M3 TD amort'!BI15)</f>
        <v>16172.76</v>
      </c>
      <c r="BX39" s="20">
        <f>IF(BX38="","",-'M3 TD amort'!BJ15)</f>
        <v>18189.59</v>
      </c>
    </row>
    <row r="40" spans="1:76" s="4" customFormat="1" ht="15" hidden="1" customHeight="1" outlineLevel="1" x14ac:dyDescent="0.25">
      <c r="A40" s="292"/>
      <c r="B40" s="16" t="s">
        <v>52</v>
      </c>
      <c r="C40" s="94"/>
      <c r="D40" s="94"/>
      <c r="E40" s="94"/>
      <c r="F40" s="7">
        <f t="shared" ref="F40:M40" si="345">IF(OR(F39="",F38=""),"",F38+F39)</f>
        <v>0</v>
      </c>
      <c r="G40" s="7">
        <f t="shared" si="345"/>
        <v>0</v>
      </c>
      <c r="H40" s="7">
        <f t="shared" si="345"/>
        <v>4662.874879564878</v>
      </c>
      <c r="I40" s="7">
        <f t="shared" si="345"/>
        <v>60575.806014450071</v>
      </c>
      <c r="J40" s="7">
        <f t="shared" si="345"/>
        <v>69235.226705339766</v>
      </c>
      <c r="K40" s="7">
        <f t="shared" si="345"/>
        <v>71132.268141530934</v>
      </c>
      <c r="L40" s="7">
        <f t="shared" si="345"/>
        <v>68766.003213137257</v>
      </c>
      <c r="M40" s="7">
        <f t="shared" si="345"/>
        <v>61936.863591354115</v>
      </c>
      <c r="N40" s="7">
        <f>IF(OR(N39="",N38=""),"",N38+N39)</f>
        <v>55314.675500358826</v>
      </c>
      <c r="O40" s="7">
        <f t="shared" ref="O40:AE40" si="346">IF(OR(O39="",O38=""),"",O38+O39)</f>
        <v>64772.869833744619</v>
      </c>
      <c r="P40" s="7">
        <f t="shared" si="346"/>
        <v>69020.979330338465</v>
      </c>
      <c r="Q40" s="7">
        <f t="shared" si="346"/>
        <v>90473.707451482813</v>
      </c>
      <c r="R40" s="7">
        <f t="shared" si="346"/>
        <v>89756.848717536574</v>
      </c>
      <c r="S40" s="7">
        <f t="shared" si="346"/>
        <v>69151.791619799711</v>
      </c>
      <c r="T40" s="7">
        <f t="shared" si="346"/>
        <v>62811.426026202469</v>
      </c>
      <c r="U40" s="7">
        <f t="shared" si="346"/>
        <v>78984.928728401399</v>
      </c>
      <c r="V40" s="7">
        <f t="shared" si="346"/>
        <v>98301.035890584928</v>
      </c>
      <c r="W40" s="7">
        <f t="shared" si="346"/>
        <v>95882.907031945215</v>
      </c>
      <c r="X40" s="7">
        <f t="shared" si="346"/>
        <v>91873.818306573841</v>
      </c>
      <c r="Y40" s="7">
        <f t="shared" si="346"/>
        <v>74459.06471884952</v>
      </c>
      <c r="Z40" s="7">
        <f>IF(OR(Z39="",Z38=""),"",Z38+Z39)</f>
        <v>74250.716185864701</v>
      </c>
      <c r="AA40" s="7">
        <f t="shared" si="346"/>
        <v>85556.640346323795</v>
      </c>
      <c r="AB40" s="7">
        <f t="shared" si="346"/>
        <v>101792.69791205967</v>
      </c>
      <c r="AC40" s="7">
        <f t="shared" si="346"/>
        <v>215588.88286538466</v>
      </c>
      <c r="AD40" s="7">
        <f t="shared" si="346"/>
        <v>334049.91719992843</v>
      </c>
      <c r="AE40" s="7">
        <f t="shared" si="346"/>
        <v>266772.05636462261</v>
      </c>
      <c r="AF40" s="7">
        <f t="shared" ref="AF40:AW40" si="347">IF(OR(AF39="",AF38=""),"",AF38+AF39)</f>
        <v>261363.69139317042</v>
      </c>
      <c r="AG40" s="7">
        <f t="shared" si="347"/>
        <v>311973.92218641663</v>
      </c>
      <c r="AH40" s="7">
        <f t="shared" si="347"/>
        <v>369034.51945076353</v>
      </c>
      <c r="AI40" s="7">
        <f t="shared" si="347"/>
        <v>369047.99829811876</v>
      </c>
      <c r="AJ40" s="7">
        <f t="shared" si="347"/>
        <v>372950.79682734353</v>
      </c>
      <c r="AK40" s="7">
        <f t="shared" si="347"/>
        <v>311586.12477839953</v>
      </c>
      <c r="AL40" s="7">
        <f t="shared" si="347"/>
        <v>277737.53107489843</v>
      </c>
      <c r="AM40" s="7">
        <f t="shared" si="347"/>
        <v>316149.72645809752</v>
      </c>
      <c r="AN40" s="7">
        <f t="shared" si="347"/>
        <v>372876.49236398638</v>
      </c>
      <c r="AO40" s="7">
        <f t="shared" si="347"/>
        <v>405861.61802590865</v>
      </c>
      <c r="AP40" s="7">
        <f t="shared" si="347"/>
        <v>234046.77344967707</v>
      </c>
      <c r="AQ40" s="7">
        <f t="shared" si="347"/>
        <v>207313.26319493208</v>
      </c>
      <c r="AR40" s="7">
        <f t="shared" si="347"/>
        <v>201066.62774187818</v>
      </c>
      <c r="AS40" s="7">
        <f t="shared" si="347"/>
        <v>233953.03184616182</v>
      </c>
      <c r="AT40" s="7">
        <f t="shared" si="347"/>
        <v>279726.34662698541</v>
      </c>
      <c r="AU40" s="7">
        <f t="shared" si="347"/>
        <v>273954.27244781749</v>
      </c>
      <c r="AV40" s="7">
        <f t="shared" si="347"/>
        <v>251238.10423371091</v>
      </c>
      <c r="AW40" s="7">
        <f t="shared" si="347"/>
        <v>206659.04895000401</v>
      </c>
      <c r="AX40" s="7">
        <f t="shared" ref="AX40:AY40" si="348">IF(OR(AX39="",AX38=""),"",AX38+AX39)</f>
        <v>196836.62293823552</v>
      </c>
      <c r="AY40" s="7">
        <f t="shared" si="348"/>
        <v>244888.65055279544</v>
      </c>
      <c r="AZ40" s="7">
        <f t="shared" ref="AZ40:BA40" si="349">IF(OR(AZ39="",AZ38=""),"",AZ38+AZ39)</f>
        <v>280133.12615310831</v>
      </c>
      <c r="BA40" s="7">
        <f t="shared" si="349"/>
        <v>234409.35294648266</v>
      </c>
      <c r="BB40" s="7">
        <f t="shared" ref="BB40:BC40" si="350">IF(OR(BB39="",BB38=""),"",BB38+BB39)</f>
        <v>169582.2510263155</v>
      </c>
      <c r="BC40" s="7">
        <f t="shared" si="350"/>
        <v>156079.39880553744</v>
      </c>
      <c r="BD40" s="7">
        <f t="shared" ref="BD40:BE40" si="351">IF(OR(BD39="",BD38=""),"",BD38+BD39)</f>
        <v>144566.30458406219</v>
      </c>
      <c r="BE40" s="7">
        <f t="shared" si="351"/>
        <v>173823.17425614104</v>
      </c>
      <c r="BF40" s="7">
        <f t="shared" ref="BF40:BG40" si="352">IF(OR(BF39="",BF38=""),"",BF38+BF39)</f>
        <v>201315.63328108675</v>
      </c>
      <c r="BG40" s="7">
        <f t="shared" si="352"/>
        <v>205578.09864590407</v>
      </c>
      <c r="BH40" s="7">
        <f t="shared" ref="BH40:BI40" si="353">IF(OR(BH39="",BH38=""),"",BH38+BH39)</f>
        <v>199066.12490700732</v>
      </c>
      <c r="BI40" s="7">
        <f t="shared" si="353"/>
        <v>168709.83985970044</v>
      </c>
      <c r="BJ40" s="7">
        <f t="shared" ref="BJ40:BK40" si="354">IF(OR(BJ39="",BJ38=""),"",BJ38+BJ39)</f>
        <v>154965.10269657685</v>
      </c>
      <c r="BK40" s="7">
        <f t="shared" si="354"/>
        <v>177263.53733634952</v>
      </c>
      <c r="BL40" s="7">
        <f t="shared" ref="BL40:BM40" si="355">IF(OR(BL39="",BL38=""),"",BL38+BL39)</f>
        <v>213352.25452411827</v>
      </c>
      <c r="BM40" s="7">
        <f t="shared" si="355"/>
        <v>191909.17654881705</v>
      </c>
      <c r="BN40" s="7">
        <f t="shared" ref="BN40:BO40" si="356">IF(OR(BN39="",BN38=""),"",BN38+BN39)</f>
        <v>178324.10132568458</v>
      </c>
      <c r="BO40" s="7">
        <f t="shared" si="356"/>
        <v>173529.45436654735</v>
      </c>
      <c r="BP40" s="7">
        <f t="shared" ref="BP40:BQ40" si="357">IF(OR(BP39="",BP38=""),"",BP38+BP39)</f>
        <v>165481.47419511774</v>
      </c>
      <c r="BQ40" s="7">
        <f t="shared" si="357"/>
        <v>202257.46437213788</v>
      </c>
      <c r="BR40" s="7">
        <f t="shared" ref="BR40:BS40" si="358">IF(OR(BR39="",BR38=""),"",BR38+BR39)</f>
        <v>241686.1501469081</v>
      </c>
      <c r="BS40" s="7">
        <f t="shared" si="358"/>
        <v>226849.66303343436</v>
      </c>
      <c r="BT40" s="7">
        <f t="shared" ref="BT40:BU40" si="359">IF(OR(BT39="",BT38=""),"",BT38+BT39)</f>
        <v>220910.91643138562</v>
      </c>
      <c r="BU40" s="7">
        <f t="shared" si="359"/>
        <v>186458.52616793601</v>
      </c>
      <c r="BV40" s="7">
        <f t="shared" ref="BV40:BX40" si="360">IF(OR(BV39="",BV38=""),"",BV38+BV39)</f>
        <v>174971.27279541327</v>
      </c>
      <c r="BW40" s="7">
        <f t="shared" si="360"/>
        <v>209316.40387531853</v>
      </c>
      <c r="BX40" s="7">
        <f t="shared" si="360"/>
        <v>235311.83136735094</v>
      </c>
    </row>
    <row r="41" spans="1:76" s="4" customFormat="1" hidden="1" outlineLevel="1" x14ac:dyDescent="0.25">
      <c r="A41" s="292"/>
      <c r="B41" s="16" t="s">
        <v>13</v>
      </c>
      <c r="C41" s="94"/>
      <c r="D41" s="94"/>
      <c r="E41" s="94"/>
      <c r="F41" s="7">
        <f t="shared" ref="F41:M41" si="361">IF(OR(F38="",F37=""),"",F37-F38)</f>
        <v>0.34412602678174997</v>
      </c>
      <c r="G41" s="7">
        <f t="shared" si="361"/>
        <v>593.85341007321881</v>
      </c>
      <c r="H41" s="7">
        <f t="shared" si="361"/>
        <v>3705.6477164422931</v>
      </c>
      <c r="I41" s="7">
        <f t="shared" si="361"/>
        <v>-36933.991833043365</v>
      </c>
      <c r="J41" s="7">
        <f t="shared" si="361"/>
        <v>-21571.365474004102</v>
      </c>
      <c r="K41" s="7">
        <f t="shared" si="361"/>
        <v>-17718.260509192958</v>
      </c>
      <c r="L41" s="7">
        <f t="shared" si="361"/>
        <v>3197.5668888877699</v>
      </c>
      <c r="M41" s="7">
        <f t="shared" si="361"/>
        <v>28.546596919208241</v>
      </c>
      <c r="N41" s="7">
        <f>IF(OR(N40="",N37=""),"",N37-N40)</f>
        <v>9386.3233492283034</v>
      </c>
      <c r="O41" s="7">
        <f t="shared" ref="O41:AE41" si="362">IF(OR(O40="",O37=""),"",O37-O40)</f>
        <v>17183.31946097999</v>
      </c>
      <c r="P41" s="7">
        <f t="shared" si="362"/>
        <v>44970.013947199957</v>
      </c>
      <c r="Q41" s="7">
        <f>IF(OR(Q40="",Q37=""),"",Q37-Q40)</f>
        <v>-2430.5599676319835</v>
      </c>
      <c r="R41" s="7">
        <f t="shared" si="362"/>
        <v>13884.756391725808</v>
      </c>
      <c r="S41" s="7">
        <f t="shared" si="362"/>
        <v>-24656.123165404984</v>
      </c>
      <c r="T41" s="7">
        <f t="shared" si="362"/>
        <v>9636.0532806900083</v>
      </c>
      <c r="U41" s="7">
        <f t="shared" si="362"/>
        <v>21257.212078134995</v>
      </c>
      <c r="V41" s="7">
        <f t="shared" si="362"/>
        <v>46513.852892219438</v>
      </c>
      <c r="W41" s="7">
        <f t="shared" si="362"/>
        <v>17963.75752109506</v>
      </c>
      <c r="X41" s="7">
        <f t="shared" si="362"/>
        <v>35839.24270934696</v>
      </c>
      <c r="Y41" s="7">
        <f t="shared" si="362"/>
        <v>28485.142644444233</v>
      </c>
      <c r="Z41" s="7">
        <f>IF(OR(Z40="",Z37=""),"",Z37-Z40)</f>
        <v>24369.036902396678</v>
      </c>
      <c r="AA41" s="7">
        <f t="shared" si="362"/>
        <v>30934.858333323748</v>
      </c>
      <c r="AB41" s="7">
        <f t="shared" si="362"/>
        <v>94766.967284778366</v>
      </c>
      <c r="AC41" s="7">
        <f t="shared" si="362"/>
        <v>-72398.439502936497</v>
      </c>
      <c r="AD41" s="7">
        <f t="shared" si="362"/>
        <v>-168163.96020115109</v>
      </c>
      <c r="AE41" s="7">
        <f t="shared" si="362"/>
        <v>-98757.116365664348</v>
      </c>
      <c r="AF41" s="7">
        <f t="shared" ref="AF41:AV41" si="363">IF(OR(AF40="",AF37=""),"",AF37-AF40)</f>
        <v>-36655.120222931961</v>
      </c>
      <c r="AG41" s="7">
        <f t="shared" si="363"/>
        <v>23011.089724145306</v>
      </c>
      <c r="AH41" s="7">
        <f t="shared" si="363"/>
        <v>80832.667738781718</v>
      </c>
      <c r="AI41" s="7">
        <f t="shared" si="363"/>
        <v>23095.16047831031</v>
      </c>
      <c r="AJ41" s="7">
        <f t="shared" si="363"/>
        <v>-35198.984828463173</v>
      </c>
      <c r="AK41" s="7">
        <f t="shared" si="363"/>
        <v>-63792.355629800499</v>
      </c>
      <c r="AL41" s="7">
        <f t="shared" si="363"/>
        <v>-55475.392619436316</v>
      </c>
      <c r="AM41" s="7">
        <f t="shared" si="363"/>
        <v>-66640.240037982177</v>
      </c>
      <c r="AN41" s="7">
        <f t="shared" si="363"/>
        <v>-50931.801916664524</v>
      </c>
      <c r="AO41" s="7">
        <f t="shared" si="363"/>
        <v>-158898.86501364034</v>
      </c>
      <c r="AP41" s="7">
        <f t="shared" si="363"/>
        <v>-133201.18728040846</v>
      </c>
      <c r="AQ41" s="7">
        <f t="shared" si="363"/>
        <v>-79890.76879332996</v>
      </c>
      <c r="AR41" s="7">
        <f t="shared" si="363"/>
        <v>-9595.6217222051346</v>
      </c>
      <c r="AS41" s="7">
        <f t="shared" si="363"/>
        <v>28729.736987736484</v>
      </c>
      <c r="AT41" s="7">
        <f t="shared" si="363"/>
        <v>74462.436345896509</v>
      </c>
      <c r="AU41" s="7">
        <f t="shared" si="363"/>
        <v>17839.268968651537</v>
      </c>
      <c r="AV41" s="7">
        <f t="shared" si="363"/>
        <v>36764.799759755144</v>
      </c>
      <c r="AW41" s="126">
        <f>IF(OR(AW40="",AW37=""),"",AW37-AW40)+AW36</f>
        <v>-3842.6495508213702</v>
      </c>
      <c r="AX41" s="7">
        <f t="shared" ref="AX41:AY41" si="364">IF(OR(AX40="",AX37=""),"",AX37-AX40)</f>
        <v>-47847.905104756297</v>
      </c>
      <c r="AY41" s="7">
        <f t="shared" si="364"/>
        <v>-78505.313670210482</v>
      </c>
      <c r="AZ41" s="7">
        <f t="shared" ref="AZ41:BA41" si="365">IF(OR(AZ40="",AZ37=""),"",AZ37-AZ40)</f>
        <v>-49708.151109466475</v>
      </c>
      <c r="BA41" s="7">
        <f t="shared" si="365"/>
        <v>-67141.534248695854</v>
      </c>
      <c r="BB41" s="7">
        <f t="shared" ref="BB41:BC41" si="366">IF(OR(BB40="",BB37=""),"",BB37-BB40)</f>
        <v>18974.267820053821</v>
      </c>
      <c r="BC41" s="7">
        <f t="shared" si="366"/>
        <v>51093.330617308035</v>
      </c>
      <c r="BD41" s="7">
        <f t="shared" ref="BD41:BE41" si="367">IF(OR(BD40="",BD37=""),"",BD37-BD40)</f>
        <v>137510.72145895119</v>
      </c>
      <c r="BE41" s="7">
        <f t="shared" si="367"/>
        <v>211085.08009668105</v>
      </c>
      <c r="BF41" s="7">
        <f t="shared" ref="BF41:BG41" si="368">IF(OR(BF40="",BF37=""),"",BF37-BF40)</f>
        <v>-61578.432023932633</v>
      </c>
      <c r="BG41" s="7">
        <f t="shared" si="368"/>
        <v>-79596.662601850665</v>
      </c>
      <c r="BH41" s="7">
        <f t="shared" ref="BH41:BI41" si="369">IF(OR(BH40="",BH37=""),"",BH37-BH40)</f>
        <v>-81885.495228034677</v>
      </c>
      <c r="BI41" s="7">
        <f t="shared" si="369"/>
        <v>-84939.862897314379</v>
      </c>
      <c r="BJ41" s="7">
        <f t="shared" ref="BJ41:BK41" si="370">IF(OR(BJ40="",BJ37=""),"",BJ37-BJ40)</f>
        <v>-68339.930941902916</v>
      </c>
      <c r="BK41" s="7">
        <f t="shared" si="370"/>
        <v>-73504.100014453637</v>
      </c>
      <c r="BL41" s="7">
        <f t="shared" ref="BL41:BM41" si="371">IF(OR(BL40="",BL37=""),"",BL37-BL40)</f>
        <v>-59978.711267731793</v>
      </c>
      <c r="BM41" s="7">
        <f t="shared" si="371"/>
        <v>-85134.121939437216</v>
      </c>
      <c r="BN41" s="7">
        <f t="shared" ref="BN41:BO41" si="372">IF(OR(BN40="",BN37=""),"",BN37-BN40)</f>
        <v>-57684.52537379878</v>
      </c>
      <c r="BO41" s="7">
        <f t="shared" si="372"/>
        <v>-40254.905158226407</v>
      </c>
      <c r="BP41" s="7">
        <f t="shared" ref="BP41:BQ41" si="373">IF(OR(BP40="",BP37=""),"",BP37-BP40)</f>
        <v>13369.094321838784</v>
      </c>
      <c r="BQ41" s="7">
        <f t="shared" si="373"/>
        <v>73661.308478038321</v>
      </c>
      <c r="BR41" s="7">
        <f t="shared" ref="BR41:BS41" si="374">IF(OR(BR40="",BR37=""),"",BR37-BR40)</f>
        <v>118677.87979135648</v>
      </c>
      <c r="BS41" s="7">
        <f t="shared" si="374"/>
        <v>89208.261499824526</v>
      </c>
      <c r="BT41" s="7">
        <f t="shared" ref="BT41:BU41" si="375">IF(OR(BT40="",BT37=""),"",BT37-BT40)</f>
        <v>50105.490983748168</v>
      </c>
      <c r="BU41" s="7">
        <f t="shared" si="375"/>
        <v>-13212.991295364714</v>
      </c>
      <c r="BV41" s="7">
        <f t="shared" ref="BV41:BX41" si="376">IF(OR(BV40="",BV37=""),"",BV37-BV40)</f>
        <v>-18364.761351372668</v>
      </c>
      <c r="BW41" s="7">
        <f t="shared" si="376"/>
        <v>-19958.235600883199</v>
      </c>
      <c r="BX41" s="7">
        <f t="shared" si="376"/>
        <v>-21762.575275367126</v>
      </c>
    </row>
    <row r="42" spans="1:76" s="4" customFormat="1" hidden="1" outlineLevel="1" x14ac:dyDescent="0.25">
      <c r="A42" s="292"/>
      <c r="B42" s="17" t="s">
        <v>8</v>
      </c>
      <c r="C42" s="94"/>
      <c r="D42" s="94"/>
      <c r="E42" s="94"/>
      <c r="F42" s="7">
        <f>IF(OR(F9="",F41=""),"",ROUND((F41+E44)*F9/12,2))</f>
        <v>0</v>
      </c>
      <c r="G42" s="7">
        <f t="shared" ref="G42:L42" si="377">IF(OR(G9="",G41=""),"",ROUND((G41+F44)*G9/12,2))</f>
        <v>1.32</v>
      </c>
      <c r="H42" s="7">
        <f t="shared" si="377"/>
        <v>9.6</v>
      </c>
      <c r="I42" s="7">
        <f t="shared" si="377"/>
        <v>-72.040000000000006</v>
      </c>
      <c r="J42" s="7">
        <f t="shared" si="377"/>
        <v>-117.35</v>
      </c>
      <c r="K42" s="7">
        <f t="shared" si="377"/>
        <v>-141.27000000000001</v>
      </c>
      <c r="L42" s="7">
        <f t="shared" si="377"/>
        <v>-127.55</v>
      </c>
      <c r="M42" s="7">
        <f t="shared" ref="M42" si="378">IF(OR(M9="",M41=""),"",ROUND((M41+L44)*M9/12,2))</f>
        <v>-121.81</v>
      </c>
      <c r="N42" s="114">
        <f>IF(OR(N9="",N41=""),"",ROUND((N41+M44)*N9/12,2))+N36</f>
        <v>-90.600000000000023</v>
      </c>
      <c r="O42" s="7">
        <f t="shared" ref="O42" si="379">IF(OR(O9="",O41=""),"",ROUND((O41+N44)*O9/12,2))</f>
        <v>-68.290000000000006</v>
      </c>
      <c r="P42" s="7">
        <f t="shared" ref="P42" si="380">IF(OR(P9="",P41=""),"",ROUND((P41+O44)*P9/12,2))</f>
        <v>3.33</v>
      </c>
      <c r="Q42" s="7">
        <f t="shared" ref="Q42:R42" si="381">IF(OR(Q9="",Q41=""),"",ROUND((Q41+P44)*Q9/12,2))</f>
        <v>-0.47</v>
      </c>
      <c r="R42" s="7">
        <f t="shared" si="381"/>
        <v>49.68</v>
      </c>
      <c r="S42" s="7">
        <f t="shared" ref="S42" si="382">IF(OR(S9="",S41=""),"",ROUND((S41+R44)*S9/12,2))</f>
        <v>19.39</v>
      </c>
      <c r="T42" s="7">
        <f t="shared" ref="T42" si="383">IF(OR(T9="",T41=""),"",ROUND((T41+S44)*T9/12,2))</f>
        <v>5.18</v>
      </c>
      <c r="U42" s="7">
        <f t="shared" ref="U42" si="384">IF(OR(U9="",U41=""),"",ROUND((U41+T44)*U9/12,2))</f>
        <v>8.57</v>
      </c>
      <c r="V42" s="7">
        <f t="shared" ref="V42" si="385">IF(OR(V9="",V41=""),"",ROUND((V41+U44)*V9/12,2))</f>
        <v>23.23</v>
      </c>
      <c r="W42" s="7">
        <f t="shared" ref="W42:X42" si="386">IF(OR(W9="",W41=""),"",ROUND((W41+V44)*W9/12,2))</f>
        <v>20.64</v>
      </c>
      <c r="X42" s="7">
        <f t="shared" si="386"/>
        <v>24.38</v>
      </c>
      <c r="Y42" s="7">
        <f>IF(OR(Y9="",Y41=""),"",ROUND((Y41+X44)*Y9/12,2))</f>
        <v>47.13</v>
      </c>
      <c r="Z42" s="7">
        <f>IF(OR(Z9="",Z41=""),"",ROUND((Z39+Z41+Y44+Z36)*Z9/12,2))+Z36</f>
        <v>149.35</v>
      </c>
      <c r="AA42" s="7">
        <f>IF(OR(AA9="",AA41=""),"",ROUND((AA39+AA41+Z44)*AA9/12,2))</f>
        <v>91.24</v>
      </c>
      <c r="AB42" s="7">
        <f>IF(OR(AB9="",AB41=""),"",ROUND((AB39+AB41+AA44)*AB9/12,2))</f>
        <v>85.84</v>
      </c>
      <c r="AC42" s="7">
        <f t="shared" ref="AC42:AE42" si="387">IF(OR(AC9="",AC41=""),"",ROUND((AC39+AC41+AB44)*AC9/12,2))</f>
        <v>77.459999999999994</v>
      </c>
      <c r="AD42" s="7">
        <f t="shared" si="387"/>
        <v>33.89</v>
      </c>
      <c r="AE42" s="7">
        <f t="shared" si="387"/>
        <v>10.94</v>
      </c>
      <c r="AF42" s="7">
        <f t="shared" ref="AF42" si="388">IF(OR(AF9="",AF41=""),"",ROUND((AF39+AF41+AE44)*AF9/12,2))</f>
        <v>-2.04</v>
      </c>
      <c r="AG42" s="7">
        <f t="shared" ref="AG42" si="389">IF(OR(AG9="",AG41=""),"",ROUND((AG39+AG41+AF44)*AG9/12,2))</f>
        <v>-4.49</v>
      </c>
      <c r="AH42" s="7">
        <f t="shared" ref="AH42" si="390">IF(OR(AH9="",AH41=""),"",ROUND((AH39+AH41+AG44)*AH9/12,2))</f>
        <v>0.94</v>
      </c>
      <c r="AI42" s="7">
        <f t="shared" ref="AI42" si="391">IF(OR(AI9="",AI41=""),"",ROUND((AI39+AI41+AH44)*AI9/12,2))</f>
        <v>-2.5299999999999998</v>
      </c>
      <c r="AJ42" s="7">
        <f t="shared" ref="AJ42" si="392">IF(OR(AJ9="",AJ41=""),"",ROUND((AJ39+AJ41+AI44)*AJ9/12,2))</f>
        <v>-15.53</v>
      </c>
      <c r="AK42" s="7">
        <f t="shared" ref="AK42" si="393">IF(OR(AK9="",AK41=""),"",ROUND((AK39+AK41+AJ44)*AK9/12,2))</f>
        <v>-24.88</v>
      </c>
      <c r="AL42" s="7">
        <f t="shared" ref="AL42" si="394">IF(OR(AL9="",AL41=""),"",ROUND((AL39+AL41+AK44)*AL9/12,2))</f>
        <v>-36.92</v>
      </c>
      <c r="AM42" s="7">
        <f t="shared" ref="AM42" si="395">IF(OR(AM9="",AM41=""),"",ROUND((AM39+AM41+AL44)*AM9/12,2))</f>
        <v>-85.81</v>
      </c>
      <c r="AN42" s="7">
        <f t="shared" ref="AN42" si="396">IF(OR(AN9="",AN41=""),"",ROUND((AN39+AN41+AM44)*AN9/12,2))</f>
        <v>-96.32</v>
      </c>
      <c r="AO42" s="7">
        <f t="shared" ref="AO42" si="397">IF(OR(AO9="",AO41=""),"",ROUND((AO39+AO41+AN44)*AO9/12,2))</f>
        <v>-145.96</v>
      </c>
      <c r="AP42" s="7">
        <f t="shared" ref="AP42" si="398">IF(OR(AP9="",AP41=""),"",ROUND((AP39+AP41+AO44)*AP9/12,2))</f>
        <v>-396.3</v>
      </c>
      <c r="AQ42" s="7">
        <f t="shared" ref="AQ42" si="399">IF(OR(AQ9="",AQ41=""),"",ROUND((AQ39+AQ41+AP44)*AQ9/12,2))</f>
        <v>-370.62</v>
      </c>
      <c r="AR42" s="7">
        <f t="shared" ref="AR42" si="400">IF(OR(AR9="",AR41=""),"",ROUND((AR39+AR41+AQ44)*AR9/12,2))</f>
        <v>-570.75</v>
      </c>
      <c r="AS42" s="7">
        <f t="shared" ref="AS42" si="401">IF(OR(AS9="",AS41=""),"",ROUND((AS39+AS41+AR44)*AS9/12,2))</f>
        <v>-815.58</v>
      </c>
      <c r="AT42" s="7">
        <f t="shared" ref="AT42" si="402">IF(OR(AT9="",AT41=""),"",ROUND((AT39+AT41+AS44)*AT9/12,2))</f>
        <v>-932.25</v>
      </c>
      <c r="AU42" s="7">
        <f t="shared" ref="AU42" si="403">IF(OR(AU9="",AU41=""),"",ROUND((AU39+AU41+AT44)*AU9/12,2))</f>
        <v>-1040.0999999999999</v>
      </c>
      <c r="AV42" s="7">
        <f t="shared" ref="AV42" si="404">IF(OR(AV9="",AV41=""),"",ROUND((AV39+AV41+AU44)*AV9/12,2))</f>
        <v>-980.73</v>
      </c>
      <c r="AW42" s="7">
        <f t="shared" ref="AW42:AY42" si="405">IF(OR(AW9="",AW41=""),"",ROUND((AW39+AW41+AV44)*AW9/12,2))</f>
        <v>-1123.78</v>
      </c>
      <c r="AX42" s="7">
        <f t="shared" si="405"/>
        <v>-1459.59</v>
      </c>
      <c r="AY42" s="7">
        <f t="shared" si="405"/>
        <v>-1741.09</v>
      </c>
      <c r="AZ42" s="114">
        <f>IF(OR(AZ9="",AZ41=""),"",ROUND((AZ39+AZ41+AY44+AZ36)*AZ9/12,2))+AZ36</f>
        <v>-1872.0600000000006</v>
      </c>
      <c r="BA42" s="114">
        <f t="shared" ref="BA42:BL42" si="406">IF(OR(BA9="",BA41=""),"",ROUND((BA39+BA41+AZ44)*BA9/12,2))</f>
        <v>-1940.33</v>
      </c>
      <c r="BB42" s="114">
        <f t="shared" si="406"/>
        <v>-1770.6</v>
      </c>
      <c r="BC42" s="114">
        <f t="shared" si="406"/>
        <v>-1496.58</v>
      </c>
      <c r="BD42" s="114">
        <f t="shared" si="406"/>
        <v>-774.33</v>
      </c>
      <c r="BE42" s="114">
        <f t="shared" si="406"/>
        <v>332.61</v>
      </c>
      <c r="BF42" s="114">
        <f t="shared" si="406"/>
        <v>258.35000000000002</v>
      </c>
      <c r="BG42" s="114">
        <f t="shared" si="406"/>
        <v>104.88</v>
      </c>
      <c r="BH42" s="114">
        <f t="shared" si="406"/>
        <v>-70.37</v>
      </c>
      <c r="BI42" s="114">
        <f t="shared" si="406"/>
        <v>-290.74</v>
      </c>
      <c r="BJ42" s="114">
        <f t="shared" si="406"/>
        <v>-453.06</v>
      </c>
      <c r="BK42" s="114">
        <f t="shared" si="406"/>
        <v>-613.19000000000005</v>
      </c>
      <c r="BL42" s="114">
        <f t="shared" si="406"/>
        <v>-654.42999999999995</v>
      </c>
      <c r="BM42" s="272">
        <f>IF(OR(BM9="",BM41=""),"",ROUND((BM39+BM41+BL44+BM36)*BM9/12,2))</f>
        <v>-932.27</v>
      </c>
      <c r="BN42" s="114">
        <f t="shared" ref="BN42:BU42" si="407">IF(OR(BN9="",BN41=""),"",ROUND((BN39+BN41+BM44)*BN9/12,2))</f>
        <v>-1143.99</v>
      </c>
      <c r="BO42" s="114">
        <f t="shared" si="407"/>
        <v>-1287.3699999999999</v>
      </c>
      <c r="BP42" s="114">
        <f t="shared" si="407"/>
        <v>-1171.31</v>
      </c>
      <c r="BQ42" s="114">
        <f t="shared" si="407"/>
        <v>-777.06</v>
      </c>
      <c r="BR42" s="114">
        <f t="shared" si="407"/>
        <v>-145.91</v>
      </c>
      <c r="BS42" s="114">
        <f t="shared" si="407"/>
        <v>348.69</v>
      </c>
      <c r="BT42" s="114">
        <f t="shared" si="407"/>
        <v>630.91999999999996</v>
      </c>
      <c r="BU42" s="114">
        <f t="shared" si="407"/>
        <v>594.97</v>
      </c>
      <c r="BV42" s="114">
        <f t="shared" ref="BV42" si="408">IF(OR(BV9="",BV41=""),"",ROUND((BV39+BV41+BU44)*BV9/12,2))</f>
        <v>577.42999999999995</v>
      </c>
      <c r="BW42" s="114">
        <f t="shared" ref="BW42" si="409">IF(OR(BW9="",BW41=""),"",ROUND((BW39+BW41+BV44)*BW9/12,2))</f>
        <v>564.23</v>
      </c>
      <c r="BX42" s="114">
        <f t="shared" ref="BX42" si="410">IF(OR(BX9="",BX41=""),"",ROUND((BX39+BX41+BW44)*BX9/12,2))</f>
        <v>551.84</v>
      </c>
    </row>
    <row r="43" spans="1:76" s="4" customFormat="1" hidden="1" outlineLevel="1" x14ac:dyDescent="0.25">
      <c r="A43" s="292"/>
      <c r="B43" s="16" t="s">
        <v>14</v>
      </c>
      <c r="C43" s="94"/>
      <c r="D43" s="94"/>
      <c r="E43" s="94"/>
      <c r="F43" s="7">
        <f t="shared" ref="F43:M43" si="411">IF(OR(F41="",F42=""),"",F41+F42)</f>
        <v>0.34412602678174997</v>
      </c>
      <c r="G43" s="7">
        <f t="shared" si="411"/>
        <v>595.17341007321886</v>
      </c>
      <c r="H43" s="7">
        <f t="shared" si="411"/>
        <v>3715.247716442293</v>
      </c>
      <c r="I43" s="7">
        <f t="shared" si="411"/>
        <v>-37006.031833043366</v>
      </c>
      <c r="J43" s="7">
        <f t="shared" si="411"/>
        <v>-21688.715474004101</v>
      </c>
      <c r="K43" s="7">
        <f t="shared" si="411"/>
        <v>-17859.530509192959</v>
      </c>
      <c r="L43" s="7">
        <f t="shared" si="411"/>
        <v>3070.0168888877697</v>
      </c>
      <c r="M43" s="7">
        <f t="shared" si="411"/>
        <v>-93.263403080791761</v>
      </c>
      <c r="N43" s="7">
        <f>IF(OR(N41="",N42=""),"",N41+N42)</f>
        <v>9295.7233492283031</v>
      </c>
      <c r="O43" s="7">
        <f t="shared" ref="O43:AE43" si="412">IF(OR(O41="",O42=""),"",O41+O42)</f>
        <v>17115.029460979989</v>
      </c>
      <c r="P43" s="7">
        <f t="shared" si="412"/>
        <v>44973.343947199959</v>
      </c>
      <c r="Q43" s="7">
        <f t="shared" si="412"/>
        <v>-2431.0299676319833</v>
      </c>
      <c r="R43" s="7">
        <f t="shared" si="412"/>
        <v>13934.436391725809</v>
      </c>
      <c r="S43" s="7">
        <f t="shared" si="412"/>
        <v>-24636.733165404985</v>
      </c>
      <c r="T43" s="7">
        <f t="shared" si="412"/>
        <v>9641.2332806900085</v>
      </c>
      <c r="U43" s="7">
        <f t="shared" si="412"/>
        <v>21265.782078134995</v>
      </c>
      <c r="V43" s="7">
        <f t="shared" si="412"/>
        <v>46537.082892219441</v>
      </c>
      <c r="W43" s="7">
        <f t="shared" si="412"/>
        <v>17984.397521095059</v>
      </c>
      <c r="X43" s="7">
        <f t="shared" si="412"/>
        <v>35863.622709346957</v>
      </c>
      <c r="Y43" s="7">
        <f t="shared" si="412"/>
        <v>28532.272644444234</v>
      </c>
      <c r="Z43" s="7">
        <f>IF(OR(Z41="",Z42=""),"",Z41+Z42)</f>
        <v>24518.386902396676</v>
      </c>
      <c r="AA43" s="7">
        <f t="shared" si="412"/>
        <v>31026.098333323749</v>
      </c>
      <c r="AB43" s="7">
        <f t="shared" si="412"/>
        <v>94852.807284778362</v>
      </c>
      <c r="AC43" s="7">
        <f t="shared" si="412"/>
        <v>-72320.97950293649</v>
      </c>
      <c r="AD43" s="7">
        <f t="shared" si="412"/>
        <v>-168130.07020115107</v>
      </c>
      <c r="AE43" s="7">
        <f t="shared" si="412"/>
        <v>-98746.176365664345</v>
      </c>
      <c r="AF43" s="7">
        <f t="shared" ref="AF43:AW43" si="413">IF(OR(AF41="",AF42=""),"",AF41+AF42)</f>
        <v>-36657.160222931961</v>
      </c>
      <c r="AG43" s="7">
        <f t="shared" si="413"/>
        <v>23006.599724145304</v>
      </c>
      <c r="AH43" s="7">
        <f t="shared" si="413"/>
        <v>80833.60773878172</v>
      </c>
      <c r="AI43" s="7">
        <f t="shared" si="413"/>
        <v>23092.630478310311</v>
      </c>
      <c r="AJ43" s="7">
        <f t="shared" si="413"/>
        <v>-35214.514828463172</v>
      </c>
      <c r="AK43" s="7">
        <f t="shared" si="413"/>
        <v>-63817.235629800496</v>
      </c>
      <c r="AL43" s="7">
        <f t="shared" si="413"/>
        <v>-55512.312619436314</v>
      </c>
      <c r="AM43" s="7">
        <f t="shared" si="413"/>
        <v>-66726.050037982175</v>
      </c>
      <c r="AN43" s="7">
        <f t="shared" si="413"/>
        <v>-51028.121916664524</v>
      </c>
      <c r="AO43" s="7">
        <f t="shared" si="413"/>
        <v>-159044.82501364034</v>
      </c>
      <c r="AP43" s="7">
        <f t="shared" si="413"/>
        <v>-133597.48728040844</v>
      </c>
      <c r="AQ43" s="7">
        <f t="shared" si="413"/>
        <v>-80261.388793329956</v>
      </c>
      <c r="AR43" s="7">
        <f t="shared" si="413"/>
        <v>-10166.371722205135</v>
      </c>
      <c r="AS43" s="7">
        <f t="shared" si="413"/>
        <v>27914.156987736482</v>
      </c>
      <c r="AT43" s="7">
        <f t="shared" si="413"/>
        <v>73530.186345896509</v>
      </c>
      <c r="AU43" s="7">
        <f t="shared" si="413"/>
        <v>16799.168968651538</v>
      </c>
      <c r="AV43" s="7">
        <f t="shared" si="413"/>
        <v>35784.069759755141</v>
      </c>
      <c r="AW43" s="7">
        <f t="shared" si="413"/>
        <v>-4966.42955082137</v>
      </c>
      <c r="AX43" s="7">
        <f t="shared" ref="AX43:AY43" si="414">IF(OR(AX41="",AX42=""),"",AX41+AX42)</f>
        <v>-49307.495104756294</v>
      </c>
      <c r="AY43" s="7">
        <f t="shared" si="414"/>
        <v>-80246.403670210479</v>
      </c>
      <c r="AZ43" s="7">
        <f t="shared" ref="AZ43:BE43" si="415">IF(OR(AZ41="",AZ42=""),"",AZ41+AZ42)</f>
        <v>-51580.211109466472</v>
      </c>
      <c r="BA43" s="7">
        <f t="shared" si="415"/>
        <v>-69081.864248695856</v>
      </c>
      <c r="BB43" s="7">
        <f t="shared" si="415"/>
        <v>17203.667820053823</v>
      </c>
      <c r="BC43" s="7">
        <f t="shared" si="415"/>
        <v>49596.750617308033</v>
      </c>
      <c r="BD43" s="7">
        <f t="shared" si="415"/>
        <v>136736.3914589512</v>
      </c>
      <c r="BE43" s="7">
        <f t="shared" si="415"/>
        <v>211417.69009668104</v>
      </c>
      <c r="BF43" s="7">
        <f t="shared" ref="BF43:BG43" si="416">IF(OR(BF41="",BF42=""),"",BF41+BF42)</f>
        <v>-61320.082023932635</v>
      </c>
      <c r="BG43" s="7">
        <f t="shared" si="416"/>
        <v>-79491.78260185066</v>
      </c>
      <c r="BH43" s="7">
        <f t="shared" ref="BH43:BI43" si="417">IF(OR(BH41="",BH42=""),"",BH41+BH42)</f>
        <v>-81955.865228034672</v>
      </c>
      <c r="BI43" s="7">
        <f t="shared" si="417"/>
        <v>-85230.602897314384</v>
      </c>
      <c r="BJ43" s="7">
        <f t="shared" ref="BJ43:BK43" si="418">IF(OR(BJ41="",BJ42=""),"",BJ41+BJ42)</f>
        <v>-68792.990941902914</v>
      </c>
      <c r="BK43" s="7">
        <f t="shared" si="418"/>
        <v>-74117.29001445364</v>
      </c>
      <c r="BL43" s="7">
        <f t="shared" ref="BL43:BM43" si="419">IF(OR(BL41="",BL42=""),"",BL41+BL42)</f>
        <v>-60633.141267731793</v>
      </c>
      <c r="BM43" s="7">
        <f t="shared" si="419"/>
        <v>-86066.391939437221</v>
      </c>
      <c r="BN43" s="7">
        <f t="shared" ref="BN43:BO43" si="420">IF(OR(BN41="",BN42=""),"",BN41+BN42)</f>
        <v>-58828.515373798778</v>
      </c>
      <c r="BO43" s="7">
        <f t="shared" si="420"/>
        <v>-41542.27515822641</v>
      </c>
      <c r="BP43" s="7">
        <f t="shared" ref="BP43:BQ43" si="421">IF(OR(BP41="",BP42=""),"",BP41+BP42)</f>
        <v>12197.784321838784</v>
      </c>
      <c r="BQ43" s="7">
        <f t="shared" si="421"/>
        <v>72884.248478038324</v>
      </c>
      <c r="BR43" s="7">
        <f t="shared" ref="BR43:BS43" si="422">IF(OR(BR41="",BR42=""),"",BR41+BR42)</f>
        <v>118531.96979135647</v>
      </c>
      <c r="BS43" s="7">
        <f t="shared" si="422"/>
        <v>89556.951499824529</v>
      </c>
      <c r="BT43" s="7">
        <f t="shared" ref="BT43:BU43" si="423">IF(OR(BT41="",BT42=""),"",BT41+BT42)</f>
        <v>50736.410983748166</v>
      </c>
      <c r="BU43" s="7">
        <f t="shared" si="423"/>
        <v>-12618.021295364715</v>
      </c>
      <c r="BV43" s="7">
        <f t="shared" ref="BV43:BX43" si="424">IF(OR(BV41="",BV42=""),"",BV41+BV42)</f>
        <v>-17787.331351372668</v>
      </c>
      <c r="BW43" s="7">
        <f t="shared" si="424"/>
        <v>-19394.0056008832</v>
      </c>
      <c r="BX43" s="7">
        <f t="shared" si="424"/>
        <v>-21210.735275367126</v>
      </c>
    </row>
    <row r="44" spans="1:76" s="4" customFormat="1" hidden="1" outlineLevel="1" x14ac:dyDescent="0.25">
      <c r="A44" s="292"/>
      <c r="B44" s="18" t="s">
        <v>16</v>
      </c>
      <c r="C44" s="94"/>
      <c r="D44" s="94"/>
      <c r="E44" s="94"/>
      <c r="F44" s="7">
        <f>IF(OR(F43=""),"",F43)</f>
        <v>0.34412602678174997</v>
      </c>
      <c r="G44" s="7">
        <f t="shared" ref="G44:M44" si="425">IF(OR(G43="",F44=""),"",G43+F44)</f>
        <v>595.5175361000006</v>
      </c>
      <c r="H44" s="7">
        <f t="shared" si="425"/>
        <v>4310.7652525422936</v>
      </c>
      <c r="I44" s="7">
        <f t="shared" si="425"/>
        <v>-32695.266580501073</v>
      </c>
      <c r="J44" s="7">
        <f t="shared" si="425"/>
        <v>-54383.982054505177</v>
      </c>
      <c r="K44" s="7">
        <f t="shared" si="425"/>
        <v>-72243.512563698139</v>
      </c>
      <c r="L44" s="7">
        <f t="shared" si="425"/>
        <v>-69173.495674810372</v>
      </c>
      <c r="M44" s="7">
        <f t="shared" si="425"/>
        <v>-69266.759077891169</v>
      </c>
      <c r="N44" s="7">
        <f>IF(OR(N43="",M44=""),"",N43+N39+M44)</f>
        <v>-59971.035728662864</v>
      </c>
      <c r="O44" s="7">
        <f>IF(OR(O43="",N44=""),"",O43+O39+N44)</f>
        <v>-42856.006267682875</v>
      </c>
      <c r="P44" s="7">
        <f t="shared" ref="P44:AE44" si="426">IF(OR(P43="",O44=""),"",P43+P39+O44)</f>
        <v>2117.3376795170843</v>
      </c>
      <c r="Q44" s="7">
        <f t="shared" si="426"/>
        <v>17682.337711885099</v>
      </c>
      <c r="R44" s="7">
        <f t="shared" si="426"/>
        <v>49445.594103610907</v>
      </c>
      <c r="S44" s="7">
        <f t="shared" si="426"/>
        <v>38507.200938205919</v>
      </c>
      <c r="T44" s="7">
        <f>IF(OR(T43="",S44=""),"",T43+T39+S44)</f>
        <v>60568.114218895927</v>
      </c>
      <c r="U44" s="7">
        <f t="shared" si="426"/>
        <v>97429.32629703093</v>
      </c>
      <c r="V44" s="7">
        <f t="shared" si="426"/>
        <v>163385.58918925037</v>
      </c>
      <c r="W44" s="7">
        <f t="shared" si="426"/>
        <v>200297.86671034544</v>
      </c>
      <c r="X44" s="7">
        <f t="shared" si="426"/>
        <v>254279.91941969239</v>
      </c>
      <c r="Y44" s="7">
        <f t="shared" si="426"/>
        <v>297498.4220641366</v>
      </c>
      <c r="Z44" s="7">
        <f>IF(OR(Z43="",Y44=""),"",Z43+Z39+Y44)</f>
        <v>336694.64896653325</v>
      </c>
      <c r="AA44" s="7">
        <f t="shared" si="426"/>
        <v>384677.91729985701</v>
      </c>
      <c r="AB44" s="7">
        <f t="shared" si="426"/>
        <v>499758.68458463537</v>
      </c>
      <c r="AC44" s="7">
        <f t="shared" si="426"/>
        <v>400361.8350816989</v>
      </c>
      <c r="AD44" s="7">
        <f t="shared" si="426"/>
        <v>190361.84488054784</v>
      </c>
      <c r="AE44" s="7">
        <f t="shared" si="426"/>
        <v>58312.098514883488</v>
      </c>
      <c r="AF44" s="7">
        <f t="shared" ref="AF44" si="427">IF(OR(AF43="",AE44=""),"",AF43+AF39+AE44)</f>
        <v>-10905.351708048474</v>
      </c>
      <c r="AG44" s="7">
        <f t="shared" ref="AG44" si="428">IF(OR(AG43="",AF44=""),"",AG43+AG39+AF44)</f>
        <v>-26740.14198390317</v>
      </c>
      <c r="AH44" s="7">
        <f t="shared" ref="AH44" si="429">IF(OR(AH43="",AG44=""),"",AH43+AH39+AG44)</f>
        <v>8115.4857548785476</v>
      </c>
      <c r="AI44" s="7">
        <f t="shared" ref="AI44" si="430">IF(OR(AI43="",AH44=""),"",AI43+AI39+AH44)</f>
        <v>-14787.263766811138</v>
      </c>
      <c r="AJ44" s="7">
        <f t="shared" ref="AJ44" si="431">IF(OR(AJ43="",AI44=""),"",AJ43+AJ39+AI44)</f>
        <v>-96476.158595274319</v>
      </c>
      <c r="AK44" s="7">
        <f t="shared" ref="AK44" si="432">IF(OR(AK43="",AJ44=""),"",AK43+AK39+AJ44)</f>
        <v>-199058.8442250748</v>
      </c>
      <c r="AL44" s="7">
        <f t="shared" ref="AL44" si="433">IF(OR(AL43="",AK44=""),"",AL43+AL39+AK44)</f>
        <v>-289230.94684451108</v>
      </c>
      <c r="AM44" s="7">
        <f t="shared" ref="AM44" si="434">IF(OR(AM43="",AL44=""),"",AM43+AM39+AL44)</f>
        <v>-395446.64688249328</v>
      </c>
      <c r="AN44" s="7">
        <f t="shared" ref="AN44" si="435">IF(OR(AN43="",AM44=""),"",AN43+AN39+AM44)</f>
        <v>-493108.69879915781</v>
      </c>
      <c r="AO44" s="7">
        <f t="shared" ref="AO44" si="436">IF(OR(AO43="",AN44=""),"",AO43+AO39+AN44)</f>
        <v>-592181.6438127982</v>
      </c>
      <c r="AP44" s="7">
        <f t="shared" ref="AP44" si="437">IF(OR(AP43="",AO44=""),"",AP43+AP39+AO44)</f>
        <v>-691318.92109320662</v>
      </c>
      <c r="AQ44" s="7">
        <f t="shared" ref="AQ44" si="438">IF(OR(AQ43="",AP44=""),"",AQ43+AQ39+AP44)</f>
        <v>-741098.19988653657</v>
      </c>
      <c r="AR44" s="7">
        <f t="shared" ref="AR44" si="439">IF(OR(AR43="",AQ44=""),"",AR43+AR39+AQ44)</f>
        <v>-721741.14160874172</v>
      </c>
      <c r="AS44" s="7">
        <f t="shared" ref="AS44" si="440">IF(OR(AS43="",AR44=""),"",AS43+AS39+AR44)</f>
        <v>-659489.10462100524</v>
      </c>
      <c r="AT44" s="7">
        <f t="shared" ref="AT44" si="441">IF(OR(AT43="",AS44=""),"",AT43+AT39+AS44)</f>
        <v>-544866.99827510875</v>
      </c>
      <c r="AU44" s="7">
        <f t="shared" ref="AU44" si="442">IF(OR(AU43="",AT44=""),"",AU43+AU39+AT44)</f>
        <v>-487816.96930645721</v>
      </c>
      <c r="AV44" s="7">
        <f t="shared" ref="AV44" si="443">IF(OR(AV43="",AU44=""),"",AV43+AV39+AU44)</f>
        <v>-415127.43954670208</v>
      </c>
      <c r="AW44" s="7">
        <f t="shared" ref="AW44:AY44" si="444">IF(OR(AW43="",AV44=""),"",AW43+AW39+AV44)</f>
        <v>-389738.91909752344</v>
      </c>
      <c r="AX44" s="7">
        <f t="shared" si="444"/>
        <v>-410108.21420227975</v>
      </c>
      <c r="AY44" s="7">
        <f t="shared" si="444"/>
        <v>-454208.29787249025</v>
      </c>
      <c r="AZ44" s="7">
        <f t="shared" ref="AZ44:BL44" si="445">IF(OR(AZ43="",AY44=""),"",AZ43+AZ39+AY44)</f>
        <v>-464431.92898195673</v>
      </c>
      <c r="BA44" s="7">
        <f t="shared" si="445"/>
        <v>-482226.60323065257</v>
      </c>
      <c r="BB44" s="7">
        <f t="shared" si="445"/>
        <v>-427615.99541059876</v>
      </c>
      <c r="BC44" s="7">
        <f t="shared" si="445"/>
        <v>-343656.16479329072</v>
      </c>
      <c r="BD44" s="7">
        <f t="shared" si="445"/>
        <v>-175212.59333433953</v>
      </c>
      <c r="BE44" s="7">
        <f t="shared" si="445"/>
        <v>74316.616762341495</v>
      </c>
      <c r="BF44" s="7">
        <f t="shared" si="445"/>
        <v>57219.494738408859</v>
      </c>
      <c r="BG44" s="7">
        <f t="shared" si="445"/>
        <v>22902.962136558199</v>
      </c>
      <c r="BH44" s="7">
        <f t="shared" si="445"/>
        <v>-15325.933091476472</v>
      </c>
      <c r="BI44" s="7">
        <f t="shared" si="445"/>
        <v>-63524.325988790857</v>
      </c>
      <c r="BJ44" s="7">
        <f t="shared" si="445"/>
        <v>-98270.436930693773</v>
      </c>
      <c r="BK44" s="7">
        <f t="shared" si="445"/>
        <v>-133252.01694514742</v>
      </c>
      <c r="BL44" s="7">
        <f t="shared" si="445"/>
        <v>-146669.50821287921</v>
      </c>
      <c r="BM44" s="126">
        <f>IF(OR(BM43="",BL44=""),"",BM43+BM39+BL44+BM36)</f>
        <v>-208983.72720560673</v>
      </c>
      <c r="BN44" s="7">
        <f t="shared" ref="BN44:BU44" si="446">IF(OR(BN43="",BM44=""),"",BN43+BN39+BM44)</f>
        <v>-254022.51257940551</v>
      </c>
      <c r="BO44" s="7">
        <f t="shared" si="446"/>
        <v>-282159.10773763189</v>
      </c>
      <c r="BP44" s="7">
        <f t="shared" si="446"/>
        <v>-257194.3234157931</v>
      </c>
      <c r="BQ44" s="7">
        <f t="shared" si="446"/>
        <v>-168705.82493775478</v>
      </c>
      <c r="BR44" s="7">
        <f t="shared" si="446"/>
        <v>-31515.615146398311</v>
      </c>
      <c r="BS44" s="7">
        <f t="shared" si="446"/>
        <v>75552.036353426214</v>
      </c>
      <c r="BT44" s="7">
        <f t="shared" si="446"/>
        <v>143337.08733717439</v>
      </c>
      <c r="BU44" s="7">
        <f t="shared" si="446"/>
        <v>145100.18604180968</v>
      </c>
      <c r="BV44" s="7">
        <f t="shared" ref="BV44" si="447">IF(OR(BV43="",BU44=""),"",BV43+BV39+BU44)</f>
        <v>140823.754690437</v>
      </c>
      <c r="BW44" s="7">
        <f t="shared" ref="BW44" si="448">IF(OR(BW43="",BV44=""),"",BW43+BW39+BV44)</f>
        <v>137602.50908955379</v>
      </c>
      <c r="BX44" s="7">
        <f t="shared" ref="BX44" si="449">IF(OR(BX43="",BW44=""),"",BX43+BX39+BW44)</f>
        <v>134581.36381418665</v>
      </c>
    </row>
    <row r="45" spans="1:76" s="4" customFormat="1" ht="8.25" hidden="1" customHeight="1" outlineLevel="1" x14ac:dyDescent="0.25">
      <c r="A45" s="40"/>
      <c r="B45" s="11"/>
      <c r="C45" s="99"/>
      <c r="D45" s="99"/>
      <c r="E45" s="99"/>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row>
    <row r="46" spans="1:76" s="4" customFormat="1" ht="15" hidden="1" customHeight="1" outlineLevel="1" x14ac:dyDescent="0.25">
      <c r="A46" s="292" t="s">
        <v>22</v>
      </c>
      <c r="B46" s="15"/>
      <c r="C46" s="94"/>
      <c r="D46" s="94"/>
      <c r="E46" s="94"/>
      <c r="F46" s="7"/>
      <c r="G46" s="7"/>
      <c r="H46" s="7"/>
      <c r="I46" s="7"/>
      <c r="J46" s="7"/>
      <c r="K46" s="7"/>
      <c r="L46" s="7"/>
      <c r="M46" s="7"/>
      <c r="N46" s="113">
        <f>'MEEIA 3 adjs'!L32</f>
        <v>95.419999999999618</v>
      </c>
      <c r="O46" s="7"/>
      <c r="P46" s="7"/>
      <c r="Q46" s="7"/>
      <c r="R46" s="7"/>
      <c r="S46" s="7"/>
      <c r="T46" s="7"/>
      <c r="U46" s="7"/>
      <c r="V46" s="7"/>
      <c r="W46" s="7"/>
      <c r="X46" s="7"/>
      <c r="Y46" s="7"/>
      <c r="Z46" s="113">
        <f>'MEEIA 3 adjs'!AA54</f>
        <v>176.33999999999946</v>
      </c>
      <c r="AA46" s="7"/>
      <c r="AB46" s="7"/>
      <c r="AC46" s="7"/>
      <c r="AD46" s="7"/>
      <c r="AE46" s="7"/>
      <c r="AF46" s="7"/>
      <c r="AG46" s="7"/>
      <c r="AH46" s="7"/>
      <c r="AI46" s="7"/>
      <c r="AJ46" s="7"/>
      <c r="AK46" s="7"/>
      <c r="AL46" s="7"/>
      <c r="AM46" s="7"/>
      <c r="AN46" s="7"/>
      <c r="AO46" s="7"/>
      <c r="AP46" s="7"/>
      <c r="AQ46" s="7"/>
      <c r="AR46" s="7"/>
      <c r="AS46" s="7"/>
      <c r="AT46" s="7"/>
      <c r="AU46" s="7"/>
      <c r="AV46" s="7"/>
      <c r="AW46" s="126">
        <v>54573.283373827086</v>
      </c>
      <c r="AX46" s="7"/>
      <c r="AY46" s="7"/>
      <c r="AZ46" s="113">
        <f>'MEEIA 3 adjs'!DZ52</f>
        <v>-28.739999999997963</v>
      </c>
      <c r="BA46" s="7"/>
      <c r="BB46" s="7"/>
      <c r="BC46" s="7"/>
      <c r="BD46" s="7"/>
      <c r="BE46" s="7"/>
      <c r="BF46" s="7"/>
      <c r="BG46" s="7"/>
      <c r="BH46" s="7"/>
      <c r="BI46" s="7"/>
      <c r="BJ46" s="7"/>
      <c r="BK46" s="7"/>
      <c r="BL46" s="7"/>
      <c r="BM46" s="68">
        <v>24354.086794278319</v>
      </c>
      <c r="BN46" s="7"/>
      <c r="BO46" s="7"/>
      <c r="BP46" s="7"/>
      <c r="BQ46" s="7"/>
      <c r="BR46" s="7"/>
      <c r="BS46" s="7"/>
      <c r="BT46" s="7"/>
      <c r="BU46" s="7"/>
      <c r="BV46" s="7"/>
      <c r="BW46" s="7"/>
      <c r="BX46" s="7"/>
    </row>
    <row r="47" spans="1:76" s="2" customFormat="1" ht="15" hidden="1" customHeight="1" outlineLevel="1" x14ac:dyDescent="0.25">
      <c r="A47" s="292"/>
      <c r="B47" s="15" t="s">
        <v>28</v>
      </c>
      <c r="C47" s="94"/>
      <c r="D47" s="94"/>
      <c r="E47" s="94"/>
      <c r="F47" s="20">
        <f>IF('M3 Allocations - TD'!D7="","",'M3 Allocations - TD'!D33)</f>
        <v>0.36790548240712501</v>
      </c>
      <c r="G47" s="20">
        <f>IF('M3 Allocations - TD'!E7="","",'M3 Allocations - TD'!E33)</f>
        <v>549.3842450882164</v>
      </c>
      <c r="H47" s="20">
        <f>IF('M3 Allocations - TD'!F7="","",'M3 Allocations - TD'!F33)</f>
        <v>3822.5375931394819</v>
      </c>
      <c r="I47" s="20">
        <f>IF('M3 Allocations - TD'!G7="","",'M3 Allocations - TD'!G33)</f>
        <v>16781.332362054229</v>
      </c>
      <c r="J47" s="20">
        <f>IF('M3 Allocations - TD'!H7="","",'M3 Allocations - TD'!H33)</f>
        <v>40077.718380542559</v>
      </c>
      <c r="K47" s="20">
        <f>IF('M3 Allocations - TD'!I7="","",'M3 Allocations - TD'!I33)</f>
        <v>54061.137994792116</v>
      </c>
      <c r="L47" s="20">
        <f>IF('M3 Allocations - TD'!J7="","",'M3 Allocations - TD'!J33)</f>
        <v>79608.348605740233</v>
      </c>
      <c r="M47" s="20">
        <f>IF('M3 Allocations - TD'!K7="","",'M3 Allocations - TD'!K33)</f>
        <v>56432.915123633284</v>
      </c>
      <c r="N47" s="20">
        <f>IF('M3 Allocations - TD'!L7="","",'M3 Allocations - TD'!L33)</f>
        <v>84805.665004540322</v>
      </c>
      <c r="O47" s="20">
        <f>IF('M3 Allocations - TD'!M7="","",'M3 Allocations - TD'!M33)</f>
        <v>101585.96799703788</v>
      </c>
      <c r="P47" s="20">
        <f>IF('M3 Allocations - TD'!N7="","",'M3 Allocations - TD'!N33)</f>
        <v>154209.2659634623</v>
      </c>
      <c r="Q47" s="20">
        <f>IF('M3 Allocations - TD'!O7="","",'M3 Allocations - TD'!O33)</f>
        <v>122696.92137199735</v>
      </c>
      <c r="R47" s="20">
        <f>IF('M3 Allocations - TD'!P7="","",'M3 Allocations - TD'!P33)</f>
        <v>123411.87388052933</v>
      </c>
      <c r="S47" s="20">
        <f>IF('M3 Allocations - TD'!Q7="","",'M3 Allocations - TD'!Q33)</f>
        <v>47446.211556775474</v>
      </c>
      <c r="T47" s="20">
        <f>IF('M3 Allocations - TD'!R7="","",'M3 Allocations - TD'!R33)</f>
        <v>83556.534245541465</v>
      </c>
      <c r="U47" s="20">
        <f>IF('M3 Allocations - TD'!S7="","",'M3 Allocations - TD'!S33)</f>
        <v>189049.36683437167</v>
      </c>
      <c r="V47" s="20">
        <f>IF('M3 Allocations - TD'!T7="","",'M3 Allocations - TD'!T33)</f>
        <v>265484.4397628404</v>
      </c>
      <c r="W47" s="20">
        <f>IF('M3 Allocations - TD'!U7="","",'M3 Allocations - TD'!U33)</f>
        <v>248590.59560852987</v>
      </c>
      <c r="X47" s="20">
        <f>IF('M3 Allocations - TD'!V7="","",'M3 Allocations - TD'!V33)</f>
        <v>229992.78825383674</v>
      </c>
      <c r="Y47" s="20">
        <f>IF('M3 Allocations - TD'!W7="","",'M3 Allocations - TD'!W33)</f>
        <v>142655.78999924072</v>
      </c>
      <c r="Z47" s="20">
        <f>IF('M3 Allocations - TD'!X7="","",'M3 Allocations - TD'!X33)</f>
        <v>140592.80164431839</v>
      </c>
      <c r="AA47" s="20">
        <f>IF('M3 Allocations - TD'!Y7="","",'M3 Allocations - TD'!Y33)</f>
        <v>171784.13279113677</v>
      </c>
      <c r="AB47" s="20">
        <f>IF('M3 Allocations - TD'!Z7="","",'M3 Allocations - TD'!Z33)</f>
        <v>283797.45031291858</v>
      </c>
      <c r="AC47" s="20">
        <f>IF('M3 Allocations - TD'!AA7="","",'M3 Allocations - TD'!AA33)</f>
        <v>210481.86723637651</v>
      </c>
      <c r="AD47" s="20">
        <f>IF('M3 Allocations - TD'!AB7="","",'M3 Allocations - TD'!AB33)</f>
        <v>232927.56555946911</v>
      </c>
      <c r="AE47" s="20">
        <f>IF('M3 Allocations - TD'!AC7="","",'M3 Allocations - TD'!AC33)</f>
        <v>221111.27962203597</v>
      </c>
      <c r="AF47" s="20">
        <f>IF('M3 Allocations - TD'!AD7="","",'M3 Allocations - TD'!AD33)</f>
        <v>314679.79966629087</v>
      </c>
      <c r="AG47" s="20">
        <f>IF('M3 Allocations - TD'!AE7="","",'M3 Allocations - TD'!AE33)</f>
        <v>715299.40366319334</v>
      </c>
      <c r="AH47" s="20">
        <f>IF('M3 Allocations - TD'!AF7="","",'M3 Allocations - TD'!AF33)</f>
        <v>953627.42461110547</v>
      </c>
      <c r="AI47" s="20">
        <f>IF('M3 Allocations - TD'!AG7="","",'M3 Allocations - TD'!AG33)</f>
        <v>939310.43288894033</v>
      </c>
      <c r="AJ47" s="20">
        <f>IF('M3 Allocations - TD'!AH7="","",'M3 Allocations - TD'!AH33)</f>
        <v>659615.18241367524</v>
      </c>
      <c r="AK47" s="20">
        <f>IF('M3 Allocations - TD'!AI7="","",'M3 Allocations - TD'!AI33)</f>
        <v>353569.18814987835</v>
      </c>
      <c r="AL47" s="20">
        <f>IF('M3 Allocations - TD'!AJ7="","",'M3 Allocations - TD'!AJ33)</f>
        <v>343727.65210763505</v>
      </c>
      <c r="AM47" s="20">
        <f>IF('M3 Allocations - TD'!AK7="","",'M3 Allocations - TD'!AK33)</f>
        <v>418850.04670264991</v>
      </c>
      <c r="AN47" s="20">
        <f>IF('M3 Allocations - TD'!AL7="","",'M3 Allocations - TD'!AL33)</f>
        <v>627056.98298263596</v>
      </c>
      <c r="AO47" s="20">
        <f>IF('M3 Allocations - TD'!AM7="","",'M3 Allocations - TD'!AM33)</f>
        <v>475288.11809378932</v>
      </c>
      <c r="AP47" s="20">
        <f>IF('M3 Allocations - TD'!AN7="","",'M3 Allocations - TD'!AN33)</f>
        <v>288997.35659879085</v>
      </c>
      <c r="AQ47" s="20">
        <f>IF('M3 Allocations - TD'!AO7="","",'M3 Allocations - TD'!AO33)</f>
        <v>253245.26358346242</v>
      </c>
      <c r="AR47" s="20">
        <f>IF('M3 Allocations - TD'!AP7="","",'M3 Allocations - TD'!AP33)</f>
        <v>337719.24594805558</v>
      </c>
      <c r="AS47" s="20">
        <f>IF('M3 Allocations - TD'!AQ7="","",'M3 Allocations - TD'!AQ33)</f>
        <v>917413.81462190335</v>
      </c>
      <c r="AT47" s="20">
        <f>IF('M3 Allocations - TD'!AR7="","",'M3 Allocations - TD'!AR33)</f>
        <v>1145597.0197120309</v>
      </c>
      <c r="AU47" s="20">
        <f>IF('M3 Allocations - TD'!AS7="","",'M3 Allocations - TD'!AS33)</f>
        <v>988866.58881189337</v>
      </c>
      <c r="AV47" s="20">
        <f>IF('M3 Allocations - TD'!AT7="","",'M3 Allocations - TD'!AT33)</f>
        <v>672365.26793086936</v>
      </c>
      <c r="AW47" s="20">
        <f>IF('M3 Allocations - TD'!AU7="","",'M3 Allocations - TD'!AU33)</f>
        <v>344986.1375718661</v>
      </c>
      <c r="AX47" s="20">
        <f>IF('M3 Allocations - TD'!AV7="","",'M3 Allocations - TD'!AV33)</f>
        <v>367525.10463732504</v>
      </c>
      <c r="AY47" s="20">
        <f>IF('M3 Allocations - TD'!AW7="","",'M3 Allocations - TD'!AW33)</f>
        <v>468411.57966709038</v>
      </c>
      <c r="AZ47" s="20">
        <f>IF('M3 Allocations - TD'!AX7="","",'M3 Allocations - TD'!AX33)</f>
        <v>620203.95847182651</v>
      </c>
      <c r="BA47" s="20">
        <f>IF('M3 Allocations - TD'!AY7="","",'M3 Allocations - TD'!AY33)</f>
        <v>478324.36066286819</v>
      </c>
      <c r="BB47" s="20">
        <f>IF('M3 Allocations - TD'!AZ7="","",'M3 Allocations - TD'!AZ33)</f>
        <v>479847.59845747025</v>
      </c>
      <c r="BC47" s="20">
        <f>IF('M3 Allocations - TD'!BA7="","",'M3 Allocations - TD'!BA33)</f>
        <v>438290.6610723678</v>
      </c>
      <c r="BD47" s="20">
        <f>IF('M3 Allocations - TD'!BB7="","",'M3 Allocations - TD'!BB33)</f>
        <v>600233.99929541291</v>
      </c>
      <c r="BE47" s="20">
        <f>IF('M3 Allocations - TD'!BC7="","",'M3 Allocations - TD'!BC33)</f>
        <v>1562742.7352753344</v>
      </c>
      <c r="BF47" s="20">
        <f>IF('M3 Allocations - TD'!BD7="","",'M3 Allocations - TD'!BD33)</f>
        <v>403317.94432410318</v>
      </c>
      <c r="BG47" s="20">
        <f>IF('M3 Allocations - TD'!BE7="","",'M3 Allocations - TD'!BE33)</f>
        <v>405009.19644890801</v>
      </c>
      <c r="BH47" s="20">
        <f>IF('M3 Allocations - TD'!BF7="","",'M3 Allocations - TD'!BF33)</f>
        <v>309717.05932065495</v>
      </c>
      <c r="BI47" s="20">
        <f>IF('M3 Allocations - TD'!BG7="","",'M3 Allocations - TD'!BG33)</f>
        <v>165446.63321632627</v>
      </c>
      <c r="BJ47" s="20">
        <f>IF('M3 Allocations - TD'!BH7="","",'M3 Allocations - TD'!BH33)</f>
        <v>177257.17636601315</v>
      </c>
      <c r="BK47" s="20">
        <f>IF('M3 Allocations - TD'!BI7="","",'M3 Allocations - TD'!BI33)</f>
        <v>216355.69459913264</v>
      </c>
      <c r="BL47" s="20">
        <f>IF('M3 Allocations - TD'!BJ7="","",'M3 Allocations - TD'!BJ33)</f>
        <v>297766.07742960955</v>
      </c>
      <c r="BM47" s="20">
        <f>IF('M3 Allocations - TD'!BK7="","",'M3 Allocations - TD'!BK33)</f>
        <v>221766.54736590007</v>
      </c>
      <c r="BN47" s="20">
        <f>IF('M3 Allocations - TD'!BL7="","",'M3 Allocations - TD'!BL33)</f>
        <v>235868.07069965589</v>
      </c>
      <c r="BO47" s="20">
        <f>IF('M3 Allocations - TD'!BM7="","",'M3 Allocations - TD'!BM33)</f>
        <v>217209.78009139144</v>
      </c>
      <c r="BP47" s="20">
        <f>IF('M3 Allocations - TD'!BN7="","",'M3 Allocations - TD'!BN33)</f>
        <v>282620.40359287354</v>
      </c>
      <c r="BQ47" s="20">
        <f>IF('M3 Allocations - TD'!BO7="","",'M3 Allocations - TD'!BO33)</f>
        <v>698718.28942311229</v>
      </c>
      <c r="BR47" s="20">
        <f>IF('M3 Allocations - TD'!BP7="","",'M3 Allocations - TD'!BP33)</f>
        <v>853101.84507416235</v>
      </c>
      <c r="BS47" s="20">
        <f>IF('M3 Allocations - TD'!BQ7="","",'M3 Allocations - TD'!BQ33)</f>
        <v>813199.23858644778</v>
      </c>
      <c r="BT47" s="20">
        <f>IF('M3 Allocations - TD'!BR7="","",'M3 Allocations - TD'!BR33)</f>
        <v>604659.70795225631</v>
      </c>
      <c r="BU47" s="20">
        <f>IF('M3 Allocations - TD'!BS7="","",'M3 Allocations - TD'!BS33)</f>
        <v>297586.42900451482</v>
      </c>
      <c r="BV47" s="20">
        <f>IF('M3 Allocations - TD'!BT7="","",'M3 Allocations - TD'!BT33)</f>
        <v>289593.1978996573</v>
      </c>
      <c r="BW47" s="20">
        <f>IF('M3 Allocations - TD'!BU7="","",'M3 Allocations - TD'!BU33)</f>
        <v>366512.06607265963</v>
      </c>
      <c r="BX47" s="20">
        <f>IF('M3 Allocations - TD'!BV7="","",'M3 Allocations - TD'!BV33)</f>
        <v>421436.89087504114</v>
      </c>
    </row>
    <row r="48" spans="1:76" s="4" customFormat="1" ht="15" hidden="1" customHeight="1" outlineLevel="1" x14ac:dyDescent="0.25">
      <c r="A48" s="292"/>
      <c r="B48" s="16" t="s">
        <v>26</v>
      </c>
      <c r="C48" s="94"/>
      <c r="D48" s="94"/>
      <c r="E48" s="94"/>
      <c r="F48" s="20">
        <f>IF('M3 Allocations - TD'!D53="","",'M3 Allocations - TD'!D71)</f>
        <v>0</v>
      </c>
      <c r="G48" s="20">
        <f>IF('M3 Allocations - TD'!E53="","",'M3 Allocations - TD'!E71)</f>
        <v>0</v>
      </c>
      <c r="H48" s="20">
        <f>IF('M3 Allocations - TD'!F53="","",'M3 Allocations - TD'!F71)</f>
        <v>6753.6701978728988</v>
      </c>
      <c r="I48" s="20">
        <f>IF('M3 Allocations - TD'!G53="","",'M3 Allocations - TD'!G71)</f>
        <v>107151.44580605239</v>
      </c>
      <c r="J48" s="20">
        <f>IF('M3 Allocations - TD'!H53="","",'M3 Allocations - TD'!H71)</f>
        <v>115634.5208649429</v>
      </c>
      <c r="K48" s="20">
        <f>IF('M3 Allocations - TD'!I53="","",'M3 Allocations - TD'!I71)</f>
        <v>118331.81312804784</v>
      </c>
      <c r="L48" s="20">
        <f>IF('M3 Allocations - TD'!J53="","",'M3 Allocations - TD'!J71)</f>
        <v>119601.33814288217</v>
      </c>
      <c r="M48" s="20">
        <f>IF('M3 Allocations - TD'!K53="","",'M3 Allocations - TD'!K71)</f>
        <v>109968.9574924099</v>
      </c>
      <c r="N48" s="20">
        <f>IF('M3 Allocations - TD'!L53="","",'M3 Allocations - TD'!L71)</f>
        <v>96533.881711475129</v>
      </c>
      <c r="O48" s="20">
        <f>IF('M3 Allocations - TD'!M53="","",'M3 Allocations - TD'!M71)</f>
        <v>104142.56971532079</v>
      </c>
      <c r="P48" s="20">
        <f>IF('M3 Allocations - TD'!N53="","",'M3 Allocations - TD'!N71)</f>
        <v>107611.86637282498</v>
      </c>
      <c r="Q48" s="20">
        <f>IF('M3 Allocations - TD'!O53="","",'M3 Allocations - TD'!O71)</f>
        <v>104313.87773241718</v>
      </c>
      <c r="R48" s="20">
        <f>IF('M3 Allocations - TD'!P53="","",'M3 Allocations - TD'!P71)</f>
        <v>98420.974410363575</v>
      </c>
      <c r="S48" s="20">
        <f>IF('M3 Allocations - TD'!Q53="","",'M3 Allocations - TD'!Q71)</f>
        <v>84560.155028366615</v>
      </c>
      <c r="T48" s="20">
        <f>IF('M3 Allocations - TD'!R53="","",'M3 Allocations - TD'!R71)</f>
        <v>79147.524446379844</v>
      </c>
      <c r="U48" s="20">
        <f>IF('M3 Allocations - TD'!S53="","",'M3 Allocations - TD'!S71)</f>
        <v>94049.927973792379</v>
      </c>
      <c r="V48" s="20">
        <f>IF('M3 Allocations - TD'!T53="","",'M3 Allocations - TD'!T71)</f>
        <v>109708.48677351972</v>
      </c>
      <c r="W48" s="20">
        <f>IF('M3 Allocations - TD'!U53="","",'M3 Allocations - TD'!U71)</f>
        <v>109463.73998502946</v>
      </c>
      <c r="X48" s="20">
        <f>IF('M3 Allocations - TD'!V53="","",'M3 Allocations - TD'!V71)</f>
        <v>109154.24836711264</v>
      </c>
      <c r="Y48" s="20">
        <f>IF('M3 Allocations - TD'!W53="","",'M3 Allocations - TD'!W71)</f>
        <v>93111.170115006884</v>
      </c>
      <c r="Z48" s="20">
        <f>IF('M3 Allocations - TD'!X53="","",'M3 Allocations - TD'!X71)</f>
        <v>90314.439841834988</v>
      </c>
      <c r="AA48" s="20">
        <f>IF('M3 Allocations - TD'!Y53="","",'M3 Allocations - TD'!Y71)</f>
        <v>96572.606390330679</v>
      </c>
      <c r="AB48" s="20">
        <f>IF('M3 Allocations - TD'!Z53="","",'M3 Allocations - TD'!Z71)</f>
        <v>102973.56100695563</v>
      </c>
      <c r="AC48" s="20">
        <f>IF('M3 Allocations - TD'!AA53="","",'M3 Allocations - TD'!AA71)</f>
        <v>317054.12799449282</v>
      </c>
      <c r="AD48" s="20">
        <f>IF('M3 Allocations - TD'!AB53="","",'M3 Allocations - TD'!AB71)</f>
        <v>555274.69988765684</v>
      </c>
      <c r="AE48" s="20">
        <f>IF('M3 Allocations - TD'!AC53="","",'M3 Allocations - TD'!AC71)</f>
        <v>496959.09444564459</v>
      </c>
      <c r="AF48" s="20">
        <f>IF('M3 Allocations - TD'!AD53="","",'M3 Allocations - TD'!AD71)</f>
        <v>507462.60422851134</v>
      </c>
      <c r="AG48" s="20">
        <f>IF('M3 Allocations - TD'!AE53="","",'M3 Allocations - TD'!AE71)</f>
        <v>564396.00989380945</v>
      </c>
      <c r="AH48" s="20">
        <f>IF('M3 Allocations - TD'!AF53="","",'M3 Allocations - TD'!AF71)</f>
        <v>660447.26760719228</v>
      </c>
      <c r="AI48" s="20">
        <f>IF('M3 Allocations - TD'!AG53="","",'M3 Allocations - TD'!AG71)</f>
        <v>654260.67532357096</v>
      </c>
      <c r="AJ48" s="20">
        <f>IF('M3 Allocations - TD'!AH53="","",'M3 Allocations - TD'!AH71)</f>
        <v>666957.41235823918</v>
      </c>
      <c r="AK48" s="20">
        <f>IF('M3 Allocations - TD'!AI53="","",'M3 Allocations - TD'!AI71)</f>
        <v>587413.62430156593</v>
      </c>
      <c r="AL48" s="20">
        <f>IF('M3 Allocations - TD'!AJ53="","",'M3 Allocations - TD'!AJ71)</f>
        <v>519976.82051891321</v>
      </c>
      <c r="AM48" s="20">
        <f>IF('M3 Allocations - TD'!AK53="","",'M3 Allocations - TD'!AK71)</f>
        <v>567613.70409043762</v>
      </c>
      <c r="AN48" s="20">
        <f>IF('M3 Allocations - TD'!AL53="","",'M3 Allocations - TD'!AL71)</f>
        <v>605915.85091646248</v>
      </c>
      <c r="AO48" s="20">
        <f>IF('M3 Allocations - TD'!AM53="","",'M3 Allocations - TD'!AM71)</f>
        <v>491377.50787101442</v>
      </c>
      <c r="AP48" s="20">
        <f>IF('M3 Allocations - TD'!AN53="","",'M3 Allocations - TD'!AN71)</f>
        <v>295776.31891815155</v>
      </c>
      <c r="AQ48" s="20">
        <f>IF('M3 Allocations - TD'!AO53="","",'M3 Allocations - TD'!AO71)</f>
        <v>275370.89343587006</v>
      </c>
      <c r="AR48" s="20">
        <f>IF('M3 Allocations - TD'!AP53="","",'M3 Allocations - TD'!AP71)</f>
        <v>285530.13328453153</v>
      </c>
      <c r="AS48" s="20">
        <f>IF('M3 Allocations - TD'!AQ53="","",'M3 Allocations - TD'!AQ71)</f>
        <v>320626.18147462484</v>
      </c>
      <c r="AT48" s="20">
        <f>IF('M3 Allocations - TD'!AR53="","",'M3 Allocations - TD'!AR71)</f>
        <v>359045.8467287785</v>
      </c>
      <c r="AU48" s="20">
        <f>IF('M3 Allocations - TD'!AS53="","",'M3 Allocations - TD'!AS71)</f>
        <v>356393.75583709526</v>
      </c>
      <c r="AV48" s="20">
        <f>IF('M3 Allocations - TD'!AT53="","",'M3 Allocations - TD'!AT71)</f>
        <v>340966.67570072628</v>
      </c>
      <c r="AW48" s="20">
        <f>IF('M3 Allocations - TD'!AU53="","",'M3 Allocations - TD'!AU71)</f>
        <v>293032.69252515415</v>
      </c>
      <c r="AX48" s="20">
        <f>IF('M3 Allocations - TD'!AV53="","",'M3 Allocations - TD'!AV71)</f>
        <v>284530.72242752794</v>
      </c>
      <c r="AY48" s="20">
        <f>IF('M3 Allocations - TD'!AW53="","",'M3 Allocations - TD'!AW71)</f>
        <v>315151.4942720079</v>
      </c>
      <c r="AZ48" s="20">
        <f>IF('M3 Allocations - TD'!AX53="","",'M3 Allocations - TD'!AX71)</f>
        <v>326915.51533468132</v>
      </c>
      <c r="BA48" s="20">
        <f>IF('M3 Allocations - TD'!AY53="","",'M3 Allocations - TD'!AY71)</f>
        <v>495028.13257713738</v>
      </c>
      <c r="BB48" s="20">
        <f>IF('M3 Allocations - TD'!AZ53="","",'M3 Allocations - TD'!AZ71)</f>
        <v>776601.02939900942</v>
      </c>
      <c r="BC48" s="20">
        <f>IF('M3 Allocations - TD'!BA53="","",'M3 Allocations - TD'!BA71)</f>
        <v>744958.66884249065</v>
      </c>
      <c r="BD48" s="20">
        <f>IF('M3 Allocations - TD'!BB53="","",'M3 Allocations - TD'!BB71)</f>
        <v>742679.53603549488</v>
      </c>
      <c r="BE48" s="20">
        <f>IF('M3 Allocations - TD'!BC53="","",'M3 Allocations - TD'!BC71)</f>
        <v>838043.54050146521</v>
      </c>
      <c r="BF48" s="20">
        <f>IF('M3 Allocations - TD'!BD53="","",'M3 Allocations - TD'!BD71)</f>
        <v>901539.36414699082</v>
      </c>
      <c r="BG48" s="20">
        <f>IF('M3 Allocations - TD'!BE53="","",'M3 Allocations - TD'!BE71)</f>
        <v>933578.0584226402</v>
      </c>
      <c r="BH48" s="20">
        <f>IF('M3 Allocations - TD'!BF53="","",'M3 Allocations - TD'!BF71)</f>
        <v>935041.31426513928</v>
      </c>
      <c r="BI48" s="20">
        <f>IF('M3 Allocations - TD'!BG53="","",'M3 Allocations - TD'!BG71)</f>
        <v>822431.07735931734</v>
      </c>
      <c r="BJ48" s="20">
        <f>IF('M3 Allocations - TD'!BH53="","",'M3 Allocations - TD'!BH71)</f>
        <v>757805.67077663436</v>
      </c>
      <c r="BK48" s="20">
        <f>IF('M3 Allocations - TD'!BI53="","",'M3 Allocations - TD'!BI71)</f>
        <v>806243.01024479186</v>
      </c>
      <c r="BL48" s="20">
        <f>IF('M3 Allocations - TD'!BJ53="","",'M3 Allocations - TD'!BJ71)</f>
        <v>887557.66763329331</v>
      </c>
      <c r="BM48" s="20">
        <f>IF('M3 Allocations - TD'!BK53="","",'M3 Allocations - TD'!BK71)</f>
        <v>668377.87423099403</v>
      </c>
      <c r="BN48" s="20">
        <f>IF('M3 Allocations - TD'!BL53="","",'M3 Allocations - TD'!BL71)</f>
        <v>391022.57774303708</v>
      </c>
      <c r="BO48" s="20">
        <f>IF('M3 Allocations - TD'!BM53="","",'M3 Allocations - TD'!BM71)</f>
        <v>386888.30936900136</v>
      </c>
      <c r="BP48" s="20">
        <f>IF('M3 Allocations - TD'!BN53="","",'M3 Allocations - TD'!BN71)</f>
        <v>389331.8334457695</v>
      </c>
      <c r="BQ48" s="20">
        <f>IF('M3 Allocations - TD'!BO53="","",'M3 Allocations - TD'!BO71)</f>
        <v>441026.67746722768</v>
      </c>
      <c r="BR48" s="20">
        <f>IF('M3 Allocations - TD'!BP53="","",'M3 Allocations - TD'!BP71)</f>
        <v>497722.67888960714</v>
      </c>
      <c r="BS48" s="20">
        <f>IF('M3 Allocations - TD'!BQ53="","",'M3 Allocations - TD'!BQ71)</f>
        <v>467145.79989049118</v>
      </c>
      <c r="BT48" s="20">
        <f>IF('M3 Allocations - TD'!BR53="","",'M3 Allocations - TD'!BR71)</f>
        <v>467468.93906646414</v>
      </c>
      <c r="BU48" s="20">
        <f>IF('M3 Allocations - TD'!BS53="","",'M3 Allocations - TD'!BS71)</f>
        <v>417199.16446984245</v>
      </c>
      <c r="BV48" s="20">
        <f>IF('M3 Allocations - TD'!BT53="","",'M3 Allocations - TD'!BT71)</f>
        <v>395829.17915809393</v>
      </c>
      <c r="BW48" s="20">
        <f>IF('M3 Allocations - TD'!BU53="","",'M3 Allocations - TD'!BU71)</f>
        <v>435336.0932704882</v>
      </c>
      <c r="BX48" s="20">
        <f>IF('M3 Allocations - TD'!BV53="","",'M3 Allocations - TD'!BV71)</f>
        <v>457263.38055354316</v>
      </c>
    </row>
    <row r="49" spans="1:76" s="4" customFormat="1" ht="15" hidden="1" customHeight="1" outlineLevel="1" x14ac:dyDescent="0.25">
      <c r="A49" s="292"/>
      <c r="B49" s="16" t="s">
        <v>51</v>
      </c>
      <c r="C49" s="94"/>
      <c r="D49" s="94"/>
      <c r="E49" s="94"/>
      <c r="F49" s="20">
        <f>IF(F48="","",0)</f>
        <v>0</v>
      </c>
      <c r="G49" s="20">
        <f t="shared" ref="G49" si="450">IF(G48="","",0)</f>
        <v>0</v>
      </c>
      <c r="H49" s="20">
        <f t="shared" ref="H49" si="451">IF(H48="","",0)</f>
        <v>0</v>
      </c>
      <c r="I49" s="20">
        <f t="shared" ref="I49" si="452">IF(I48="","",0)</f>
        <v>0</v>
      </c>
      <c r="J49" s="20">
        <f t="shared" ref="J49" si="453">IF(J48="","",0)</f>
        <v>0</v>
      </c>
      <c r="K49" s="20">
        <f t="shared" ref="K49" si="454">IF(K48="","",0)</f>
        <v>0</v>
      </c>
      <c r="L49" s="20">
        <f t="shared" ref="L49" si="455">IF(L48="","",0)</f>
        <v>0</v>
      </c>
      <c r="M49" s="20">
        <f t="shared" ref="M49" si="456">IF(M48="","",0)</f>
        <v>0</v>
      </c>
      <c r="N49" s="20">
        <f t="shared" ref="N49" si="457">IF(N48="","",0)</f>
        <v>0</v>
      </c>
      <c r="O49" s="20">
        <f t="shared" ref="O49" si="458">IF(O48="","",0)</f>
        <v>0</v>
      </c>
      <c r="P49" s="20">
        <f t="shared" ref="P49" si="459">IF(P48="","",0)</f>
        <v>0</v>
      </c>
      <c r="Q49" s="20">
        <f>IF(Q48="","",-'M3 TD amort'!C22)</f>
        <v>40612.01</v>
      </c>
      <c r="R49" s="20">
        <f>IF(R48="","",-'M3 TD amort'!D22)</f>
        <v>38351.11</v>
      </c>
      <c r="S49" s="20">
        <f>IF(S48="","",-'M3 TD amort'!E22)</f>
        <v>32774.379999999997</v>
      </c>
      <c r="T49" s="20">
        <f>IF(T48="","",-'M3 TD amort'!F22)</f>
        <v>30569.17</v>
      </c>
      <c r="U49" s="20">
        <f>IF(U48="","",-'M3 TD amort'!G22)</f>
        <v>36225.06</v>
      </c>
      <c r="V49" s="20">
        <f>IF(V48="","",-'M3 TD amort'!H22)</f>
        <v>42295.91</v>
      </c>
      <c r="W49" s="20">
        <f>IF(W48="","",-'M3 TD amort'!I22)</f>
        <v>42141.33</v>
      </c>
      <c r="X49" s="20">
        <f>IF(X48="","",-'M3 TD amort'!J22)</f>
        <v>41942.74</v>
      </c>
      <c r="Y49" s="20">
        <f>IF(Y48="","",-'M3 TD amort'!K22)</f>
        <v>35788.269999999997</v>
      </c>
      <c r="Z49" s="20">
        <f>IF(Z48="","",-'M3 TD amort'!L22)</f>
        <v>34863.54</v>
      </c>
      <c r="AA49" s="20">
        <f>IF(AA48="","",-'M3 TD amort'!M22)</f>
        <v>37469.9</v>
      </c>
      <c r="AB49" s="20">
        <f>IF(AB48="","",-'M3 TD amort'!N22)</f>
        <v>40157.82</v>
      </c>
      <c r="AC49" s="20">
        <f>IF(AC48="","",-'M3 TD amort'!O22)</f>
        <v>-26804.880000000001</v>
      </c>
      <c r="AD49" s="20">
        <f>IF(AD48="","",-'M3 TD amort'!P22)</f>
        <v>-46741.51</v>
      </c>
      <c r="AE49" s="20">
        <f>IF(AE48="","",-'M3 TD amort'!Q22)</f>
        <v>-41624.800000000003</v>
      </c>
      <c r="AF49" s="20">
        <f>IF(AF48="","",-'M3 TD amort'!R22)</f>
        <v>-42397.51</v>
      </c>
      <c r="AG49" s="20">
        <f>IF(AG48="","",-'M3 TD amort'!S22)</f>
        <v>-47114.93</v>
      </c>
      <c r="AH49" s="20">
        <f>IF(AH48="","",-'M3 TD amort'!T22)</f>
        <v>-55182.37</v>
      </c>
      <c r="AI49" s="20">
        <f>IF(AI48="","",-'M3 TD amort'!U22)</f>
        <v>-54689.09</v>
      </c>
      <c r="AJ49" s="20">
        <f>IF(AJ48="","",-'M3 TD amort'!V22)</f>
        <v>-55739.85</v>
      </c>
      <c r="AK49" s="20">
        <f>IF(AK48="","",-'M3 TD amort'!W22)</f>
        <v>-48995.69</v>
      </c>
      <c r="AL49" s="20">
        <f>IF(AL48="","",-'M3 TD amort'!X22)</f>
        <v>-43533.32</v>
      </c>
      <c r="AM49" s="20">
        <f>IF(AM48="","",-'M3 TD amort'!Y22)</f>
        <v>-47580.19</v>
      </c>
      <c r="AN49" s="20">
        <f>IF(AN48="","",-'M3 TD amort'!Z22)</f>
        <v>-50865.22</v>
      </c>
      <c r="AO49" s="20">
        <f>IF(AO48="","",-'M3 TD amort'!AA22)</f>
        <v>38543.78</v>
      </c>
      <c r="AP49" s="20">
        <f>IF(AP48="","",-'M3 TD amort'!AB22)</f>
        <v>23075.85</v>
      </c>
      <c r="AQ49" s="20">
        <f>IF(AQ48="","",-'M3 TD amort'!AC22)</f>
        <v>21444.13</v>
      </c>
      <c r="AR49" s="20">
        <f>IF(AR48="","",-'M3 TD amort'!AD22)</f>
        <v>22179.41</v>
      </c>
      <c r="AS49" s="20">
        <f>IF(AS48="","",-'M3 TD amort'!AE22)</f>
        <v>24889.02</v>
      </c>
      <c r="AT49" s="20">
        <f>IF(AT48="","",-'M3 TD amort'!AF22)</f>
        <v>27910.6</v>
      </c>
      <c r="AU49" s="20">
        <f>IF(AU48="","",-'M3 TD amort'!AG22)</f>
        <v>27712.27</v>
      </c>
      <c r="AV49" s="20">
        <f>IF(AV48="","",-'M3 TD amort'!AH22)</f>
        <v>26504</v>
      </c>
      <c r="AW49" s="20">
        <f>IF(AW48="","",-'M3 TD amort'!AI22)</f>
        <v>22775.33</v>
      </c>
      <c r="AX49" s="20">
        <f>IF(AX48="","",-'M3 TD amort'!AJ22)</f>
        <v>22147.35</v>
      </c>
      <c r="AY49" s="20">
        <f>IF(AY48="","",-'M3 TD amort'!AK22)</f>
        <v>24687.83</v>
      </c>
      <c r="AZ49" s="20">
        <f>IF(AZ48="","",-'M3 TD amort'!AL22)</f>
        <v>25625.98</v>
      </c>
      <c r="BA49" s="20">
        <f>IF(BA48="","",-'M3 TD amort'!AM22)</f>
        <v>-140314.01</v>
      </c>
      <c r="BB49" s="20">
        <f>IF(BB48="","",-'M3 TD amort'!AN22)</f>
        <v>-219033.77</v>
      </c>
      <c r="BC49" s="20">
        <f>IF(BC48="","",-'M3 TD amort'!AO22)</f>
        <v>-209918.87</v>
      </c>
      <c r="BD49" s="20">
        <f>IF(BD48="","",-'M3 TD amort'!AP22)</f>
        <v>-208910.7</v>
      </c>
      <c r="BE49" s="20">
        <f>IF(BE48="","",-'M3 TD amort'!AQ22)</f>
        <v>-235701.66</v>
      </c>
      <c r="BF49" s="20">
        <f>IF(BF48="","",-'M3 TD amort'!AR22)</f>
        <v>-253779.93</v>
      </c>
      <c r="BG49" s="20">
        <f>IF(BG48="","",-'M3 TD amort'!AS22)</f>
        <v>-262841.98</v>
      </c>
      <c r="BH49" s="20">
        <f>IF(BH48="","",-'M3 TD amort'!AT22)</f>
        <v>-263181.37</v>
      </c>
      <c r="BI49" s="20">
        <f>IF(BI48="","",-'M3 TD amort'!AU22)</f>
        <v>-231429.61</v>
      </c>
      <c r="BJ49" s="20">
        <f>IF(BJ48="","",-'M3 TD amort'!AV22)</f>
        <v>-213326.57</v>
      </c>
      <c r="BK49" s="20">
        <f>IF(BK48="","",-'M3 TD amort'!AW22)</f>
        <v>-227485.65</v>
      </c>
      <c r="BL49" s="20">
        <f>IF(BL48="","",-'M3 TD amort'!AX22)</f>
        <v>-250681.84</v>
      </c>
      <c r="BM49" s="20">
        <f>IF(BM48="","",-'M3 TD amort'!AY22)</f>
        <v>146637.76000000001</v>
      </c>
      <c r="BN49" s="20">
        <f>IF(BN48="","",-'M3 TD amort'!AZ22)</f>
        <v>85383.65</v>
      </c>
      <c r="BO49" s="20">
        <f>IF(BO48="","",-'M3 TD amort'!BA22)</f>
        <v>84409.24</v>
      </c>
      <c r="BP49" s="20">
        <f>IF(BP48="","",-'M3 TD amort'!BB22)</f>
        <v>84833.95</v>
      </c>
      <c r="BQ49" s="20">
        <f>IF(BQ48="","",-'M3 TD amort'!BC22)</f>
        <v>96097.95</v>
      </c>
      <c r="BR49" s="20">
        <f>IF(BR48="","",-'M3 TD amort'!BD22)</f>
        <v>108519.56</v>
      </c>
      <c r="BS49" s="20">
        <f>IF(BS48="","",-'M3 TD amort'!BE22)</f>
        <v>101840.57</v>
      </c>
      <c r="BT49" s="20">
        <f>IF(BT48="","",-'M3 TD amort'!BF22)</f>
        <v>101890.01</v>
      </c>
      <c r="BU49" s="20">
        <f>IF(BU48="","",-'M3 TD amort'!BG22)</f>
        <v>90880.12</v>
      </c>
      <c r="BV49" s="20">
        <f>IF(BV48="","",-'M3 TD amort'!BH22)</f>
        <v>86323.03</v>
      </c>
      <c r="BW49" s="20">
        <f>IF(BW48="","",-'M3 TD amort'!BI22)</f>
        <v>94994.34</v>
      </c>
      <c r="BX49" s="20">
        <f>IF(BX48="","",-'M3 TD amort'!BJ22)</f>
        <v>99823.039999999994</v>
      </c>
    </row>
    <row r="50" spans="1:76" s="4" customFormat="1" ht="15" hidden="1" customHeight="1" outlineLevel="1" x14ac:dyDescent="0.25">
      <c r="A50" s="292"/>
      <c r="B50" s="16" t="s">
        <v>52</v>
      </c>
      <c r="C50" s="94"/>
      <c r="D50" s="94"/>
      <c r="E50" s="94"/>
      <c r="F50" s="7">
        <f t="shared" ref="F50:M50" si="460">IF(OR(F49="",F48=""),"",F48+F49)</f>
        <v>0</v>
      </c>
      <c r="G50" s="7">
        <f t="shared" si="460"/>
        <v>0</v>
      </c>
      <c r="H50" s="7">
        <f t="shared" si="460"/>
        <v>6753.6701978728988</v>
      </c>
      <c r="I50" s="7">
        <f t="shared" si="460"/>
        <v>107151.44580605239</v>
      </c>
      <c r="J50" s="7">
        <f t="shared" si="460"/>
        <v>115634.5208649429</v>
      </c>
      <c r="K50" s="7">
        <f t="shared" si="460"/>
        <v>118331.81312804784</v>
      </c>
      <c r="L50" s="7">
        <f t="shared" si="460"/>
        <v>119601.33814288217</v>
      </c>
      <c r="M50" s="7">
        <f t="shared" si="460"/>
        <v>109968.9574924099</v>
      </c>
      <c r="N50" s="7">
        <f>IF(OR(N49="",N48=""),"",N48+N49)</f>
        <v>96533.881711475129</v>
      </c>
      <c r="O50" s="7">
        <f t="shared" ref="O50:AE50" si="461">IF(OR(O49="",O48=""),"",O48+O49)</f>
        <v>104142.56971532079</v>
      </c>
      <c r="P50" s="7">
        <f t="shared" si="461"/>
        <v>107611.86637282498</v>
      </c>
      <c r="Q50" s="7">
        <f t="shared" si="461"/>
        <v>144925.88773241718</v>
      </c>
      <c r="R50" s="7">
        <f t="shared" si="461"/>
        <v>136772.08441036358</v>
      </c>
      <c r="S50" s="7">
        <f t="shared" si="461"/>
        <v>117334.5350283666</v>
      </c>
      <c r="T50" s="7">
        <f t="shared" si="461"/>
        <v>109716.69444637984</v>
      </c>
      <c r="U50" s="7">
        <f t="shared" si="461"/>
        <v>130274.98797379238</v>
      </c>
      <c r="V50" s="7">
        <f t="shared" si="461"/>
        <v>152004.39677351972</v>
      </c>
      <c r="W50" s="7">
        <f t="shared" si="461"/>
        <v>151605.06998502946</v>
      </c>
      <c r="X50" s="7">
        <f t="shared" si="461"/>
        <v>151096.98836711264</v>
      </c>
      <c r="Y50" s="7">
        <f t="shared" si="461"/>
        <v>128899.44011500687</v>
      </c>
      <c r="Z50" s="7">
        <f t="shared" si="461"/>
        <v>125177.97984183498</v>
      </c>
      <c r="AA50" s="7">
        <f t="shared" si="461"/>
        <v>134042.50639033067</v>
      </c>
      <c r="AB50" s="7">
        <f t="shared" si="461"/>
        <v>143131.38100695563</v>
      </c>
      <c r="AC50" s="7">
        <f t="shared" si="461"/>
        <v>290249.24799449282</v>
      </c>
      <c r="AD50" s="7">
        <f t="shared" si="461"/>
        <v>508533.18988765683</v>
      </c>
      <c r="AE50" s="7">
        <f t="shared" si="461"/>
        <v>455334.2944456446</v>
      </c>
      <c r="AF50" s="7">
        <f t="shared" ref="AF50:AV50" si="462">IF(OR(AF49="",AF48=""),"",AF48+AF49)</f>
        <v>465065.09422851133</v>
      </c>
      <c r="AG50" s="7">
        <f t="shared" si="462"/>
        <v>517281.07989380945</v>
      </c>
      <c r="AH50" s="7">
        <f t="shared" si="462"/>
        <v>605264.89760719228</v>
      </c>
      <c r="AI50" s="7">
        <f t="shared" si="462"/>
        <v>599571.58532357099</v>
      </c>
      <c r="AJ50" s="7">
        <f t="shared" si="462"/>
        <v>611217.5623582392</v>
      </c>
      <c r="AK50" s="7">
        <f t="shared" si="462"/>
        <v>538417.93430156587</v>
      </c>
      <c r="AL50" s="7">
        <f t="shared" si="462"/>
        <v>476443.50051891321</v>
      </c>
      <c r="AM50" s="7">
        <f t="shared" si="462"/>
        <v>520033.51409043762</v>
      </c>
      <c r="AN50" s="7">
        <f t="shared" si="462"/>
        <v>555050.63091646251</v>
      </c>
      <c r="AO50" s="7">
        <f t="shared" si="462"/>
        <v>529921.28787101444</v>
      </c>
      <c r="AP50" s="7">
        <f t="shared" si="462"/>
        <v>318852.16891815152</v>
      </c>
      <c r="AQ50" s="7">
        <f t="shared" si="462"/>
        <v>296815.02343587007</v>
      </c>
      <c r="AR50" s="7">
        <f t="shared" si="462"/>
        <v>307709.54328453151</v>
      </c>
      <c r="AS50" s="7">
        <f t="shared" si="462"/>
        <v>345515.20147462486</v>
      </c>
      <c r="AT50" s="7">
        <f t="shared" si="462"/>
        <v>386956.44672877848</v>
      </c>
      <c r="AU50" s="7">
        <f t="shared" si="462"/>
        <v>384106.02583709528</v>
      </c>
      <c r="AV50" s="7">
        <f t="shared" si="462"/>
        <v>367470.67570072628</v>
      </c>
      <c r="AW50" s="7">
        <f>IF(OR(AW49="",AW48=""),"",AW48+AW49)</f>
        <v>315808.02252515417</v>
      </c>
      <c r="AX50" s="7">
        <f t="shared" ref="AX50:AY50" si="463">IF(OR(AX49="",AX48=""),"",AX48+AX49)</f>
        <v>306678.07242752792</v>
      </c>
      <c r="AY50" s="7">
        <f t="shared" si="463"/>
        <v>339839.32427200791</v>
      </c>
      <c r="AZ50" s="7">
        <f t="shared" ref="AZ50:BA50" si="464">IF(OR(AZ49="",AZ48=""),"",AZ48+AZ49)</f>
        <v>352541.4953346813</v>
      </c>
      <c r="BA50" s="7">
        <f t="shared" si="464"/>
        <v>354714.12257713737</v>
      </c>
      <c r="BB50" s="7">
        <f t="shared" ref="BB50:BC50" si="465">IF(OR(BB49="",BB48=""),"",BB48+BB49)</f>
        <v>557567.2593990094</v>
      </c>
      <c r="BC50" s="7">
        <f t="shared" si="465"/>
        <v>535039.79884249065</v>
      </c>
      <c r="BD50" s="7">
        <f t="shared" ref="BD50:BE50" si="466">IF(OR(BD49="",BD48=""),"",BD48+BD49)</f>
        <v>533768.83603549493</v>
      </c>
      <c r="BE50" s="7">
        <f t="shared" si="466"/>
        <v>602341.88050146517</v>
      </c>
      <c r="BF50" s="7">
        <f t="shared" ref="BF50:BG50" si="467">IF(OR(BF49="",BF48=""),"",BF48+BF49)</f>
        <v>647759.43414699077</v>
      </c>
      <c r="BG50" s="7">
        <f t="shared" si="467"/>
        <v>670736.07842264022</v>
      </c>
      <c r="BH50" s="7">
        <f t="shared" ref="BH50:BI50" si="468">IF(OR(BH49="",BH48=""),"",BH48+BH49)</f>
        <v>671859.94426513929</v>
      </c>
      <c r="BI50" s="7">
        <f t="shared" si="468"/>
        <v>591001.46735931735</v>
      </c>
      <c r="BJ50" s="7">
        <f t="shared" ref="BJ50:BK50" si="469">IF(OR(BJ49="",BJ48=""),"",BJ48+BJ49)</f>
        <v>544479.10077663441</v>
      </c>
      <c r="BK50" s="7">
        <f t="shared" si="469"/>
        <v>578757.36024479184</v>
      </c>
      <c r="BL50" s="7">
        <f t="shared" ref="BL50:BM50" si="470">IF(OR(BL49="",BL48=""),"",BL48+BL49)</f>
        <v>636875.82763329335</v>
      </c>
      <c r="BM50" s="7">
        <f t="shared" si="470"/>
        <v>815015.63423099404</v>
      </c>
      <c r="BN50" s="7">
        <f t="shared" ref="BN50:BO50" si="471">IF(OR(BN49="",BN48=""),"",BN48+BN49)</f>
        <v>476406.22774303705</v>
      </c>
      <c r="BO50" s="7">
        <f t="shared" si="471"/>
        <v>471297.54936900135</v>
      </c>
      <c r="BP50" s="7">
        <f t="shared" ref="BP50:BQ50" si="472">IF(OR(BP49="",BP48=""),"",BP48+BP49)</f>
        <v>474165.78344576951</v>
      </c>
      <c r="BQ50" s="7">
        <f t="shared" si="472"/>
        <v>537124.62746722763</v>
      </c>
      <c r="BR50" s="7">
        <f t="shared" ref="BR50:BS50" si="473">IF(OR(BR49="",BR48=""),"",BR48+BR49)</f>
        <v>606242.23888960714</v>
      </c>
      <c r="BS50" s="7">
        <f t="shared" si="473"/>
        <v>568986.36989049125</v>
      </c>
      <c r="BT50" s="7">
        <f t="shared" ref="BT50:BU50" si="474">IF(OR(BT49="",BT48=""),"",BT48+BT49)</f>
        <v>569358.94906646409</v>
      </c>
      <c r="BU50" s="7">
        <f t="shared" si="474"/>
        <v>508079.28446984245</v>
      </c>
      <c r="BV50" s="7">
        <f t="shared" ref="BV50:BX50" si="475">IF(OR(BV49="",BV48=""),"",BV48+BV49)</f>
        <v>482152.2091580939</v>
      </c>
      <c r="BW50" s="7">
        <f t="shared" si="475"/>
        <v>530330.43327048817</v>
      </c>
      <c r="BX50" s="7">
        <f t="shared" si="475"/>
        <v>557086.42055354314</v>
      </c>
    </row>
    <row r="51" spans="1:76" s="4" customFormat="1" hidden="1" outlineLevel="1" x14ac:dyDescent="0.25">
      <c r="A51" s="292"/>
      <c r="B51" s="16" t="s">
        <v>13</v>
      </c>
      <c r="C51" s="94"/>
      <c r="D51" s="94"/>
      <c r="E51" s="94"/>
      <c r="F51" s="7">
        <f t="shared" ref="F51:M51" si="476">IF(OR(F48="",F47=""),"",F47-F48)</f>
        <v>0.36790548240712501</v>
      </c>
      <c r="G51" s="7">
        <f t="shared" si="476"/>
        <v>549.3842450882164</v>
      </c>
      <c r="H51" s="7">
        <f t="shared" si="476"/>
        <v>-2931.1326047334169</v>
      </c>
      <c r="I51" s="7">
        <f t="shared" si="476"/>
        <v>-90370.113443998154</v>
      </c>
      <c r="J51" s="7">
        <f t="shared" si="476"/>
        <v>-75556.802484400338</v>
      </c>
      <c r="K51" s="7">
        <f t="shared" si="476"/>
        <v>-64270.675133255725</v>
      </c>
      <c r="L51" s="7">
        <f t="shared" si="476"/>
        <v>-39992.989537141941</v>
      </c>
      <c r="M51" s="7">
        <f t="shared" si="476"/>
        <v>-53536.042368776616</v>
      </c>
      <c r="N51" s="7">
        <f>IF(OR(N50="",N47=""),"",N47-N50)</f>
        <v>-11728.216706934807</v>
      </c>
      <c r="O51" s="7">
        <f t="shared" ref="O51:AE51" si="477">IF(OR(O50="",O47=""),"",O47-O50)</f>
        <v>-2556.6017182829091</v>
      </c>
      <c r="P51" s="7">
        <f t="shared" si="477"/>
        <v>46597.399590637317</v>
      </c>
      <c r="Q51" s="7">
        <f t="shared" si="477"/>
        <v>-22228.966360419829</v>
      </c>
      <c r="R51" s="7">
        <f t="shared" si="477"/>
        <v>-13360.21052983425</v>
      </c>
      <c r="S51" s="7">
        <f t="shared" si="477"/>
        <v>-69888.323471591139</v>
      </c>
      <c r="T51" s="7">
        <f t="shared" si="477"/>
        <v>-26160.160200838378</v>
      </c>
      <c r="U51" s="7">
        <f t="shared" si="477"/>
        <v>58774.378860579294</v>
      </c>
      <c r="V51" s="7">
        <f t="shared" si="477"/>
        <v>113480.04298932067</v>
      </c>
      <c r="W51" s="7">
        <f t="shared" si="477"/>
        <v>96985.525623500405</v>
      </c>
      <c r="X51" s="7">
        <f t="shared" si="477"/>
        <v>78895.799886724097</v>
      </c>
      <c r="Y51" s="7">
        <f t="shared" si="477"/>
        <v>13756.349884233845</v>
      </c>
      <c r="Z51" s="7">
        <f t="shared" si="477"/>
        <v>15414.821802483406</v>
      </c>
      <c r="AA51" s="7">
        <f t="shared" si="477"/>
        <v>37741.626400806097</v>
      </c>
      <c r="AB51" s="7">
        <f t="shared" si="477"/>
        <v>140666.06930596294</v>
      </c>
      <c r="AC51" s="7">
        <f t="shared" si="477"/>
        <v>-79767.380758116313</v>
      </c>
      <c r="AD51" s="7">
        <f t="shared" si="477"/>
        <v>-275605.62432818773</v>
      </c>
      <c r="AE51" s="7">
        <f t="shared" si="477"/>
        <v>-234223.01482360862</v>
      </c>
      <c r="AF51" s="7">
        <f t="shared" ref="AF51:AV51" si="478">IF(OR(AF50="",AF47=""),"",AF47-AF50)</f>
        <v>-150385.29456222046</v>
      </c>
      <c r="AG51" s="7">
        <f t="shared" si="478"/>
        <v>198018.32376938389</v>
      </c>
      <c r="AH51" s="7">
        <f t="shared" si="478"/>
        <v>348362.52700391319</v>
      </c>
      <c r="AI51" s="7">
        <f t="shared" si="478"/>
        <v>339738.84756536933</v>
      </c>
      <c r="AJ51" s="7">
        <f t="shared" si="478"/>
        <v>48397.62005543604</v>
      </c>
      <c r="AK51" s="7">
        <f t="shared" si="478"/>
        <v>-184848.74615168752</v>
      </c>
      <c r="AL51" s="7">
        <f t="shared" si="478"/>
        <v>-132715.84841127816</v>
      </c>
      <c r="AM51" s="7">
        <f t="shared" si="478"/>
        <v>-101183.46738778771</v>
      </c>
      <c r="AN51" s="7">
        <f t="shared" si="478"/>
        <v>72006.352066173451</v>
      </c>
      <c r="AO51" s="7">
        <f t="shared" si="478"/>
        <v>-54633.169777225121</v>
      </c>
      <c r="AP51" s="7">
        <f t="shared" si="478"/>
        <v>-29854.812319360673</v>
      </c>
      <c r="AQ51" s="7">
        <f t="shared" si="478"/>
        <v>-43569.759852407646</v>
      </c>
      <c r="AR51" s="7">
        <f t="shared" si="478"/>
        <v>30009.702663524076</v>
      </c>
      <c r="AS51" s="7">
        <f t="shared" si="478"/>
        <v>571898.61314727855</v>
      </c>
      <c r="AT51" s="7">
        <f t="shared" si="478"/>
        <v>758640.57298325235</v>
      </c>
      <c r="AU51" s="7">
        <f t="shared" si="478"/>
        <v>604760.56297479803</v>
      </c>
      <c r="AV51" s="7">
        <f t="shared" si="478"/>
        <v>304894.59223014308</v>
      </c>
      <c r="AW51" s="126">
        <f>IF(OR(AW50="",AW47=""),"",AW47-AW50)+AW46</f>
        <v>83751.398420539015</v>
      </c>
      <c r="AX51" s="7">
        <f t="shared" ref="AX51:AY51" si="479">IF(OR(AX50="",AX47=""),"",AX47-AX50)</f>
        <v>60847.032209797122</v>
      </c>
      <c r="AY51" s="7">
        <f t="shared" si="479"/>
        <v>128572.25539508247</v>
      </c>
      <c r="AZ51" s="7">
        <f t="shared" ref="AZ51:BA51" si="480">IF(OR(AZ50="",AZ47=""),"",AZ47-AZ50)</f>
        <v>267662.46313714521</v>
      </c>
      <c r="BA51" s="7">
        <f t="shared" si="480"/>
        <v>123610.23808573082</v>
      </c>
      <c r="BB51" s="7">
        <f t="shared" ref="BB51:BC51" si="481">IF(OR(BB50="",BB47=""),"",BB47-BB50)</f>
        <v>-77719.660941539158</v>
      </c>
      <c r="BC51" s="7">
        <f t="shared" si="481"/>
        <v>-96749.137770122848</v>
      </c>
      <c r="BD51" s="7">
        <f t="shared" ref="BD51:BE51" si="482">IF(OR(BD50="",BD47=""),"",BD47-BD50)</f>
        <v>66465.163259917987</v>
      </c>
      <c r="BE51" s="7">
        <f t="shared" si="482"/>
        <v>960400.85477386927</v>
      </c>
      <c r="BF51" s="7">
        <f t="shared" ref="BF51:BG51" si="483">IF(OR(BF50="",BF47=""),"",BF47-BF50)</f>
        <v>-244441.48982288758</v>
      </c>
      <c r="BG51" s="7">
        <f t="shared" si="483"/>
        <v>-265726.8819737322</v>
      </c>
      <c r="BH51" s="7">
        <f t="shared" ref="BH51:BI51" si="484">IF(OR(BH50="",BH47=""),"",BH47-BH50)</f>
        <v>-362142.88494448434</v>
      </c>
      <c r="BI51" s="7">
        <f t="shared" si="484"/>
        <v>-425554.83414299111</v>
      </c>
      <c r="BJ51" s="7">
        <f t="shared" ref="BJ51:BK51" si="485">IF(OR(BJ50="",BJ47=""),"",BJ47-BJ50)</f>
        <v>-367221.92441062129</v>
      </c>
      <c r="BK51" s="7">
        <f t="shared" si="485"/>
        <v>-362401.6656456592</v>
      </c>
      <c r="BL51" s="7">
        <f t="shared" ref="BL51:BM51" si="486">IF(OR(BL50="",BL47=""),"",BL47-BL50)</f>
        <v>-339109.7502036838</v>
      </c>
      <c r="BM51" s="7">
        <f t="shared" si="486"/>
        <v>-593249.08686509402</v>
      </c>
      <c r="BN51" s="7">
        <f t="shared" ref="BN51:BO51" si="487">IF(OR(BN50="",BN47=""),"",BN47-BN50)</f>
        <v>-240538.15704338116</v>
      </c>
      <c r="BO51" s="7">
        <f t="shared" si="487"/>
        <v>-254087.76927760991</v>
      </c>
      <c r="BP51" s="7">
        <f t="shared" ref="BP51:BQ51" si="488">IF(OR(BP50="",BP47=""),"",BP47-BP50)</f>
        <v>-191545.37985289597</v>
      </c>
      <c r="BQ51" s="7">
        <f t="shared" si="488"/>
        <v>161593.66195588466</v>
      </c>
      <c r="BR51" s="7">
        <f t="shared" ref="BR51:BS51" si="489">IF(OR(BR50="",BR47=""),"",BR47-BR50)</f>
        <v>246859.60618455522</v>
      </c>
      <c r="BS51" s="7">
        <f t="shared" si="489"/>
        <v>244212.86869595654</v>
      </c>
      <c r="BT51" s="7">
        <f t="shared" ref="BT51:BU51" si="490">IF(OR(BT50="",BT47=""),"",BT47-BT50)</f>
        <v>35300.758885792224</v>
      </c>
      <c r="BU51" s="7">
        <f t="shared" si="490"/>
        <v>-210492.85546532762</v>
      </c>
      <c r="BV51" s="7">
        <f t="shared" ref="BV51:BX51" si="491">IF(OR(BV50="",BV47=""),"",BV47-BV50)</f>
        <v>-192559.0112584366</v>
      </c>
      <c r="BW51" s="7">
        <f t="shared" si="491"/>
        <v>-163818.36719782854</v>
      </c>
      <c r="BX51" s="7">
        <f t="shared" si="491"/>
        <v>-135649.529678502</v>
      </c>
    </row>
    <row r="52" spans="1:76" s="4" customFormat="1" hidden="1" outlineLevel="1" x14ac:dyDescent="0.25">
      <c r="A52" s="292"/>
      <c r="B52" s="17" t="s">
        <v>8</v>
      </c>
      <c r="C52" s="94"/>
      <c r="D52" s="94"/>
      <c r="E52" s="94"/>
      <c r="F52" s="7">
        <f>IF(OR(F9="",F51=""),"",ROUND((F51+E54)*F9/12,2))</f>
        <v>0</v>
      </c>
      <c r="G52" s="7">
        <f t="shared" ref="G52:L52" si="492">IF(OR(G9="",G51=""),"",ROUND((G51+F54)*G9/12,2))</f>
        <v>1.22</v>
      </c>
      <c r="H52" s="7">
        <f t="shared" si="492"/>
        <v>-5.31</v>
      </c>
      <c r="I52" s="7">
        <f t="shared" si="492"/>
        <v>-204.84</v>
      </c>
      <c r="J52" s="7">
        <f t="shared" si="492"/>
        <v>-364.4</v>
      </c>
      <c r="K52" s="7">
        <f t="shared" si="492"/>
        <v>-456.82</v>
      </c>
      <c r="L52" s="7">
        <f t="shared" si="492"/>
        <v>-505.45</v>
      </c>
      <c r="M52" s="7">
        <f t="shared" ref="M52" si="493">IF(OR(M9="",M51=""),"",ROUND((M51+L54)*M9/12,2))</f>
        <v>-577.17999999999995</v>
      </c>
      <c r="N52" s="114">
        <f>IF(OR(N9="",N51=""),"",ROUND((N51+M54)*N9/12,2))+N46</f>
        <v>-419.03000000000043</v>
      </c>
      <c r="O52" s="7">
        <f t="shared" ref="O52" si="494">IF(OR(O9="",O51=""),"",ROUND((O51+N54)*O9/12,2))</f>
        <v>-547.30999999999995</v>
      </c>
      <c r="P52" s="7">
        <f t="shared" ref="P52" si="495">IF(OR(P9="",P51=""),"",ROUND((P51+O54)*P9/12,2))</f>
        <v>-467.35</v>
      </c>
      <c r="Q52" s="7">
        <f t="shared" ref="Q52:R52" si="496">IF(OR(Q9="",Q51=""),"",ROUND((Q51+P54)*Q9/12,2))</f>
        <v>-480.31</v>
      </c>
      <c r="R52" s="7">
        <f t="shared" si="496"/>
        <v>-460.82</v>
      </c>
      <c r="S52" s="7">
        <f t="shared" ref="S52" si="497">IF(OR(S9="",S51=""),"",ROUND((S51+R54)*S9/12,2))</f>
        <v>-254.01</v>
      </c>
      <c r="T52" s="7">
        <f t="shared" ref="T52" si="498">IF(OR(T9="",T51=""),"",ROUND((T51+S54)*T9/12,2))</f>
        <v>-34.25</v>
      </c>
      <c r="U52" s="7">
        <f t="shared" ref="U52" si="499">IF(OR(U9="",U51=""),"",ROUND((U51+T54)*U9/12,2))</f>
        <v>-23.99</v>
      </c>
      <c r="V52" s="7">
        <f t="shared" ref="V52" si="500">IF(OR(V9="",V51=""),"",ROUND((V51+U54)*V9/12,2))</f>
        <v>-12.82</v>
      </c>
      <c r="W52" s="7">
        <f>IF(OR(W9="",W51=""),"",ROUND((W51+V54)*W9/12,2))</f>
        <v>6.81</v>
      </c>
      <c r="X52" s="7">
        <f t="shared" ref="X52" si="501">IF(OR(X9="",X51=""),"",ROUND((X51+W54)*X9/12,2))</f>
        <v>18.68</v>
      </c>
      <c r="Y52" s="7">
        <f>IF(OR(Y9="",Y51=""),"",ROUND((Y51+X54)*Y9/12,2))</f>
        <v>39.43</v>
      </c>
      <c r="Z52" s="7">
        <f>IF(OR(Z9="",Z51=""),"",ROUND((Z49+Z51+Y54+Z46)*Z9/12,2))+Z46</f>
        <v>244.25999999999948</v>
      </c>
      <c r="AA52" s="7">
        <f>IF(OR(AA9="",AA51=""),"",ROUND((AA49+AA51+Z54)*AA9/12,2))</f>
        <v>94.46</v>
      </c>
      <c r="AB52" s="7">
        <f>IF(OR(AB9="",AB51=""),"",ROUND((AB49+AB51+AA54)*AB9/12,2))</f>
        <v>99.47</v>
      </c>
      <c r="AC52" s="7">
        <f t="shared" ref="AC52:AE52" si="502">IF(OR(AC9="",AC51=""),"",ROUND((AC49+AC51+AB54)*AC9/12,2))</f>
        <v>91.45</v>
      </c>
      <c r="AD52" s="7">
        <f t="shared" si="502"/>
        <v>26.77</v>
      </c>
      <c r="AE52" s="7">
        <f t="shared" si="502"/>
        <v>-23.54</v>
      </c>
      <c r="AF52" s="7">
        <f t="shared" ref="AF52" si="503">IF(OR(AF9="",AF51=""),"",ROUND((AF49+AF51+AE54)*AF9/12,2))</f>
        <v>-59.49</v>
      </c>
      <c r="AG52" s="7">
        <f t="shared" ref="AG52" si="504">IF(OR(AG9="",AG51=""),"",ROUND((AG49+AG51+AF54)*AG9/12,2))</f>
        <v>-28.14</v>
      </c>
      <c r="AH52" s="7">
        <f t="shared" ref="AH52" si="505">IF(OR(AH9="",AH51=""),"",ROUND((AH49+AH51+AG54)*AH9/12,2))</f>
        <v>14.62</v>
      </c>
      <c r="AI52" s="7">
        <f t="shared" ref="AI52" si="506">IF(OR(AI9="",AI51=""),"",ROUND((AI49+AI51+AH54)*AI9/12,2))</f>
        <v>70.209999999999994</v>
      </c>
      <c r="AJ52" s="7">
        <f t="shared" ref="AJ52" si="507">IF(OR(AJ9="",AJ51=""),"",ROUND((AJ49+AJ51+AI54)*AJ9/12,2))</f>
        <v>64.97</v>
      </c>
      <c r="AK52" s="7">
        <f t="shared" ref="AK52" si="508">IF(OR(AK9="",AK51=""),"",ROUND((AK49+AK51+AJ54)*AK9/12,2))</f>
        <v>21.21</v>
      </c>
      <c r="AL52" s="7">
        <f t="shared" ref="AL52" si="509">IF(OR(AL9="",AL51=""),"",ROUND((AL49+AL51+AK54)*AL9/12,2))</f>
        <v>-0.83</v>
      </c>
      <c r="AM52" s="7">
        <f t="shared" ref="AM52" si="510">IF(OR(AM9="",AM51=""),"",ROUND((AM49+AM51+AL54)*AM9/12,2))</f>
        <v>-33.700000000000003</v>
      </c>
      <c r="AN52" s="7">
        <f t="shared" ref="AN52" si="511">IF(OR(AN9="",AN51=""),"",ROUND((AN49+AN51+AM54)*AN9/12,2))</f>
        <v>-26.21</v>
      </c>
      <c r="AO52" s="7">
        <f t="shared" ref="AO52" si="512">IF(OR(AO9="",AO51=""),"",ROUND((AO49+AO51+AN54)*AO9/12,2))</f>
        <v>-37.049999999999997</v>
      </c>
      <c r="AP52" s="7">
        <f t="shared" ref="AP52" si="513">IF(OR(AP9="",AP51=""),"",ROUND((AP49+AP51+AO54)*AP9/12,2))</f>
        <v>-90.11</v>
      </c>
      <c r="AQ52" s="7">
        <f t="shared" ref="AQ52" si="514">IF(OR(AQ9="",AQ51=""),"",ROUND((AQ49+AQ51+AP54)*AQ9/12,2))</f>
        <v>-89.72</v>
      </c>
      <c r="AR52" s="7">
        <f t="shared" ref="AR52" si="515">IF(OR(AR9="",AR51=""),"",ROUND((AR49+AR51+AQ54)*AR9/12,2))</f>
        <v>-100.68</v>
      </c>
      <c r="AS52" s="7">
        <f t="shared" ref="AS52" si="516">IF(OR(AS9="",AS51=""),"",ROUND((AS49+AS51+AR54)*AS9/12,2))</f>
        <v>581.30999999999995</v>
      </c>
      <c r="AT52" s="7">
        <f t="shared" ref="AT52" si="517">IF(OR(AT9="",AT51=""),"",ROUND((AT49+AT51+AS54)*AT9/12,2))</f>
        <v>2153.6999999999998</v>
      </c>
      <c r="AU52" s="7">
        <f t="shared" ref="AU52" si="518">IF(OR(AU9="",AU51=""),"",ROUND((AU49+AU51+AT54)*AU9/12,2))</f>
        <v>4041.01</v>
      </c>
      <c r="AV52" s="7">
        <f t="shared" ref="AV52" si="519">IF(OR(AV9="",AV51=""),"",ROUND((AV49+AV51+AU54)*AV9/12,2))</f>
        <v>5272.93</v>
      </c>
      <c r="AW52" s="7">
        <f t="shared" ref="AW52:AY52" si="520">IF(OR(AW9="",AW51=""),"",ROUND((AW49+AW51+AV54)*AW9/12,2))</f>
        <v>6762.31</v>
      </c>
      <c r="AX52" s="7">
        <f t="shared" si="520"/>
        <v>8673.01</v>
      </c>
      <c r="AY52" s="7">
        <f t="shared" si="520"/>
        <v>9966.94</v>
      </c>
      <c r="AZ52" s="114">
        <f>IF(OR(AZ9="",AZ51=""),"",ROUND((AZ49+AZ51+AY54+AZ46)*AZ9/12,2))+AZ46</f>
        <v>11506.830000000002</v>
      </c>
      <c r="BA52" s="114">
        <f t="shared" ref="BA52:BL52" si="521">IF(OR(BA9="",BA51=""),"",ROUND((BA49+BA51+AZ54)*BA9/12,2))</f>
        <v>11668.27</v>
      </c>
      <c r="BB52" s="114">
        <f t="shared" si="521"/>
        <v>10823.42</v>
      </c>
      <c r="BC52" s="114">
        <f t="shared" si="521"/>
        <v>10091.92</v>
      </c>
      <c r="BD52" s="114">
        <f t="shared" si="521"/>
        <v>9654.5</v>
      </c>
      <c r="BE52" s="114">
        <f t="shared" si="521"/>
        <v>13079.24</v>
      </c>
      <c r="BF52" s="114">
        <f t="shared" si="521"/>
        <v>10994.84</v>
      </c>
      <c r="BG52" s="114">
        <f t="shared" si="521"/>
        <v>8770.99</v>
      </c>
      <c r="BH52" s="114">
        <f t="shared" si="521"/>
        <v>5950.34</v>
      </c>
      <c r="BI52" s="114">
        <f t="shared" si="521"/>
        <v>2937.97</v>
      </c>
      <c r="BJ52" s="114">
        <f t="shared" si="521"/>
        <v>284.26</v>
      </c>
      <c r="BK52" s="114">
        <f t="shared" si="521"/>
        <v>-2441.9899999999998</v>
      </c>
      <c r="BL52" s="114">
        <f t="shared" si="521"/>
        <v>-5021.8500000000004</v>
      </c>
      <c r="BM52" s="272">
        <f>IF(OR(BM9="",BM51=""),"",ROUND((BM49+BM51+BL54+BM46)*BM9/12,2))</f>
        <v>-6935.4</v>
      </c>
      <c r="BN52" s="114">
        <f t="shared" ref="BN52:BU52" si="522">IF(OR(BN9="",BN51=""),"",ROUND((BN49+BN51+BM54)*BN9/12,2))</f>
        <v>-7735.04</v>
      </c>
      <c r="BO52" s="114">
        <f t="shared" si="522"/>
        <v>-8650.14</v>
      </c>
      <c r="BP52" s="114">
        <f t="shared" si="522"/>
        <v>-9161.93</v>
      </c>
      <c r="BQ52" s="114">
        <f t="shared" si="522"/>
        <v>-8116.7</v>
      </c>
      <c r="BR52" s="114">
        <f t="shared" si="522"/>
        <v>-6543.34</v>
      </c>
      <c r="BS52" s="114">
        <f t="shared" si="522"/>
        <v>-4948.71</v>
      </c>
      <c r="BT52" s="114">
        <f t="shared" si="522"/>
        <v>-4134.03</v>
      </c>
      <c r="BU52" s="114">
        <f t="shared" si="522"/>
        <v>-4359.42</v>
      </c>
      <c r="BV52" s="114">
        <f t="shared" ref="BV52" si="523">IF(OR(BV9="",BV51=""),"",ROUND((BV49+BV51+BU54)*BV9/12,2))</f>
        <v>-4814.78</v>
      </c>
      <c r="BW52" s="114">
        <f t="shared" ref="BW52" si="524">IF(OR(BW9="",BW51=""),"",ROUND((BW49+BW51+BV54)*BW9/12,2))</f>
        <v>-5117.97</v>
      </c>
      <c r="BX52" s="114">
        <f t="shared" ref="BX52" si="525">IF(OR(BX9="",BX51=""),"",ROUND((BX49+BX51+BW54)*BX9/12,2))</f>
        <v>-5286.55</v>
      </c>
    </row>
    <row r="53" spans="1:76" s="4" customFormat="1" hidden="1" outlineLevel="1" x14ac:dyDescent="0.25">
      <c r="A53" s="292"/>
      <c r="B53" s="16" t="s">
        <v>14</v>
      </c>
      <c r="C53" s="94"/>
      <c r="D53" s="94"/>
      <c r="E53" s="94"/>
      <c r="F53" s="7">
        <f t="shared" ref="F53:M53" si="526">IF(OR(F51="",F52=""),"",F51+F52)</f>
        <v>0.36790548240712501</v>
      </c>
      <c r="G53" s="7">
        <f t="shared" si="526"/>
        <v>550.60424508821643</v>
      </c>
      <c r="H53" s="7">
        <f t="shared" si="526"/>
        <v>-2936.4426047334168</v>
      </c>
      <c r="I53" s="7">
        <f t="shared" si="526"/>
        <v>-90574.953443998151</v>
      </c>
      <c r="J53" s="7">
        <f t="shared" si="526"/>
        <v>-75921.202484400332</v>
      </c>
      <c r="K53" s="7">
        <f t="shared" si="526"/>
        <v>-64727.495133255725</v>
      </c>
      <c r="L53" s="7">
        <f t="shared" si="526"/>
        <v>-40498.439537141938</v>
      </c>
      <c r="M53" s="7">
        <f t="shared" si="526"/>
        <v>-54113.222368776616</v>
      </c>
      <c r="N53" s="7">
        <f>IF(OR(N51="",N52=""),"",N51+N52)</f>
        <v>-12147.246706934808</v>
      </c>
      <c r="O53" s="7">
        <f>IF(OR(O51="",O52=""),"",O51+O52)</f>
        <v>-3103.9117182829091</v>
      </c>
      <c r="P53" s="7">
        <f t="shared" ref="P53:AE53" si="527">IF(OR(P51="",P52=""),"",P51+P52)</f>
        <v>46130.049590637318</v>
      </c>
      <c r="Q53" s="7">
        <f t="shared" si="527"/>
        <v>-22709.27636041983</v>
      </c>
      <c r="R53" s="7">
        <f t="shared" si="527"/>
        <v>-13821.03052983425</v>
      </c>
      <c r="S53" s="7">
        <f t="shared" si="527"/>
        <v>-70142.333471591133</v>
      </c>
      <c r="T53" s="7">
        <f t="shared" si="527"/>
        <v>-26194.410200838378</v>
      </c>
      <c r="U53" s="7">
        <f t="shared" si="527"/>
        <v>58750.388860579296</v>
      </c>
      <c r="V53" s="7">
        <f t="shared" si="527"/>
        <v>113467.22298932067</v>
      </c>
      <c r="W53" s="7">
        <f t="shared" si="527"/>
        <v>96992.335623500403</v>
      </c>
      <c r="X53" s="7">
        <f t="shared" si="527"/>
        <v>78914.47988672409</v>
      </c>
      <c r="Y53" s="7">
        <f t="shared" si="527"/>
        <v>13795.779884233845</v>
      </c>
      <c r="Z53" s="7">
        <f>IF(OR(Z51="",Z52=""),"",Z51+Z52)</f>
        <v>15659.081802483406</v>
      </c>
      <c r="AA53" s="7">
        <f t="shared" si="527"/>
        <v>37836.086400806096</v>
      </c>
      <c r="AB53" s="7">
        <f t="shared" si="527"/>
        <v>140765.53930596294</v>
      </c>
      <c r="AC53" s="7">
        <f t="shared" si="527"/>
        <v>-79675.930758116316</v>
      </c>
      <c r="AD53" s="7">
        <f t="shared" si="527"/>
        <v>-275578.85432818771</v>
      </c>
      <c r="AE53" s="7">
        <f t="shared" si="527"/>
        <v>-234246.55482360863</v>
      </c>
      <c r="AF53" s="7">
        <f t="shared" ref="AF53:AW53" si="528">IF(OR(AF51="",AF52=""),"",AF51+AF52)</f>
        <v>-150444.78456222045</v>
      </c>
      <c r="AG53" s="7">
        <f t="shared" si="528"/>
        <v>197990.18376938388</v>
      </c>
      <c r="AH53" s="7">
        <f t="shared" si="528"/>
        <v>348377.14700391318</v>
      </c>
      <c r="AI53" s="7">
        <f t="shared" si="528"/>
        <v>339809.05756536935</v>
      </c>
      <c r="AJ53" s="7">
        <f t="shared" si="528"/>
        <v>48462.590055436041</v>
      </c>
      <c r="AK53" s="7">
        <f t="shared" si="528"/>
        <v>-184827.53615168753</v>
      </c>
      <c r="AL53" s="7">
        <f t="shared" si="528"/>
        <v>-132716.67841127815</v>
      </c>
      <c r="AM53" s="7">
        <f t="shared" si="528"/>
        <v>-101217.1673877877</v>
      </c>
      <c r="AN53" s="7">
        <f t="shared" si="528"/>
        <v>71980.142066173445</v>
      </c>
      <c r="AO53" s="7">
        <f t="shared" si="528"/>
        <v>-54670.219777225124</v>
      </c>
      <c r="AP53" s="7">
        <f t="shared" si="528"/>
        <v>-29944.922319360674</v>
      </c>
      <c r="AQ53" s="7">
        <f t="shared" si="528"/>
        <v>-43659.479852407647</v>
      </c>
      <c r="AR53" s="7">
        <f t="shared" si="528"/>
        <v>29909.022663524076</v>
      </c>
      <c r="AS53" s="7">
        <f t="shared" si="528"/>
        <v>572479.92314727861</v>
      </c>
      <c r="AT53" s="7">
        <f t="shared" si="528"/>
        <v>760794.2729832523</v>
      </c>
      <c r="AU53" s="7">
        <f t="shared" si="528"/>
        <v>608801.57297479804</v>
      </c>
      <c r="AV53" s="7">
        <f t="shared" si="528"/>
        <v>310167.52223014308</v>
      </c>
      <c r="AW53" s="7">
        <f t="shared" si="528"/>
        <v>90513.708420539013</v>
      </c>
      <c r="AX53" s="7">
        <f t="shared" ref="AX53:AY53" si="529">IF(OR(AX51="",AX52=""),"",AX51+AX52)</f>
        <v>69520.042209797117</v>
      </c>
      <c r="AY53" s="7">
        <f t="shared" si="529"/>
        <v>138539.19539508247</v>
      </c>
      <c r="AZ53" s="7">
        <f t="shared" ref="AZ53:BA53" si="530">IF(OR(AZ51="",AZ52=""),"",AZ51+AZ52)</f>
        <v>279169.29313714523</v>
      </c>
      <c r="BA53" s="7">
        <f t="shared" si="530"/>
        <v>135278.50808573081</v>
      </c>
      <c r="BB53" s="7">
        <f t="shared" ref="BB53:BC53" si="531">IF(OR(BB51="",BB52=""),"",BB51+BB52)</f>
        <v>-66896.240941539159</v>
      </c>
      <c r="BC53" s="7">
        <f t="shared" si="531"/>
        <v>-86657.21777012285</v>
      </c>
      <c r="BD53" s="7">
        <f t="shared" ref="BD53:BE53" si="532">IF(OR(BD51="",BD52=""),"",BD51+BD52)</f>
        <v>76119.663259917987</v>
      </c>
      <c r="BE53" s="7">
        <f t="shared" si="532"/>
        <v>973480.09477386926</v>
      </c>
      <c r="BF53" s="7">
        <f t="shared" ref="BF53:BG53" si="533">IF(OR(BF51="",BF52=""),"",BF51+BF52)</f>
        <v>-233446.64982288759</v>
      </c>
      <c r="BG53" s="7">
        <f t="shared" si="533"/>
        <v>-256955.89197373221</v>
      </c>
      <c r="BH53" s="7">
        <f t="shared" ref="BH53:BI53" si="534">IF(OR(BH51="",BH52=""),"",BH51+BH52)</f>
        <v>-356192.54494448431</v>
      </c>
      <c r="BI53" s="7">
        <f t="shared" si="534"/>
        <v>-422616.86414299114</v>
      </c>
      <c r="BJ53" s="7">
        <f t="shared" ref="BJ53:BK53" si="535">IF(OR(BJ51="",BJ52=""),"",BJ51+BJ52)</f>
        <v>-366937.66441062128</v>
      </c>
      <c r="BK53" s="7">
        <f t="shared" si="535"/>
        <v>-364843.65564565919</v>
      </c>
      <c r="BL53" s="7">
        <f t="shared" ref="BL53:BM53" si="536">IF(OR(BL51="",BL52=""),"",BL51+BL52)</f>
        <v>-344131.60020368377</v>
      </c>
      <c r="BM53" s="7">
        <f t="shared" si="536"/>
        <v>-600184.48686509405</v>
      </c>
      <c r="BN53" s="7">
        <f t="shared" ref="BN53:BO53" si="537">IF(OR(BN51="",BN52=""),"",BN51+BN52)</f>
        <v>-248273.19704338117</v>
      </c>
      <c r="BO53" s="7">
        <f t="shared" si="537"/>
        <v>-262737.9092776099</v>
      </c>
      <c r="BP53" s="7">
        <f t="shared" ref="BP53:BQ53" si="538">IF(OR(BP51="",BP52=""),"",BP51+BP52)</f>
        <v>-200707.30985289597</v>
      </c>
      <c r="BQ53" s="7">
        <f t="shared" si="538"/>
        <v>153476.96195588465</v>
      </c>
      <c r="BR53" s="7">
        <f t="shared" ref="BR53:BS53" si="539">IF(OR(BR51="",BR52=""),"",BR51+BR52)</f>
        <v>240316.26618455522</v>
      </c>
      <c r="BS53" s="7">
        <f t="shared" si="539"/>
        <v>239264.15869595655</v>
      </c>
      <c r="BT53" s="7">
        <f t="shared" ref="BT53:BU53" si="540">IF(OR(BT51="",BT52=""),"",BT51+BT52)</f>
        <v>31166.728885792225</v>
      </c>
      <c r="BU53" s="7">
        <f t="shared" si="540"/>
        <v>-214852.27546532764</v>
      </c>
      <c r="BV53" s="7">
        <f t="shared" ref="BV53:BX53" si="541">IF(OR(BV51="",BV52=""),"",BV51+BV52)</f>
        <v>-197373.7912584366</v>
      </c>
      <c r="BW53" s="7">
        <f t="shared" si="541"/>
        <v>-168936.33719782854</v>
      </c>
      <c r="BX53" s="7">
        <f t="shared" si="541"/>
        <v>-140936.07967850199</v>
      </c>
    </row>
    <row r="54" spans="1:76" s="4" customFormat="1" hidden="1" outlineLevel="1" x14ac:dyDescent="0.25">
      <c r="A54" s="292"/>
      <c r="B54" s="18" t="s">
        <v>17</v>
      </c>
      <c r="C54" s="94"/>
      <c r="D54" s="94"/>
      <c r="E54" s="94"/>
      <c r="F54" s="7">
        <f>IF(OR(F53=""),"",F53)</f>
        <v>0.36790548240712501</v>
      </c>
      <c r="G54" s="7">
        <f t="shared" ref="G54:M54" si="542">IF(OR(G53="",F54=""),"",G53+F54)</f>
        <v>550.97215057062351</v>
      </c>
      <c r="H54" s="7">
        <f t="shared" si="542"/>
        <v>-2385.4704541627934</v>
      </c>
      <c r="I54" s="7">
        <f t="shared" si="542"/>
        <v>-92960.423898160938</v>
      </c>
      <c r="J54" s="7">
        <f t="shared" si="542"/>
        <v>-168881.62638256128</v>
      </c>
      <c r="K54" s="7">
        <f t="shared" si="542"/>
        <v>-233609.12151581701</v>
      </c>
      <c r="L54" s="7">
        <f t="shared" si="542"/>
        <v>-274107.56105295895</v>
      </c>
      <c r="M54" s="7">
        <f t="shared" si="542"/>
        <v>-328220.78342173557</v>
      </c>
      <c r="N54" s="7">
        <f>IF(OR(N53="",M54=""),"",N53+N49+M54)</f>
        <v>-340368.03012867039</v>
      </c>
      <c r="O54" s="7">
        <f>IF(OR(O53="",N54=""),"",O53+O49+N54)</f>
        <v>-343471.9418469533</v>
      </c>
      <c r="P54" s="7">
        <f t="shared" ref="P54:AE54" si="543">IF(OR(P53="",O54=""),"",P53+P49+O54)</f>
        <v>-297341.89225631597</v>
      </c>
      <c r="Q54" s="7">
        <f t="shared" si="543"/>
        <v>-279439.15861673577</v>
      </c>
      <c r="R54" s="7">
        <f t="shared" si="543"/>
        <v>-254909.07914657003</v>
      </c>
      <c r="S54" s="7">
        <f t="shared" si="543"/>
        <v>-292277.03261816117</v>
      </c>
      <c r="T54" s="7">
        <f t="shared" si="543"/>
        <v>-287902.27281899954</v>
      </c>
      <c r="U54" s="7">
        <f t="shared" si="543"/>
        <v>-192926.82395842025</v>
      </c>
      <c r="V54" s="7">
        <f t="shared" si="543"/>
        <v>-37163.690969099582</v>
      </c>
      <c r="W54" s="7">
        <f t="shared" si="543"/>
        <v>101969.97465440084</v>
      </c>
      <c r="X54" s="7">
        <f t="shared" si="543"/>
        <v>222827.19454112492</v>
      </c>
      <c r="Y54" s="7">
        <f t="shared" si="543"/>
        <v>272411.24442535877</v>
      </c>
      <c r="Z54" s="7">
        <f t="shared" si="543"/>
        <v>322933.86622784217</v>
      </c>
      <c r="AA54" s="7">
        <f t="shared" si="543"/>
        <v>398239.85262864828</v>
      </c>
      <c r="AB54" s="7">
        <f t="shared" si="543"/>
        <v>579163.2119346112</v>
      </c>
      <c r="AC54" s="7">
        <f t="shared" si="543"/>
        <v>472682.4011764949</v>
      </c>
      <c r="AD54" s="7">
        <f t="shared" si="543"/>
        <v>150362.03684830718</v>
      </c>
      <c r="AE54" s="7">
        <f t="shared" si="543"/>
        <v>-125509.31797530147</v>
      </c>
      <c r="AF54" s="7">
        <f t="shared" ref="AF54" si="544">IF(OR(AF53="",AE54=""),"",AF53+AF49+AE54)</f>
        <v>-318351.61253752193</v>
      </c>
      <c r="AG54" s="7">
        <f t="shared" ref="AG54" si="545">IF(OR(AG53="",AF54=""),"",AG53+AG49+AF54)</f>
        <v>-167476.35876813804</v>
      </c>
      <c r="AH54" s="7">
        <f t="shared" ref="AH54" si="546">IF(OR(AH53="",AG54=""),"",AH53+AH49+AG54)</f>
        <v>125718.41823577514</v>
      </c>
      <c r="AI54" s="7">
        <f t="shared" ref="AI54" si="547">IF(OR(AI53="",AH54=""),"",AI53+AI49+AH54)</f>
        <v>410838.38580114447</v>
      </c>
      <c r="AJ54" s="7">
        <f t="shared" ref="AJ54" si="548">IF(OR(AJ53="",AI54=""),"",AJ53+AJ49+AI54)</f>
        <v>403561.1258565805</v>
      </c>
      <c r="AK54" s="7">
        <f t="shared" ref="AK54" si="549">IF(OR(AK53="",AJ54=""),"",AK53+AK49+AJ54)</f>
        <v>169737.89970489297</v>
      </c>
      <c r="AL54" s="7">
        <f t="shared" ref="AL54" si="550">IF(OR(AL53="",AK54=""),"",AL53+AL49+AK54)</f>
        <v>-6512.098706385179</v>
      </c>
      <c r="AM54" s="7">
        <f t="shared" ref="AM54" si="551">IF(OR(AM53="",AL54=""),"",AM53+AM49+AL54)</f>
        <v>-155309.4560941729</v>
      </c>
      <c r="AN54" s="7">
        <f t="shared" ref="AN54" si="552">IF(OR(AN53="",AM54=""),"",AN53+AN49+AM54)</f>
        <v>-134194.53402799944</v>
      </c>
      <c r="AO54" s="7">
        <f t="shared" ref="AO54" si="553">IF(OR(AO53="",AN54=""),"",AO53+AO49+AN54)</f>
        <v>-150320.97380522458</v>
      </c>
      <c r="AP54" s="7">
        <f t="shared" ref="AP54" si="554">IF(OR(AP53="",AO54=""),"",AP53+AP49+AO54)</f>
        <v>-157190.04612458526</v>
      </c>
      <c r="AQ54" s="7">
        <f t="shared" ref="AQ54" si="555">IF(OR(AQ53="",AP54=""),"",AQ53+AQ49+AP54)</f>
        <v>-179405.39597699291</v>
      </c>
      <c r="AR54" s="7">
        <f t="shared" ref="AR54" si="556">IF(OR(AR53="",AQ54=""),"",AR53+AR49+AQ54)</f>
        <v>-127316.96331346883</v>
      </c>
      <c r="AS54" s="7">
        <f t="shared" ref="AS54" si="557">IF(OR(AS53="",AR54=""),"",AS53+AS49+AR54)</f>
        <v>470051.97983380978</v>
      </c>
      <c r="AT54" s="7">
        <f t="shared" ref="AT54" si="558">IF(OR(AT53="",AS54=""),"",AT53+AT49+AS54)</f>
        <v>1258756.8528170621</v>
      </c>
      <c r="AU54" s="7">
        <f t="shared" ref="AU54" si="559">IF(OR(AU53="",AT54=""),"",AU53+AU49+AT54)</f>
        <v>1895270.6957918601</v>
      </c>
      <c r="AV54" s="7">
        <f t="shared" ref="AV54" si="560">IF(OR(AV53="",AU54=""),"",AV53+AV49+AU54)</f>
        <v>2231942.2180220033</v>
      </c>
      <c r="AW54" s="7">
        <f t="shared" ref="AW54:BL54" si="561">IF(OR(AW53="",AV54=""),"",AW53+AW49+AV54)</f>
        <v>2345231.2564425422</v>
      </c>
      <c r="AX54" s="7">
        <f t="shared" si="561"/>
        <v>2436898.6486523394</v>
      </c>
      <c r="AY54" s="7">
        <f t="shared" si="561"/>
        <v>2600125.6740474217</v>
      </c>
      <c r="AZ54" s="7">
        <f t="shared" si="561"/>
        <v>2904920.9471845669</v>
      </c>
      <c r="BA54" s="7">
        <f t="shared" si="561"/>
        <v>2899885.4452702976</v>
      </c>
      <c r="BB54" s="7">
        <f t="shared" si="561"/>
        <v>2613955.4343287586</v>
      </c>
      <c r="BC54" s="7">
        <f t="shared" si="561"/>
        <v>2317379.3465586356</v>
      </c>
      <c r="BD54" s="7">
        <f t="shared" si="561"/>
        <v>2184588.3098185537</v>
      </c>
      <c r="BE54" s="7">
        <f t="shared" si="561"/>
        <v>2922366.7445924231</v>
      </c>
      <c r="BF54" s="7">
        <f t="shared" si="561"/>
        <v>2435140.1647695354</v>
      </c>
      <c r="BG54" s="7">
        <f t="shared" si="561"/>
        <v>1915342.2927958032</v>
      </c>
      <c r="BH54" s="7">
        <f t="shared" si="561"/>
        <v>1295968.3778513188</v>
      </c>
      <c r="BI54" s="7">
        <f t="shared" si="561"/>
        <v>641921.90370832768</v>
      </c>
      <c r="BJ54" s="7">
        <f t="shared" si="561"/>
        <v>61657.669297706452</v>
      </c>
      <c r="BK54" s="7">
        <f t="shared" si="561"/>
        <v>-530671.63634795276</v>
      </c>
      <c r="BL54" s="7">
        <f t="shared" si="561"/>
        <v>-1125485.0765516367</v>
      </c>
      <c r="BM54" s="126">
        <f>IF(OR(BM53="",BL54=""),"",BM53+BM49+BL54+BM46)</f>
        <v>-1554677.7166224525</v>
      </c>
      <c r="BN54" s="7">
        <f t="shared" ref="BN54:BU54" si="562">IF(OR(BN53="",BM54=""),"",BN53+BN49+BM54)</f>
        <v>-1717567.2636658337</v>
      </c>
      <c r="BO54" s="7">
        <f t="shared" si="562"/>
        <v>-1895895.9329434438</v>
      </c>
      <c r="BP54" s="7">
        <f t="shared" si="562"/>
        <v>-2011769.2927963398</v>
      </c>
      <c r="BQ54" s="7">
        <f t="shared" si="562"/>
        <v>-1762194.3808404552</v>
      </c>
      <c r="BR54" s="7">
        <f t="shared" si="562"/>
        <v>-1413358.5546559</v>
      </c>
      <c r="BS54" s="7">
        <f t="shared" si="562"/>
        <v>-1072253.8259599435</v>
      </c>
      <c r="BT54" s="7">
        <f t="shared" si="562"/>
        <v>-939197.08707415126</v>
      </c>
      <c r="BU54" s="7">
        <f t="shared" si="562"/>
        <v>-1063169.2425394789</v>
      </c>
      <c r="BV54" s="7">
        <f t="shared" ref="BV54" si="563">IF(OR(BV53="",BU54=""),"",BV53+BV49+BU54)</f>
        <v>-1174220.0037979155</v>
      </c>
      <c r="BW54" s="7">
        <f t="shared" ref="BW54" si="564">IF(OR(BW53="",BV54=""),"",BW53+BW49+BV54)</f>
        <v>-1248162.000995744</v>
      </c>
      <c r="BX54" s="7">
        <f t="shared" ref="BX54" si="565">IF(OR(BX53="",BW54=""),"",BX53+BX49+BW54)</f>
        <v>-1289275.0406742459</v>
      </c>
    </row>
    <row r="55" spans="1:76" s="4" customFormat="1" ht="8.25" hidden="1" customHeight="1" outlineLevel="1" x14ac:dyDescent="0.25">
      <c r="A55" s="40"/>
      <c r="B55" s="11"/>
      <c r="C55" s="99"/>
      <c r="D55" s="99"/>
      <c r="E55" s="99"/>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row>
    <row r="56" spans="1:76" s="4" customFormat="1" ht="15" hidden="1" customHeight="1" outlineLevel="1" x14ac:dyDescent="0.25">
      <c r="A56" s="292" t="s">
        <v>23</v>
      </c>
      <c r="B56" s="15"/>
      <c r="C56" s="94"/>
      <c r="D56" s="94"/>
      <c r="E56" s="94"/>
      <c r="F56" s="7"/>
      <c r="G56" s="7"/>
      <c r="H56" s="7"/>
      <c r="I56" s="7"/>
      <c r="J56" s="7"/>
      <c r="K56" s="7"/>
      <c r="L56" s="7"/>
      <c r="M56" s="7"/>
      <c r="N56" s="113">
        <f>'MEEIA 3 adjs'!L42</f>
        <v>46.569999999999936</v>
      </c>
      <c r="O56" s="7"/>
      <c r="P56" s="7"/>
      <c r="Q56" s="7"/>
      <c r="R56" s="7"/>
      <c r="S56" s="7"/>
      <c r="T56" s="7"/>
      <c r="U56" s="7"/>
      <c r="V56" s="7"/>
      <c r="W56" s="7"/>
      <c r="X56" s="7"/>
      <c r="Y56" s="7"/>
      <c r="Z56" s="113">
        <f>'MEEIA 3 adjs'!AA64</f>
        <v>87.969999999999914</v>
      </c>
      <c r="AA56" s="7"/>
      <c r="AB56" s="7"/>
      <c r="AC56" s="7"/>
      <c r="AD56" s="7"/>
      <c r="AE56" s="7"/>
      <c r="AF56" s="7"/>
      <c r="AG56" s="7"/>
      <c r="AH56" s="7"/>
      <c r="AI56" s="7"/>
      <c r="AJ56" s="7"/>
      <c r="AK56" s="7"/>
      <c r="AL56" s="7"/>
      <c r="AM56" s="7"/>
      <c r="AN56" s="7"/>
      <c r="AO56" s="7"/>
      <c r="AP56" s="7"/>
      <c r="AQ56" s="7"/>
      <c r="AR56" s="7"/>
      <c r="AS56" s="7"/>
      <c r="AT56" s="7"/>
      <c r="AU56" s="7"/>
      <c r="AV56" s="7"/>
      <c r="AW56" s="126">
        <v>23064.805500861024</v>
      </c>
      <c r="AX56" s="7"/>
      <c r="AY56" s="7"/>
      <c r="AZ56" s="113">
        <f>'MEEIA 3 adjs'!DZ62</f>
        <v>-4.3600000000001273</v>
      </c>
      <c r="BA56" s="7"/>
      <c r="BB56" s="7"/>
      <c r="BC56" s="7"/>
      <c r="BD56" s="7"/>
      <c r="BE56" s="7"/>
      <c r="BF56" s="7"/>
      <c r="BG56" s="7"/>
      <c r="BH56" s="7"/>
      <c r="BI56" s="7"/>
      <c r="BJ56" s="7"/>
      <c r="BK56" s="7"/>
      <c r="BL56" s="7"/>
      <c r="BM56" s="68">
        <v>7811.0591896921133</v>
      </c>
      <c r="BN56" s="7"/>
      <c r="BO56" s="7"/>
      <c r="BP56" s="7"/>
      <c r="BQ56" s="7"/>
      <c r="BR56" s="7"/>
      <c r="BS56" s="7"/>
      <c r="BT56" s="7"/>
      <c r="BU56" s="7"/>
      <c r="BV56" s="7"/>
      <c r="BW56" s="7"/>
      <c r="BX56" s="7"/>
    </row>
    <row r="57" spans="1:76" s="2" customFormat="1" ht="15" hidden="1" customHeight="1" outlineLevel="1" x14ac:dyDescent="0.25">
      <c r="A57" s="292"/>
      <c r="B57" s="15" t="s">
        <v>28</v>
      </c>
      <c r="C57" s="94"/>
      <c r="D57" s="94"/>
      <c r="E57" s="94"/>
      <c r="F57" s="20">
        <f>IF('M3 Allocations - TD'!D8="","",'M3 Allocations - TD'!D34)</f>
        <v>0</v>
      </c>
      <c r="G57" s="20">
        <f>IF('M3 Allocations - TD'!E8="","",'M3 Allocations - TD'!E34)</f>
        <v>9.4764517045030008</v>
      </c>
      <c r="H57" s="20">
        <f>IF('M3 Allocations - TD'!F8="","",'M3 Allocations - TD'!F34)</f>
        <v>992.38480063141662</v>
      </c>
      <c r="I57" s="20">
        <f>IF('M3 Allocations - TD'!G8="","",'M3 Allocations - TD'!G34)</f>
        <v>7292.1248374502911</v>
      </c>
      <c r="J57" s="20">
        <f>IF('M3 Allocations - TD'!H8="","",'M3 Allocations - TD'!H34)</f>
        <v>15994.94501268368</v>
      </c>
      <c r="K57" s="20">
        <f>IF('M3 Allocations - TD'!I8="","",'M3 Allocations - TD'!I34)</f>
        <v>17286.492613957165</v>
      </c>
      <c r="L57" s="20">
        <f>IF('M3 Allocations - TD'!J8="","",'M3 Allocations - TD'!J34)</f>
        <v>20593.63561343183</v>
      </c>
      <c r="M57" s="20">
        <f>IF('M3 Allocations - TD'!K8="","",'M3 Allocations - TD'!K34)</f>
        <v>13281.46306563299</v>
      </c>
      <c r="N57" s="20">
        <f>IF('M3 Allocations - TD'!L8="","",'M3 Allocations - TD'!L34)</f>
        <v>20634.15638219006</v>
      </c>
      <c r="O57" s="20">
        <f>IF('M3 Allocations - TD'!M8="","",'M3 Allocations - TD'!M34)</f>
        <v>18530.128304448888</v>
      </c>
      <c r="P57" s="20">
        <f>IF('M3 Allocations - TD'!N8="","",'M3 Allocations - TD'!N34)</f>
        <v>41320.38859087076</v>
      </c>
      <c r="Q57" s="20">
        <f>IF('M3 Allocations - TD'!O8="","",'M3 Allocations - TD'!O34)</f>
        <v>29425.974245256413</v>
      </c>
      <c r="R57" s="20">
        <f>IF('M3 Allocations - TD'!P8="","",'M3 Allocations - TD'!P34)</f>
        <v>32165.147795809222</v>
      </c>
      <c r="S57" s="20">
        <f>IF('M3 Allocations - TD'!Q8="","",'M3 Allocations - TD'!Q34)</f>
        <v>21213.003373036219</v>
      </c>
      <c r="T57" s="20">
        <f>IF('M3 Allocations - TD'!R8="","",'M3 Allocations - TD'!R34)</f>
        <v>41395.000804902586</v>
      </c>
      <c r="U57" s="20">
        <f>IF('M3 Allocations - TD'!S8="","",'M3 Allocations - TD'!S34)</f>
        <v>92952.761963081415</v>
      </c>
      <c r="V57" s="20">
        <f>IF('M3 Allocations - TD'!T8="","",'M3 Allocations - TD'!T34)</f>
        <v>123951.10916307675</v>
      </c>
      <c r="W57" s="20">
        <f>IF('M3 Allocations - TD'!U8="","",'M3 Allocations - TD'!U34)</f>
        <v>122809.27801030048</v>
      </c>
      <c r="X57" s="20">
        <f>IF('M3 Allocations - TD'!V8="","",'M3 Allocations - TD'!V34)</f>
        <v>96049.861338882605</v>
      </c>
      <c r="Y57" s="20">
        <f>IF('M3 Allocations - TD'!W8="","",'M3 Allocations - TD'!W34)</f>
        <v>51830.00376307463</v>
      </c>
      <c r="Z57" s="20">
        <f>IF('M3 Allocations - TD'!X8="","",'M3 Allocations - TD'!X34)</f>
        <v>49578.466987818043</v>
      </c>
      <c r="AA57" s="20">
        <f>IF('M3 Allocations - TD'!Y8="","",'M3 Allocations - TD'!Y34)</f>
        <v>51735.412802116007</v>
      </c>
      <c r="AB57" s="20">
        <f>IF('M3 Allocations - TD'!Z8="","",'M3 Allocations - TD'!Z34)</f>
        <v>90838.744276912417</v>
      </c>
      <c r="AC57" s="20">
        <f>IF('M3 Allocations - TD'!AA8="","",'M3 Allocations - TD'!AA34)</f>
        <v>65459.948883100595</v>
      </c>
      <c r="AD57" s="20">
        <f>IF('M3 Allocations - TD'!AB8="","",'M3 Allocations - TD'!AB34)</f>
        <v>71534.944524128558</v>
      </c>
      <c r="AE57" s="20">
        <f>IF('M3 Allocations - TD'!AC8="","",'M3 Allocations - TD'!AC34)</f>
        <v>71343.757771636898</v>
      </c>
      <c r="AF57" s="20">
        <f>IF('M3 Allocations - TD'!AD8="","",'M3 Allocations - TD'!AD34)</f>
        <v>103296.3103477702</v>
      </c>
      <c r="AG57" s="20">
        <f>IF('M3 Allocations - TD'!AE8="","",'M3 Allocations - TD'!AE34)</f>
        <v>256562.81120160531</v>
      </c>
      <c r="AH57" s="20">
        <f>IF('M3 Allocations - TD'!AF8="","",'M3 Allocations - TD'!AF34)</f>
        <v>319479.07850425603</v>
      </c>
      <c r="AI57" s="20">
        <f>IF('M3 Allocations - TD'!AG8="","",'M3 Allocations - TD'!AG34)</f>
        <v>309875.12991512951</v>
      </c>
      <c r="AJ57" s="20">
        <f>IF('M3 Allocations - TD'!AH8="","",'M3 Allocations - TD'!AH34)</f>
        <v>200668.49634980995</v>
      </c>
      <c r="AK57" s="20">
        <f>IF('M3 Allocations - TD'!AI8="","",'M3 Allocations - TD'!AI34)</f>
        <v>111417.50190042912</v>
      </c>
      <c r="AL57" s="20">
        <f>IF('M3 Allocations - TD'!AJ8="","",'M3 Allocations - TD'!AJ34)</f>
        <v>93253.892629017733</v>
      </c>
      <c r="AM57" s="20">
        <f>IF('M3 Allocations - TD'!AK8="","",'M3 Allocations - TD'!AK34)</f>
        <v>103488.5984224446</v>
      </c>
      <c r="AN57" s="20">
        <f>IF('M3 Allocations - TD'!AL8="","",'M3 Allocations - TD'!AL34)</f>
        <v>144414.82989089785</v>
      </c>
      <c r="AO57" s="20">
        <f>IF('M3 Allocations - TD'!AM8="","",'M3 Allocations - TD'!AM34)</f>
        <v>110066.63506595949</v>
      </c>
      <c r="AP57" s="20">
        <f>IF('M3 Allocations - TD'!AN8="","",'M3 Allocations - TD'!AN34)</f>
        <v>50328.1679847302</v>
      </c>
      <c r="AQ57" s="20">
        <f>IF('M3 Allocations - TD'!AO8="","",'M3 Allocations - TD'!AO34)</f>
        <v>48818.637830727937</v>
      </c>
      <c r="AR57" s="20">
        <f>IF('M3 Allocations - TD'!AP8="","",'M3 Allocations - TD'!AP34)</f>
        <v>69139.5977047872</v>
      </c>
      <c r="AS57" s="20">
        <f>IF('M3 Allocations - TD'!AQ8="","",'M3 Allocations - TD'!AQ34)</f>
        <v>204404.00741586328</v>
      </c>
      <c r="AT57" s="20">
        <f>IF('M3 Allocations - TD'!AR8="","",'M3 Allocations - TD'!AR34)</f>
        <v>281050.68735267245</v>
      </c>
      <c r="AU57" s="20">
        <f>IF('M3 Allocations - TD'!AS8="","",'M3 Allocations - TD'!AS34)</f>
        <v>243115.17544525067</v>
      </c>
      <c r="AV57" s="20">
        <f>IF('M3 Allocations - TD'!AT8="","",'M3 Allocations - TD'!AT34)</f>
        <v>160177.67633933009</v>
      </c>
      <c r="AW57" s="20">
        <f>IF('M3 Allocations - TD'!AU8="","",'M3 Allocations - TD'!AU34)</f>
        <v>71401.608823197399</v>
      </c>
      <c r="AX57" s="20">
        <f>IF('M3 Allocations - TD'!AV8="","",'M3 Allocations - TD'!AV34)</f>
        <v>68759.703767405808</v>
      </c>
      <c r="AY57" s="20">
        <f>IF('M3 Allocations - TD'!AW8="","",'M3 Allocations - TD'!AW34)</f>
        <v>79423.074388787179</v>
      </c>
      <c r="AZ57" s="20">
        <f>IF('M3 Allocations - TD'!AX8="","",'M3 Allocations - TD'!AX34)</f>
        <v>124152.16010630637</v>
      </c>
      <c r="BA57" s="20">
        <f>IF('M3 Allocations - TD'!AY8="","",'M3 Allocations - TD'!AY34)</f>
        <v>90652.290206343227</v>
      </c>
      <c r="BB57" s="20">
        <f>IF('M3 Allocations - TD'!AZ8="","",'M3 Allocations - TD'!AZ34)</f>
        <v>95391.182401412632</v>
      </c>
      <c r="BC57" s="20">
        <f>IF('M3 Allocations - TD'!BA8="","",'M3 Allocations - TD'!BA34)</f>
        <v>98092.186887780408</v>
      </c>
      <c r="BD57" s="20">
        <f>IF('M3 Allocations - TD'!BB8="","",'M3 Allocations - TD'!BB34)</f>
        <v>146238.88433112807</v>
      </c>
      <c r="BE57" s="20">
        <f>IF('M3 Allocations - TD'!BC8="","",'M3 Allocations - TD'!BC34)</f>
        <v>408596.36444724287</v>
      </c>
      <c r="BF57" s="20">
        <f>IF('M3 Allocations - TD'!BD8="","",'M3 Allocations - TD'!BD34)</f>
        <v>130017.57406535599</v>
      </c>
      <c r="BG57" s="20">
        <f>IF('M3 Allocations - TD'!BE8="","",'M3 Allocations - TD'!BE34)</f>
        <v>135925.39692325707</v>
      </c>
      <c r="BH57" s="20">
        <f>IF('M3 Allocations - TD'!BF8="","",'M3 Allocations - TD'!BF34)</f>
        <v>99875.595046319839</v>
      </c>
      <c r="BI57" s="20">
        <f>IF('M3 Allocations - TD'!BG8="","",'M3 Allocations - TD'!BG34)</f>
        <v>47172.903672076238</v>
      </c>
      <c r="BJ57" s="20">
        <f>IF('M3 Allocations - TD'!BH8="","",'M3 Allocations - TD'!BH34)</f>
        <v>49418.318001211912</v>
      </c>
      <c r="BK57" s="20">
        <f>IF('M3 Allocations - TD'!BI8="","",'M3 Allocations - TD'!BI34)</f>
        <v>61971.31365560359</v>
      </c>
      <c r="BL57" s="20">
        <f>IF('M3 Allocations - TD'!BJ8="","",'M3 Allocations - TD'!BJ34)</f>
        <v>100140.32783463651</v>
      </c>
      <c r="BM57" s="20">
        <f>IF('M3 Allocations - TD'!BK8="","",'M3 Allocations - TD'!BK34)</f>
        <v>68610.098480887449</v>
      </c>
      <c r="BN57" s="20">
        <f>IF('M3 Allocations - TD'!BL8="","",'M3 Allocations - TD'!BL34)</f>
        <v>73112.306140790664</v>
      </c>
      <c r="BO57" s="20">
        <f>IF('M3 Allocations - TD'!BM8="","",'M3 Allocations - TD'!BM34)</f>
        <v>69892.91956161111</v>
      </c>
      <c r="BP57" s="20">
        <f>IF('M3 Allocations - TD'!BN8="","",'M3 Allocations - TD'!BN34)</f>
        <v>99056.640281670465</v>
      </c>
      <c r="BQ57" s="20">
        <f>IF('M3 Allocations - TD'!BO8="","",'M3 Allocations - TD'!BO34)</f>
        <v>258498.69847281641</v>
      </c>
      <c r="BR57" s="20">
        <f>IF('M3 Allocations - TD'!BP8="","",'M3 Allocations - TD'!BP34)</f>
        <v>303959.92143258377</v>
      </c>
      <c r="BS57" s="20">
        <f>IF('M3 Allocations - TD'!BQ8="","",'M3 Allocations - TD'!BQ34)</f>
        <v>294161.07992542034</v>
      </c>
      <c r="BT57" s="20">
        <f>IF('M3 Allocations - TD'!BR8="","",'M3 Allocations - TD'!BR34)</f>
        <v>208587.29192292673</v>
      </c>
      <c r="BU57" s="20">
        <f>IF('M3 Allocations - TD'!BS8="","",'M3 Allocations - TD'!BS34)</f>
        <v>99425.405828224626</v>
      </c>
      <c r="BV57" s="20">
        <f>IF('M3 Allocations - TD'!BT8="","",'M3 Allocations - TD'!BT34)</f>
        <v>91295.116338149382</v>
      </c>
      <c r="BW57" s="20">
        <f>IF('M3 Allocations - TD'!BU8="","",'M3 Allocations - TD'!BU34)</f>
        <v>112244.64566505696</v>
      </c>
      <c r="BX57" s="20">
        <f>IF('M3 Allocations - TD'!BV8="","",'M3 Allocations - TD'!BV34)</f>
        <v>132382.9938109974</v>
      </c>
    </row>
    <row r="58" spans="1:76" s="4" customFormat="1" ht="15" hidden="1" customHeight="1" outlineLevel="1" x14ac:dyDescent="0.25">
      <c r="A58" s="292"/>
      <c r="B58" s="16" t="s">
        <v>26</v>
      </c>
      <c r="C58" s="94"/>
      <c r="D58" s="94"/>
      <c r="E58" s="94"/>
      <c r="F58" s="20">
        <f>IF('M3 Allocations - TD'!D54="","",'M3 Allocations - TD'!D72)</f>
        <v>0</v>
      </c>
      <c r="G58" s="20">
        <f>IF('M3 Allocations - TD'!E54="","",'M3 Allocations - TD'!E72)</f>
        <v>0</v>
      </c>
      <c r="H58" s="20">
        <f>IF('M3 Allocations - TD'!F54="","",'M3 Allocations - TD'!F72)</f>
        <v>2381.1324731369587</v>
      </c>
      <c r="I58" s="20">
        <f>IF('M3 Allocations - TD'!G54="","",'M3 Allocations - TD'!G72)</f>
        <v>41080.759711289073</v>
      </c>
      <c r="J58" s="20">
        <f>IF('M3 Allocations - TD'!H54="","",'M3 Allocations - TD'!H72)</f>
        <v>46620.227707662583</v>
      </c>
      <c r="K58" s="20">
        <f>IF('M3 Allocations - TD'!I54="","",'M3 Allocations - TD'!I72)</f>
        <v>48915.290383093015</v>
      </c>
      <c r="L58" s="20">
        <f>IF('M3 Allocations - TD'!J54="","",'M3 Allocations - TD'!J72)</f>
        <v>48689.064699160743</v>
      </c>
      <c r="M58" s="20">
        <f>IF('M3 Allocations - TD'!K54="","",'M3 Allocations - TD'!K72)</f>
        <v>45154.720570269681</v>
      </c>
      <c r="N58" s="20">
        <f>IF('M3 Allocations - TD'!L54="","",'M3 Allocations - TD'!L72)</f>
        <v>41515.04923810179</v>
      </c>
      <c r="O58" s="20">
        <f>IF('M3 Allocations - TD'!M54="","",'M3 Allocations - TD'!M72)</f>
        <v>41594.548478057877</v>
      </c>
      <c r="P58" s="20">
        <f>IF('M3 Allocations - TD'!N54="","",'M3 Allocations - TD'!N72)</f>
        <v>42743.649469302021</v>
      </c>
      <c r="Q58" s="20">
        <f>IF('M3 Allocations - TD'!O54="","",'M3 Allocations - TD'!O72)</f>
        <v>43471.756585125317</v>
      </c>
      <c r="R58" s="20">
        <f>IF('M3 Allocations - TD'!P54="","",'M3 Allocations - TD'!P72)</f>
        <v>37573.855689531287</v>
      </c>
      <c r="S58" s="20">
        <f>IF('M3 Allocations - TD'!Q54="","",'M3 Allocations - TD'!Q72)</f>
        <v>36905.295455925545</v>
      </c>
      <c r="T58" s="20">
        <f>IF('M3 Allocations - TD'!R54="","",'M3 Allocations - TD'!R72)</f>
        <v>34871.894488322658</v>
      </c>
      <c r="U58" s="20">
        <f>IF('M3 Allocations - TD'!S54="","",'M3 Allocations - TD'!S72)</f>
        <v>40727.091457001268</v>
      </c>
      <c r="V58" s="20">
        <f>IF('M3 Allocations - TD'!T54="","",'M3 Allocations - TD'!T72)</f>
        <v>42825.077518324979</v>
      </c>
      <c r="W58" s="20">
        <f>IF('M3 Allocations - TD'!U54="","",'M3 Allocations - TD'!U72)</f>
        <v>44954.202556147626</v>
      </c>
      <c r="X58" s="20">
        <f>IF('M3 Allocations - TD'!V54="","",'M3 Allocations - TD'!V72)</f>
        <v>45054.75137109276</v>
      </c>
      <c r="Y58" s="20">
        <f>IF('M3 Allocations - TD'!W54="","",'M3 Allocations - TD'!W72)</f>
        <v>40035.738044047088</v>
      </c>
      <c r="Z58" s="20">
        <f>IF('M3 Allocations - TD'!X54="","",'M3 Allocations - TD'!X72)</f>
        <v>39574.059026383933</v>
      </c>
      <c r="AA58" s="20">
        <f>IF('M3 Allocations - TD'!Y54="","",'M3 Allocations - TD'!Y72)</f>
        <v>41188.257144152223</v>
      </c>
      <c r="AB58" s="20">
        <f>IF('M3 Allocations - TD'!Z54="","",'M3 Allocations - TD'!Z72)</f>
        <v>40226.995717895465</v>
      </c>
      <c r="AC58" s="20">
        <f>IF('M3 Allocations - TD'!AA54="","",'M3 Allocations - TD'!AA72)</f>
        <v>108585.49808616596</v>
      </c>
      <c r="AD58" s="20">
        <f>IF('M3 Allocations - TD'!AB54="","",'M3 Allocations - TD'!AB72)</f>
        <v>181792.64072508441</v>
      </c>
      <c r="AE58" s="20">
        <f>IF('M3 Allocations - TD'!AC54="","",'M3 Allocations - TD'!AC72)</f>
        <v>183572.05910467496</v>
      </c>
      <c r="AF58" s="20">
        <f>IF('M3 Allocations - TD'!AD54="","",'M3 Allocations - TD'!AD72)</f>
        <v>190770.53370651661</v>
      </c>
      <c r="AG58" s="20">
        <f>IF('M3 Allocations - TD'!AE54="","",'M3 Allocations - TD'!AE72)</f>
        <v>183881.99525765545</v>
      </c>
      <c r="AH58" s="20">
        <f>IF('M3 Allocations - TD'!AF54="","",'M3 Allocations - TD'!AF72)</f>
        <v>245635.92921565124</v>
      </c>
      <c r="AI58" s="20">
        <f>IF('M3 Allocations - TD'!AG54="","",'M3 Allocations - TD'!AG72)</f>
        <v>225402.14448890529</v>
      </c>
      <c r="AJ58" s="20">
        <f>IF('M3 Allocations - TD'!AH54="","",'M3 Allocations - TD'!AH72)</f>
        <v>228315.5064563354</v>
      </c>
      <c r="AK58" s="20">
        <f>IF('M3 Allocations - TD'!AI54="","",'M3 Allocations - TD'!AI72)</f>
        <v>197613.76683715408</v>
      </c>
      <c r="AL58" s="20">
        <f>IF('M3 Allocations - TD'!AJ54="","",'M3 Allocations - TD'!AJ72)</f>
        <v>171603.607119394</v>
      </c>
      <c r="AM58" s="20">
        <f>IF('M3 Allocations - TD'!AK54="","",'M3 Allocations - TD'!AK72)</f>
        <v>225113.97993017494</v>
      </c>
      <c r="AN58" s="20">
        <f>IF('M3 Allocations - TD'!AL54="","",'M3 Allocations - TD'!AL72)</f>
        <v>217125.39653110137</v>
      </c>
      <c r="AO58" s="20">
        <f>IF('M3 Allocations - TD'!AM54="","",'M3 Allocations - TD'!AM72)</f>
        <v>162221.33538769459</v>
      </c>
      <c r="AP58" s="20">
        <f>IF('M3 Allocations - TD'!AN54="","",'M3 Allocations - TD'!AN72)</f>
        <v>84753.684454895163</v>
      </c>
      <c r="AQ58" s="20">
        <f>IF('M3 Allocations - TD'!AO54="","",'M3 Allocations - TD'!AO72)</f>
        <v>72198.807943159496</v>
      </c>
      <c r="AR58" s="20">
        <f>IF('M3 Allocations - TD'!AP54="","",'M3 Allocations - TD'!AP72)</f>
        <v>84979.402614517516</v>
      </c>
      <c r="AS58" s="20">
        <f>IF('M3 Allocations - TD'!AQ54="","",'M3 Allocations - TD'!AQ72)</f>
        <v>96900.261492082005</v>
      </c>
      <c r="AT58" s="20">
        <f>IF('M3 Allocations - TD'!AR54="","",'M3 Allocations - TD'!AR72)</f>
        <v>100482.39287136923</v>
      </c>
      <c r="AU58" s="20">
        <f>IF('M3 Allocations - TD'!AS54="","",'M3 Allocations - TD'!AS72)</f>
        <v>99567.440007197365</v>
      </c>
      <c r="AV58" s="20">
        <f>IF('M3 Allocations - TD'!AT54="","",'M3 Allocations - TD'!AT72)</f>
        <v>97105.740111514999</v>
      </c>
      <c r="AW58" s="20">
        <f>IF('M3 Allocations - TD'!AU54="","",'M3 Allocations - TD'!AU72)</f>
        <v>86103.564631792964</v>
      </c>
      <c r="AX58" s="20">
        <f>IF('M3 Allocations - TD'!AV54="","",'M3 Allocations - TD'!AV72)</f>
        <v>86765.912910017505</v>
      </c>
      <c r="AY58" s="20">
        <f>IF('M3 Allocations - TD'!AW54="","",'M3 Allocations - TD'!AW72)</f>
        <v>89195.654381293964</v>
      </c>
      <c r="AZ58" s="20">
        <f>IF('M3 Allocations - TD'!AX54="","",'M3 Allocations - TD'!AX72)</f>
        <v>84853.67359430436</v>
      </c>
      <c r="BA58" s="20">
        <f>IF('M3 Allocations - TD'!AY54="","",'M3 Allocations - TD'!AY72)</f>
        <v>116964.64095577589</v>
      </c>
      <c r="BB58" s="20">
        <f>IF('M3 Allocations - TD'!AZ54="","",'M3 Allocations - TD'!AZ72)</f>
        <v>189332.91154715291</v>
      </c>
      <c r="BC58" s="20">
        <f>IF('M3 Allocations - TD'!BA54="","",'M3 Allocations - TD'!BA72)</f>
        <v>196301.33578545341</v>
      </c>
      <c r="BD58" s="20">
        <f>IF('M3 Allocations - TD'!BB54="","",'M3 Allocations - TD'!BB72)</f>
        <v>196733.17904220874</v>
      </c>
      <c r="BE58" s="20">
        <f>IF('M3 Allocations - TD'!BC54="","",'M3 Allocations - TD'!BC72)</f>
        <v>205719.5189357409</v>
      </c>
      <c r="BF58" s="20">
        <f>IF('M3 Allocations - TD'!BD54="","",'M3 Allocations - TD'!BD72)</f>
        <v>210715.73838310986</v>
      </c>
      <c r="BG58" s="20">
        <f>IF('M3 Allocations - TD'!BE54="","",'M3 Allocations - TD'!BE72)</f>
        <v>238375.38279456849</v>
      </c>
      <c r="BH58" s="20">
        <f>IF('M3 Allocations - TD'!BF54="","",'M3 Allocations - TD'!BF72)</f>
        <v>227841.78131597498</v>
      </c>
      <c r="BI58" s="20">
        <f>IF('M3 Allocations - TD'!BG54="","",'M3 Allocations - TD'!BG72)</f>
        <v>197896.49528830158</v>
      </c>
      <c r="BJ58" s="20">
        <f>IF('M3 Allocations - TD'!BH54="","",'M3 Allocations - TD'!BH72)</f>
        <v>199204.41428746725</v>
      </c>
      <c r="BK58" s="20">
        <f>IF('M3 Allocations - TD'!BI54="","",'M3 Allocations - TD'!BI72)</f>
        <v>195080.60409575581</v>
      </c>
      <c r="BL58" s="20">
        <f>IF('M3 Allocations - TD'!BJ54="","",'M3 Allocations - TD'!BJ72)</f>
        <v>205676.46607758498</v>
      </c>
      <c r="BM58" s="20">
        <f>IF('M3 Allocations - TD'!BK54="","",'M3 Allocations - TD'!BK72)</f>
        <v>164528.34319845738</v>
      </c>
      <c r="BN58" s="20">
        <f>IF('M3 Allocations - TD'!BL54="","",'M3 Allocations - TD'!BL72)</f>
        <v>82355.750369557412</v>
      </c>
      <c r="BO58" s="20">
        <f>IF('M3 Allocations - TD'!BM54="","",'M3 Allocations - TD'!BM72)</f>
        <v>75136.769948506291</v>
      </c>
      <c r="BP58" s="20">
        <f>IF('M3 Allocations - TD'!BN54="","",'M3 Allocations - TD'!BN72)</f>
        <v>79020.330975310935</v>
      </c>
      <c r="BQ58" s="20">
        <f>IF('M3 Allocations - TD'!BO54="","",'M3 Allocations - TD'!BO72)</f>
        <v>86151.63231358421</v>
      </c>
      <c r="BR58" s="20">
        <f>IF('M3 Allocations - TD'!BP54="","",'M3 Allocations - TD'!BP72)</f>
        <v>92390.851174746815</v>
      </c>
      <c r="BS58" s="20">
        <f>IF('M3 Allocations - TD'!BQ54="","",'M3 Allocations - TD'!BQ72)</f>
        <v>87335.237425234605</v>
      </c>
      <c r="BT58" s="20">
        <f>IF('M3 Allocations - TD'!BR54="","",'M3 Allocations - TD'!BR72)</f>
        <v>85732.605078085864</v>
      </c>
      <c r="BU58" s="20">
        <f>IF('M3 Allocations - TD'!BS54="","",'M3 Allocations - TD'!BS72)</f>
        <v>84245.2067722707</v>
      </c>
      <c r="BV58" s="20">
        <f>IF('M3 Allocations - TD'!BT54="","",'M3 Allocations - TD'!BT72)</f>
        <v>80045.61282761168</v>
      </c>
      <c r="BW58" s="20">
        <f>IF('M3 Allocations - TD'!BU54="","",'M3 Allocations - TD'!BU72)</f>
        <v>84525.587720082898</v>
      </c>
      <c r="BX58" s="20">
        <f>IF('M3 Allocations - TD'!BV54="","",'M3 Allocations - TD'!BV72)</f>
        <v>88095.09078539873</v>
      </c>
    </row>
    <row r="59" spans="1:76" s="4" customFormat="1" ht="15" hidden="1" customHeight="1" outlineLevel="1" x14ac:dyDescent="0.25">
      <c r="A59" s="292"/>
      <c r="B59" s="16" t="s">
        <v>51</v>
      </c>
      <c r="C59" s="94"/>
      <c r="D59" s="94"/>
      <c r="E59" s="94"/>
      <c r="F59" s="20">
        <f>IF(F58="","",0)</f>
        <v>0</v>
      </c>
      <c r="G59" s="20">
        <f t="shared" ref="G59" si="566">IF(G58="","",0)</f>
        <v>0</v>
      </c>
      <c r="H59" s="20">
        <f t="shared" ref="H59" si="567">IF(H58="","",0)</f>
        <v>0</v>
      </c>
      <c r="I59" s="20">
        <f t="shared" ref="I59" si="568">IF(I58="","",0)</f>
        <v>0</v>
      </c>
      <c r="J59" s="20">
        <f t="shared" ref="J59" si="569">IF(J58="","",0)</f>
        <v>0</v>
      </c>
      <c r="K59" s="20">
        <f t="shared" ref="K59" si="570">IF(K58="","",0)</f>
        <v>0</v>
      </c>
      <c r="L59" s="20">
        <f t="shared" ref="L59" si="571">IF(L58="","",0)</f>
        <v>0</v>
      </c>
      <c r="M59" s="20">
        <f t="shared" ref="M59" si="572">IF(M58="","",0)</f>
        <v>0</v>
      </c>
      <c r="N59" s="20">
        <f t="shared" ref="N59" si="573">IF(N58="","",0)</f>
        <v>0</v>
      </c>
      <c r="O59" s="20">
        <f t="shared" ref="O59" si="574">IF(O58="","",0)</f>
        <v>0</v>
      </c>
      <c r="P59" s="20">
        <f t="shared" ref="P59" si="575">IF(P58="","",0)</f>
        <v>0</v>
      </c>
      <c r="Q59" s="20">
        <f>IF(Q58="","",-'M3 TD amort'!C29)</f>
        <v>20708.53</v>
      </c>
      <c r="R59" s="20">
        <f>IF(R58="","",-'M3 TD amort'!D29)</f>
        <v>17927.830000000002</v>
      </c>
      <c r="S59" s="20">
        <f>IF(S58="","",-'M3 TD amort'!E29)</f>
        <v>17511.97</v>
      </c>
      <c r="T59" s="20">
        <f>IF(T58="","",-'M3 TD amort'!F29)</f>
        <v>16485.95</v>
      </c>
      <c r="U59" s="20">
        <f>IF(U58="","",-'M3 TD amort'!G29)</f>
        <v>19200.04</v>
      </c>
      <c r="V59" s="20">
        <f>IF(V58="","",-'M3 TD amort'!H29)</f>
        <v>20208.66</v>
      </c>
      <c r="W59" s="20">
        <f>IF(W58="","",-'M3 TD amort'!I29)</f>
        <v>21182.03</v>
      </c>
      <c r="X59" s="20">
        <f>IF(X58="","",-'M3 TD amort'!J29)</f>
        <v>21187.42</v>
      </c>
      <c r="Y59" s="20">
        <f>IF(Y58="","",-'M3 TD amort'!K29)</f>
        <v>18832.849999999999</v>
      </c>
      <c r="Z59" s="20">
        <f>IF(Z58="","",-'M3 TD amort'!L29)</f>
        <v>18699.46</v>
      </c>
      <c r="AA59" s="20">
        <f>IF(AA58="","",-'M3 TD amort'!M29)</f>
        <v>19565.84</v>
      </c>
      <c r="AB59" s="20">
        <f>IF(AB58="","",-'M3 TD amort'!N29)</f>
        <v>19211.02</v>
      </c>
      <c r="AC59" s="20">
        <f>IF(AC58="","",-'M3 TD amort'!O29)</f>
        <v>-5225.53</v>
      </c>
      <c r="AD59" s="20">
        <f>IF(AD58="","",-'M3 TD amort'!P29)</f>
        <v>-8688.59</v>
      </c>
      <c r="AE59" s="20">
        <f>IF(AE58="","",-'M3 TD amort'!Q29)</f>
        <v>-8718.77</v>
      </c>
      <c r="AF59" s="20">
        <f>IF(AF58="","",-'M3 TD amort'!R29)</f>
        <v>-9032.2099999999991</v>
      </c>
      <c r="AG59" s="20">
        <f>IF(AG58="","",-'M3 TD amort'!S29)</f>
        <v>-8700.5300000000007</v>
      </c>
      <c r="AH59" s="20">
        <f>IF(AH58="","",-'M3 TD amort'!T29)</f>
        <v>-11631.74</v>
      </c>
      <c r="AI59" s="20">
        <f>IF(AI58="","",-'M3 TD amort'!U29)</f>
        <v>-10679.45</v>
      </c>
      <c r="AJ59" s="20">
        <f>IF(AJ58="","",-'M3 TD amort'!V29)</f>
        <v>-10815</v>
      </c>
      <c r="AK59" s="20">
        <f>IF(AK58="","",-'M3 TD amort'!W29)</f>
        <v>-9338.6</v>
      </c>
      <c r="AL59" s="20">
        <f>IF(AL58="","",-'M3 TD amort'!X29)</f>
        <v>-8146.01</v>
      </c>
      <c r="AM59" s="20">
        <f>IF(AM58="","",-'M3 TD amort'!Y29)</f>
        <v>-10707.36</v>
      </c>
      <c r="AN59" s="20">
        <f>IF(AN58="","",-'M3 TD amort'!Z29)</f>
        <v>-10340.290000000001</v>
      </c>
      <c r="AO59" s="20">
        <f>IF(AO58="","",-'M3 TD amort'!AA29)</f>
        <v>58728.46</v>
      </c>
      <c r="AP59" s="20">
        <f>IF(AP58="","",-'M3 TD amort'!AB29)</f>
        <v>30610.37</v>
      </c>
      <c r="AQ59" s="20">
        <f>IF(AQ58="","",-'M3 TD amort'!AC29)</f>
        <v>26134.63</v>
      </c>
      <c r="AR59" s="20">
        <f>IF(AR58="","",-'M3 TD amort'!AD29)</f>
        <v>30515.41</v>
      </c>
      <c r="AS59" s="20">
        <f>IF(AS58="","",-'M3 TD amort'!AE29)</f>
        <v>34741.599999999999</v>
      </c>
      <c r="AT59" s="20">
        <f>IF(AT58="","",-'M3 TD amort'!AF29)</f>
        <v>36119.75</v>
      </c>
      <c r="AU59" s="20">
        <f>IF(AU58="","",-'M3 TD amort'!AG29)</f>
        <v>35830</v>
      </c>
      <c r="AV59" s="20">
        <f>IF(AV58="","",-'M3 TD amort'!AH29)</f>
        <v>34903.65</v>
      </c>
      <c r="AW59" s="20">
        <f>IF(AW58="","",-'M3 TD amort'!AI29)</f>
        <v>30944.84</v>
      </c>
      <c r="AX59" s="20">
        <f>IF(AX58="","",-'M3 TD amort'!AJ29)</f>
        <v>31250.06</v>
      </c>
      <c r="AY59" s="20">
        <f>IF(AY58="","",-'M3 TD amort'!AK29)</f>
        <v>32438.34</v>
      </c>
      <c r="AZ59" s="20">
        <f>IF(AZ58="","",-'M3 TD amort'!AL29)</f>
        <v>30881.82</v>
      </c>
      <c r="BA59" s="20">
        <f>IF(BA58="","",-'M3 TD amort'!AM29)</f>
        <v>-314.94</v>
      </c>
      <c r="BB59" s="20">
        <f>IF(BB58="","",-'M3 TD amort'!AN29)</f>
        <v>-504.74</v>
      </c>
      <c r="BC59" s="20">
        <f>IF(BC58="","",-'M3 TD amort'!AO29)</f>
        <v>-522.91</v>
      </c>
      <c r="BD59" s="20">
        <f>IF(BD58="","",-'M3 TD amort'!AP29)</f>
        <v>-522.51</v>
      </c>
      <c r="BE59" s="20">
        <f>IF(BE58="","",-'M3 TD amort'!AQ29)</f>
        <v>-546.36</v>
      </c>
      <c r="BF59" s="20">
        <f>IF(BF58="","",-'M3 TD amort'!AR29)</f>
        <v>-560.33000000000004</v>
      </c>
      <c r="BG59" s="20">
        <f>IF(BG58="","",-'M3 TD amort'!AS29)</f>
        <v>-633.89</v>
      </c>
      <c r="BH59" s="20">
        <f>IF(BH58="","",-'M3 TD amort'!AT29)</f>
        <v>-605.76</v>
      </c>
      <c r="BI59" s="20">
        <f>IF(BI58="","",-'M3 TD amort'!AU29)</f>
        <v>-525.92999999999995</v>
      </c>
      <c r="BJ59" s="20">
        <f>IF(BJ58="","",-'M3 TD amort'!AV29)</f>
        <v>-529.66</v>
      </c>
      <c r="BK59" s="20">
        <f>IF(BK58="","",-'M3 TD amort'!AW29)</f>
        <v>-520.76</v>
      </c>
      <c r="BL59" s="20">
        <f>IF(BL58="","",-'M3 TD amort'!AX29)</f>
        <v>-550.14</v>
      </c>
      <c r="BM59" s="20">
        <f>IF(BM58="","",-'M3 TD amort'!AY29)</f>
        <v>158083.99</v>
      </c>
      <c r="BN59" s="20">
        <f>IF(BN58="","",-'M3 TD amort'!AZ29)</f>
        <v>78785.119999999995</v>
      </c>
      <c r="BO59" s="20">
        <f>IF(BO58="","",-'M3 TD amort'!BA29)</f>
        <v>71808.55</v>
      </c>
      <c r="BP59" s="20">
        <f>IF(BP58="","",-'M3 TD amort'!BB29)</f>
        <v>75310.320000000007</v>
      </c>
      <c r="BQ59" s="20">
        <f>IF(BQ58="","",-'M3 TD amort'!BC29)</f>
        <v>82106.87</v>
      </c>
      <c r="BR59" s="20">
        <f>IF(BR58="","",-'M3 TD amort'!BD29)</f>
        <v>88172.57</v>
      </c>
      <c r="BS59" s="20">
        <f>IF(BS58="","",-'M3 TD amort'!BE29)</f>
        <v>83326.080000000002</v>
      </c>
      <c r="BT59" s="20">
        <f>IF(BT58="","",-'M3 TD amort'!BF29)</f>
        <v>81760.44</v>
      </c>
      <c r="BU59" s="20">
        <f>IF(BU58="","",-'M3 TD amort'!BG29)</f>
        <v>80240.41</v>
      </c>
      <c r="BV59" s="20">
        <f>IF(BV58="","",-'M3 TD amort'!BH29)</f>
        <v>76428.600000000006</v>
      </c>
      <c r="BW59" s="20">
        <f>IF(BW58="","",-'M3 TD amort'!BI29)</f>
        <v>80808.77</v>
      </c>
      <c r="BX59" s="20">
        <f>IF(BX58="","",-'M3 TD amort'!BJ29)</f>
        <v>84301.94</v>
      </c>
    </row>
    <row r="60" spans="1:76" s="4" customFormat="1" ht="15" hidden="1" customHeight="1" outlineLevel="1" x14ac:dyDescent="0.25">
      <c r="A60" s="292"/>
      <c r="B60" s="16" t="s">
        <v>52</v>
      </c>
      <c r="C60" s="94"/>
      <c r="D60" s="94"/>
      <c r="E60" s="94"/>
      <c r="F60" s="7">
        <f t="shared" ref="F60:M60" si="576">IF(OR(F59="",F58=""),"",F58+F59)</f>
        <v>0</v>
      </c>
      <c r="G60" s="7">
        <f t="shared" si="576"/>
        <v>0</v>
      </c>
      <c r="H60" s="7">
        <f t="shared" si="576"/>
        <v>2381.1324731369587</v>
      </c>
      <c r="I60" s="7">
        <f t="shared" si="576"/>
        <v>41080.759711289073</v>
      </c>
      <c r="J60" s="7">
        <f t="shared" si="576"/>
        <v>46620.227707662583</v>
      </c>
      <c r="K60" s="7">
        <f t="shared" si="576"/>
        <v>48915.290383093015</v>
      </c>
      <c r="L60" s="7">
        <f t="shared" si="576"/>
        <v>48689.064699160743</v>
      </c>
      <c r="M60" s="7">
        <f t="shared" si="576"/>
        <v>45154.720570269681</v>
      </c>
      <c r="N60" s="7">
        <f>IF(OR(N59="",N58=""),"",N58+N59)</f>
        <v>41515.04923810179</v>
      </c>
      <c r="O60" s="7">
        <f t="shared" ref="O60:AE60" si="577">IF(OR(O59="",O58=""),"",O58+O59)</f>
        <v>41594.548478057877</v>
      </c>
      <c r="P60" s="7">
        <f t="shared" si="577"/>
        <v>42743.649469302021</v>
      </c>
      <c r="Q60" s="7">
        <f t="shared" si="577"/>
        <v>64180.286585125315</v>
      </c>
      <c r="R60" s="7">
        <f t="shared" si="577"/>
        <v>55501.685689531289</v>
      </c>
      <c r="S60" s="7">
        <f t="shared" si="577"/>
        <v>54417.265455925546</v>
      </c>
      <c r="T60" s="7">
        <f t="shared" si="577"/>
        <v>51357.844488322662</v>
      </c>
      <c r="U60" s="7">
        <f t="shared" si="577"/>
        <v>59927.131457001269</v>
      </c>
      <c r="V60" s="7">
        <f t="shared" si="577"/>
        <v>63033.737518324982</v>
      </c>
      <c r="W60" s="7">
        <f t="shared" si="577"/>
        <v>66136.232556147617</v>
      </c>
      <c r="X60" s="7">
        <f t="shared" si="577"/>
        <v>66242.171371092758</v>
      </c>
      <c r="Y60" s="7">
        <f t="shared" si="577"/>
        <v>58868.588044047086</v>
      </c>
      <c r="Z60" s="7">
        <f t="shared" si="577"/>
        <v>58273.519026383932</v>
      </c>
      <c r="AA60" s="7">
        <f t="shared" si="577"/>
        <v>60754.097144152227</v>
      </c>
      <c r="AB60" s="7">
        <f t="shared" si="577"/>
        <v>59438.015717895469</v>
      </c>
      <c r="AC60" s="7">
        <f t="shared" si="577"/>
        <v>103359.96808616596</v>
      </c>
      <c r="AD60" s="7">
        <f t="shared" si="577"/>
        <v>173104.05072508441</v>
      </c>
      <c r="AE60" s="7">
        <f t="shared" si="577"/>
        <v>174853.28910467497</v>
      </c>
      <c r="AF60" s="7">
        <f t="shared" ref="AF60:AW60" si="578">IF(OR(AF59="",AF58=""),"",AF58+AF59)</f>
        <v>181738.32370651662</v>
      </c>
      <c r="AG60" s="7">
        <f t="shared" si="578"/>
        <v>175181.46525765545</v>
      </c>
      <c r="AH60" s="7">
        <f t="shared" si="578"/>
        <v>234004.18921565125</v>
      </c>
      <c r="AI60" s="7">
        <f t="shared" si="578"/>
        <v>214722.69448890528</v>
      </c>
      <c r="AJ60" s="7">
        <f t="shared" si="578"/>
        <v>217500.5064563354</v>
      </c>
      <c r="AK60" s="7">
        <f t="shared" si="578"/>
        <v>188275.16683715407</v>
      </c>
      <c r="AL60" s="7">
        <f t="shared" si="578"/>
        <v>163457.59711939399</v>
      </c>
      <c r="AM60" s="7">
        <f t="shared" si="578"/>
        <v>214406.61993017496</v>
      </c>
      <c r="AN60" s="7">
        <f t="shared" si="578"/>
        <v>206785.10653110137</v>
      </c>
      <c r="AO60" s="7">
        <f t="shared" si="578"/>
        <v>220949.79538769458</v>
      </c>
      <c r="AP60" s="7">
        <f t="shared" si="578"/>
        <v>115364.05445489516</v>
      </c>
      <c r="AQ60" s="7">
        <f t="shared" si="578"/>
        <v>98333.437943159501</v>
      </c>
      <c r="AR60" s="7">
        <f t="shared" si="578"/>
        <v>115494.81261451752</v>
      </c>
      <c r="AS60" s="7">
        <f t="shared" si="578"/>
        <v>131641.86149208201</v>
      </c>
      <c r="AT60" s="7">
        <f t="shared" si="578"/>
        <v>136602.14287136923</v>
      </c>
      <c r="AU60" s="7">
        <f t="shared" si="578"/>
        <v>135397.44000719738</v>
      </c>
      <c r="AV60" s="7">
        <f t="shared" si="578"/>
        <v>132009.39011151501</v>
      </c>
      <c r="AW60" s="7">
        <f t="shared" si="578"/>
        <v>117048.40463179296</v>
      </c>
      <c r="AX60" s="7">
        <f t="shared" ref="AX60:AY60" si="579">IF(OR(AX59="",AX58=""),"",AX58+AX59)</f>
        <v>118015.9729100175</v>
      </c>
      <c r="AY60" s="7">
        <f t="shared" si="579"/>
        <v>121633.99438129396</v>
      </c>
      <c r="AZ60" s="7">
        <f t="shared" ref="AZ60:BA60" si="580">IF(OR(AZ59="",AZ58=""),"",AZ58+AZ59)</f>
        <v>115735.49359430437</v>
      </c>
      <c r="BA60" s="7">
        <f t="shared" si="580"/>
        <v>116649.70095577589</v>
      </c>
      <c r="BB60" s="7">
        <f t="shared" ref="BB60:BC60" si="581">IF(OR(BB59="",BB58=""),"",BB58+BB59)</f>
        <v>188828.17154715292</v>
      </c>
      <c r="BC60" s="7">
        <f t="shared" si="581"/>
        <v>195778.42578545341</v>
      </c>
      <c r="BD60" s="7">
        <f t="shared" ref="BD60:BE60" si="582">IF(OR(BD59="",BD58=""),"",BD58+BD59)</f>
        <v>196210.66904220873</v>
      </c>
      <c r="BE60" s="7">
        <f t="shared" si="582"/>
        <v>205173.15893574091</v>
      </c>
      <c r="BF60" s="7">
        <f t="shared" ref="BF60:BG60" si="583">IF(OR(BF59="",BF58=""),"",BF58+BF59)</f>
        <v>210155.40838310987</v>
      </c>
      <c r="BG60" s="7">
        <f t="shared" si="583"/>
        <v>237741.49279456848</v>
      </c>
      <c r="BH60" s="7">
        <f t="shared" ref="BH60:BI60" si="584">IF(OR(BH59="",BH58=""),"",BH58+BH59)</f>
        <v>227236.02131597497</v>
      </c>
      <c r="BI60" s="7">
        <f t="shared" si="584"/>
        <v>197370.56528830159</v>
      </c>
      <c r="BJ60" s="7">
        <f t="shared" ref="BJ60:BK60" si="585">IF(OR(BJ59="",BJ58=""),"",BJ58+BJ59)</f>
        <v>198674.75428746725</v>
      </c>
      <c r="BK60" s="7">
        <f t="shared" si="585"/>
        <v>194559.84409575581</v>
      </c>
      <c r="BL60" s="7">
        <f t="shared" ref="BL60:BM60" si="586">IF(OR(BL59="",BL58=""),"",BL58+BL59)</f>
        <v>205126.32607758496</v>
      </c>
      <c r="BM60" s="7">
        <f t="shared" si="586"/>
        <v>322612.33319845737</v>
      </c>
      <c r="BN60" s="7">
        <f t="shared" ref="BN60:BO60" si="587">IF(OR(BN59="",BN58=""),"",BN58+BN59)</f>
        <v>161140.87036955741</v>
      </c>
      <c r="BO60" s="7">
        <f t="shared" si="587"/>
        <v>146945.31994850631</v>
      </c>
      <c r="BP60" s="7">
        <f t="shared" ref="BP60:BQ60" si="588">IF(OR(BP59="",BP58=""),"",BP58+BP59)</f>
        <v>154330.65097531094</v>
      </c>
      <c r="BQ60" s="7">
        <f t="shared" si="588"/>
        <v>168258.50231358421</v>
      </c>
      <c r="BR60" s="7">
        <f t="shared" ref="BR60:BS60" si="589">IF(OR(BR59="",BR58=""),"",BR58+BR59)</f>
        <v>180563.42117474682</v>
      </c>
      <c r="BS60" s="7">
        <f t="shared" si="589"/>
        <v>170661.31742523459</v>
      </c>
      <c r="BT60" s="7">
        <f t="shared" ref="BT60:BU60" si="590">IF(OR(BT59="",BT58=""),"",BT58+BT59)</f>
        <v>167493.04507808585</v>
      </c>
      <c r="BU60" s="7">
        <f t="shared" si="590"/>
        <v>164485.6167722707</v>
      </c>
      <c r="BV60" s="7">
        <f t="shared" ref="BV60:BX60" si="591">IF(OR(BV59="",BV58=""),"",BV58+BV59)</f>
        <v>156474.21282761169</v>
      </c>
      <c r="BW60" s="7">
        <f t="shared" si="591"/>
        <v>165334.35772008292</v>
      </c>
      <c r="BX60" s="7">
        <f t="shared" si="591"/>
        <v>172397.03078539873</v>
      </c>
    </row>
    <row r="61" spans="1:76" s="4" customFormat="1" hidden="1" outlineLevel="1" x14ac:dyDescent="0.25">
      <c r="A61" s="292"/>
      <c r="B61" s="16" t="s">
        <v>13</v>
      </c>
      <c r="C61" s="94"/>
      <c r="D61" s="94"/>
      <c r="E61" s="94"/>
      <c r="F61" s="7">
        <f t="shared" ref="F61:M61" si="592">IF(OR(F58="",F57=""),"",F57-F58)</f>
        <v>0</v>
      </c>
      <c r="G61" s="7">
        <f t="shared" si="592"/>
        <v>9.4764517045030008</v>
      </c>
      <c r="H61" s="7">
        <f t="shared" si="592"/>
        <v>-1388.7476725055421</v>
      </c>
      <c r="I61" s="7">
        <f t="shared" si="592"/>
        <v>-33788.634873838782</v>
      </c>
      <c r="J61" s="7">
        <f t="shared" si="592"/>
        <v>-30625.282694978901</v>
      </c>
      <c r="K61" s="7">
        <f t="shared" si="592"/>
        <v>-31628.79776913585</v>
      </c>
      <c r="L61" s="7">
        <f t="shared" si="592"/>
        <v>-28095.429085728912</v>
      </c>
      <c r="M61" s="7">
        <f t="shared" si="592"/>
        <v>-31873.257504636691</v>
      </c>
      <c r="N61" s="7">
        <f>IF(OR(N60="",N57=""),"",N57-N60)</f>
        <v>-20880.89285591173</v>
      </c>
      <c r="O61" s="7">
        <f t="shared" ref="O61:AE61" si="593">IF(OR(O60="",O57=""),"",O57-O60)</f>
        <v>-23064.420173608989</v>
      </c>
      <c r="P61" s="7">
        <f t="shared" si="593"/>
        <v>-1423.2608784312615</v>
      </c>
      <c r="Q61" s="7">
        <f t="shared" si="593"/>
        <v>-34754.312339868906</v>
      </c>
      <c r="R61" s="7">
        <f t="shared" si="593"/>
        <v>-23336.537893722067</v>
      </c>
      <c r="S61" s="7">
        <f t="shared" si="593"/>
        <v>-33204.262082889327</v>
      </c>
      <c r="T61" s="7">
        <f t="shared" si="593"/>
        <v>-9962.8436834200766</v>
      </c>
      <c r="U61" s="7">
        <f t="shared" si="593"/>
        <v>33025.630506080146</v>
      </c>
      <c r="V61" s="7">
        <f t="shared" si="593"/>
        <v>60917.371644751765</v>
      </c>
      <c r="W61" s="7">
        <f t="shared" si="593"/>
        <v>56673.04545415286</v>
      </c>
      <c r="X61" s="7">
        <f t="shared" si="593"/>
        <v>29807.689967789847</v>
      </c>
      <c r="Y61" s="7">
        <f t="shared" si="593"/>
        <v>-7038.5842809724563</v>
      </c>
      <c r="Z61" s="7">
        <f t="shared" si="593"/>
        <v>-8695.0520385658892</v>
      </c>
      <c r="AA61" s="7">
        <f t="shared" si="593"/>
        <v>-9018.6843420362202</v>
      </c>
      <c r="AB61" s="7">
        <f t="shared" si="593"/>
        <v>31400.728559016949</v>
      </c>
      <c r="AC61" s="7">
        <f t="shared" si="593"/>
        <v>-37900.019203065363</v>
      </c>
      <c r="AD61" s="7">
        <f t="shared" si="593"/>
        <v>-101569.10620095585</v>
      </c>
      <c r="AE61" s="7">
        <f t="shared" si="593"/>
        <v>-103509.53133303807</v>
      </c>
      <c r="AF61" s="7">
        <f t="shared" ref="AF61:AV61" si="594">IF(OR(AF60="",AF57=""),"",AF57-AF60)</f>
        <v>-78442.013358746422</v>
      </c>
      <c r="AG61" s="7">
        <f t="shared" si="594"/>
        <v>81381.345943949855</v>
      </c>
      <c r="AH61" s="7">
        <f t="shared" si="594"/>
        <v>85474.889288604783</v>
      </c>
      <c r="AI61" s="7">
        <f t="shared" si="594"/>
        <v>95152.435426224227</v>
      </c>
      <c r="AJ61" s="7">
        <f t="shared" si="594"/>
        <v>-16832.010106525442</v>
      </c>
      <c r="AK61" s="7">
        <f t="shared" si="594"/>
        <v>-76857.664936724948</v>
      </c>
      <c r="AL61" s="7">
        <f t="shared" si="594"/>
        <v>-70203.704490376258</v>
      </c>
      <c r="AM61" s="7">
        <f t="shared" si="594"/>
        <v>-110918.02150773036</v>
      </c>
      <c r="AN61" s="7">
        <f t="shared" si="594"/>
        <v>-62370.276640203519</v>
      </c>
      <c r="AO61" s="7">
        <f t="shared" si="594"/>
        <v>-110883.16032173509</v>
      </c>
      <c r="AP61" s="7">
        <f t="shared" si="594"/>
        <v>-65035.886470164958</v>
      </c>
      <c r="AQ61" s="7">
        <f t="shared" si="594"/>
        <v>-49514.800112431563</v>
      </c>
      <c r="AR61" s="7">
        <f t="shared" si="594"/>
        <v>-46355.214909730319</v>
      </c>
      <c r="AS61" s="7">
        <f t="shared" si="594"/>
        <v>72762.145923781267</v>
      </c>
      <c r="AT61" s="7">
        <f t="shared" si="594"/>
        <v>144448.54448130322</v>
      </c>
      <c r="AU61" s="7">
        <f t="shared" si="594"/>
        <v>107717.73543805329</v>
      </c>
      <c r="AV61" s="7">
        <f t="shared" si="594"/>
        <v>28168.286227815086</v>
      </c>
      <c r="AW61" s="126">
        <f>IF(OR(AW60="",AW57=""),"",AW57-AW60)+AW56</f>
        <v>-22581.990307734537</v>
      </c>
      <c r="AX61" s="7">
        <f t="shared" ref="AX61:AY61" si="595">IF(OR(AX60="",AX57=""),"",AX57-AX60)</f>
        <v>-49256.269142611694</v>
      </c>
      <c r="AY61" s="7">
        <f t="shared" si="595"/>
        <v>-42210.919992506781</v>
      </c>
      <c r="AZ61" s="7">
        <f t="shared" ref="AZ61:BA61" si="596">IF(OR(AZ60="",AZ57=""),"",AZ57-AZ60)</f>
        <v>8416.6665120020043</v>
      </c>
      <c r="BA61" s="7">
        <f t="shared" si="596"/>
        <v>-25997.41074943266</v>
      </c>
      <c r="BB61" s="7">
        <f t="shared" ref="BB61:BC61" si="597">IF(OR(BB60="",BB57=""),"",BB57-BB60)</f>
        <v>-93436.989145740285</v>
      </c>
      <c r="BC61" s="7">
        <f t="shared" si="597"/>
        <v>-97686.238897673</v>
      </c>
      <c r="BD61" s="7">
        <f t="shared" ref="BD61:BE61" si="598">IF(OR(BD60="",BD57=""),"",BD57-BD60)</f>
        <v>-49971.784711080662</v>
      </c>
      <c r="BE61" s="7">
        <f t="shared" si="598"/>
        <v>203423.20551150196</v>
      </c>
      <c r="BF61" s="7">
        <f t="shared" ref="BF61:BG61" si="599">IF(OR(BF60="",BF57=""),"",BF57-BF60)</f>
        <v>-80137.834317753877</v>
      </c>
      <c r="BG61" s="7">
        <f t="shared" si="599"/>
        <v>-101816.09587131141</v>
      </c>
      <c r="BH61" s="7">
        <f t="shared" ref="BH61:BI61" si="600">IF(OR(BH60="",BH57=""),"",BH57-BH60)</f>
        <v>-127360.42626965513</v>
      </c>
      <c r="BI61" s="7">
        <f t="shared" si="600"/>
        <v>-150197.66161622535</v>
      </c>
      <c r="BJ61" s="7">
        <f t="shared" ref="BJ61:BK61" si="601">IF(OR(BJ60="",BJ57=""),"",BJ57-BJ60)</f>
        <v>-149256.43628625534</v>
      </c>
      <c r="BK61" s="7">
        <f t="shared" si="601"/>
        <v>-132588.53044015222</v>
      </c>
      <c r="BL61" s="7">
        <f t="shared" ref="BL61:BM61" si="602">IF(OR(BL60="",BL57=""),"",BL57-BL60)</f>
        <v>-104985.99824294845</v>
      </c>
      <c r="BM61" s="7">
        <f t="shared" si="602"/>
        <v>-254002.23471756993</v>
      </c>
      <c r="BN61" s="7">
        <f t="shared" ref="BN61:BO61" si="603">IF(OR(BN60="",BN57=""),"",BN57-BN60)</f>
        <v>-88028.564228766743</v>
      </c>
      <c r="BO61" s="7">
        <f t="shared" si="603"/>
        <v>-77052.400386895199</v>
      </c>
      <c r="BP61" s="7">
        <f t="shared" ref="BP61:BQ61" si="604">IF(OR(BP60="",BP57=""),"",BP57-BP60)</f>
        <v>-55274.010693640477</v>
      </c>
      <c r="BQ61" s="7">
        <f t="shared" si="604"/>
        <v>90240.196159232204</v>
      </c>
      <c r="BR61" s="7">
        <f t="shared" ref="BR61:BS61" si="605">IF(OR(BR60="",BR57=""),"",BR57-BR60)</f>
        <v>123396.50025783695</v>
      </c>
      <c r="BS61" s="7">
        <f t="shared" si="605"/>
        <v>123499.76250018575</v>
      </c>
      <c r="BT61" s="7">
        <f t="shared" ref="BT61:BU61" si="606">IF(OR(BT60="",BT57=""),"",BT57-BT60)</f>
        <v>41094.246844840876</v>
      </c>
      <c r="BU61" s="7">
        <f t="shared" si="606"/>
        <v>-65060.210944046077</v>
      </c>
      <c r="BV61" s="7">
        <f t="shared" ref="BV61:BX61" si="607">IF(OR(BV60="",BV57=""),"",BV57-BV60)</f>
        <v>-65179.096489462303</v>
      </c>
      <c r="BW61" s="7">
        <f t="shared" si="607"/>
        <v>-53089.712055025957</v>
      </c>
      <c r="BX61" s="7">
        <f t="shared" si="607"/>
        <v>-40014.03697440133</v>
      </c>
    </row>
    <row r="62" spans="1:76" s="4" customFormat="1" hidden="1" outlineLevel="1" x14ac:dyDescent="0.25">
      <c r="A62" s="292"/>
      <c r="B62" s="17" t="s">
        <v>8</v>
      </c>
      <c r="C62" s="94"/>
      <c r="D62" s="94"/>
      <c r="E62" s="94"/>
      <c r="F62" s="7">
        <f>IF(OR(F9="",F61=""),"",ROUND((F61+E64)*F9/12,2))</f>
        <v>0</v>
      </c>
      <c r="G62" s="7">
        <f t="shared" ref="G62:L62" si="608">IF(OR(G9="",G61=""),"",ROUND((G61+F64)*G9/12,2))</f>
        <v>0.02</v>
      </c>
      <c r="H62" s="7">
        <f t="shared" si="608"/>
        <v>-3.08</v>
      </c>
      <c r="I62" s="7">
        <f t="shared" si="608"/>
        <v>-77.67</v>
      </c>
      <c r="J62" s="7">
        <f t="shared" si="608"/>
        <v>-142.44999999999999</v>
      </c>
      <c r="K62" s="7">
        <f t="shared" si="608"/>
        <v>-191.32</v>
      </c>
      <c r="L62" s="7">
        <f t="shared" si="608"/>
        <v>-232.65</v>
      </c>
      <c r="M62" s="7">
        <f t="shared" ref="M62" si="609">IF(OR(M9="",M61=""),"",ROUND((M61+L64)*M9/12,2))</f>
        <v>-278.39999999999998</v>
      </c>
      <c r="N62" s="114">
        <f>IF(OR(N9="",N61=""),"",ROUND((N61+M64)*N9/12,2))+N56</f>
        <v>-224.61000000000007</v>
      </c>
      <c r="O62" s="7">
        <f t="shared" ref="O62" si="610">IF(OR(O9="",O61=""),"",ROUND((O61+N64)*O9/12,2))</f>
        <v>-323.17</v>
      </c>
      <c r="P62" s="7">
        <f t="shared" ref="P62" si="611">IF(OR(P9="",P61=""),"",ROUND((P61+O64)*P9/12,2))</f>
        <v>-321.51</v>
      </c>
      <c r="Q62" s="7">
        <f t="shared" ref="Q62:R62" si="612">IF(OR(Q9="",Q61=""),"",ROUND((Q61+P64)*Q9/12,2))</f>
        <v>-359.68</v>
      </c>
      <c r="R62" s="7">
        <f t="shared" si="612"/>
        <v>-381.33</v>
      </c>
      <c r="S62" s="7">
        <f t="shared" ref="S62" si="613">IF(OR(S9="",S61=""),"",ROUND((S61+R64)*S9/12,2))</f>
        <v>-201.73</v>
      </c>
      <c r="T62" s="7">
        <f t="shared" ref="T62" si="614">IF(OR(T9="",T61=""),"",ROUND((T61+S64)*T9/12,2))</f>
        <v>-26.95</v>
      </c>
      <c r="U62" s="7">
        <f t="shared" ref="U62" si="615">IF(OR(U9="",U61=""),"",ROUND((U61+T64)*U9/12,2))</f>
        <v>-21.06</v>
      </c>
      <c r="V62" s="7">
        <f t="shared" ref="V62" si="616">IF(OR(V9="",V61=""),"",ROUND((V61+U64)*V9/12,2))</f>
        <v>-19.53</v>
      </c>
      <c r="W62" s="7">
        <f t="shared" ref="W62:X62" si="617">IF(OR(W9="",W61=""),"",ROUND((W61+V64)*W9/12,2))</f>
        <v>-5.03</v>
      </c>
      <c r="X62" s="7">
        <f t="shared" si="617"/>
        <v>0.7</v>
      </c>
      <c r="Y62" s="7">
        <f t="shared" ref="Y62" si="618">IF(OR(Y9="",Y61=""),"",ROUND((Y61+X64)*Y9/12,2))</f>
        <v>3.5</v>
      </c>
      <c r="Z62" s="7">
        <f>IF(OR(Z9="",Z61=""),"",ROUND((Z59+Z61+Y64+Z56)*Z9/12,2))+Z56</f>
        <v>98.469999999999914</v>
      </c>
      <c r="AA62" s="7">
        <f>IF(OR(AA9="",AA61=""),"",ROUND((AA59+AA61+Z64)*AA9/12,2))</f>
        <v>14.34</v>
      </c>
      <c r="AB62" s="7">
        <f>IF(OR(AB9="",AB61=""),"",ROUND((AB59+AB61+AA64)*AB9/12,2))</f>
        <v>19.079999999999998</v>
      </c>
      <c r="AC62" s="7">
        <f t="shared" ref="AC62:AE62" si="619">IF(OR(AC9="",AC61=""),"",ROUND((AC59+AC61+AB64)*AC9/12,2))</f>
        <v>13.15</v>
      </c>
      <c r="AD62" s="7">
        <f t="shared" si="619"/>
        <v>-7.53</v>
      </c>
      <c r="AE62" s="7">
        <f t="shared" si="619"/>
        <v>-28.99</v>
      </c>
      <c r="AF62" s="7">
        <f t="shared" ref="AF62" si="620">IF(OR(AF9="",AF61=""),"",ROUND((AF59+AF61+AE64)*AF9/12,2))</f>
        <v>-45.23</v>
      </c>
      <c r="AG62" s="7">
        <f t="shared" ref="AG62" si="621">IF(OR(AG9="",AG61=""),"",ROUND((AG59+AG61+AF64)*AG9/12,2))</f>
        <v>-28.46</v>
      </c>
      <c r="AH62" s="7">
        <f t="shared" ref="AH62" si="622">IF(OR(AH9="",AH61=""),"",ROUND((AH59+AH61+AG64)*AH9/12,2))</f>
        <v>-11.11</v>
      </c>
      <c r="AI62" s="7">
        <f t="shared" ref="AI62" si="623">IF(OR(AI9="",AI61=""),"",ROUND((AI59+AI61+AH64)*AI9/12,2))</f>
        <v>-1.9</v>
      </c>
      <c r="AJ62" s="7">
        <f t="shared" ref="AJ62" si="624">IF(OR(AJ9="",AJ61=""),"",ROUND((AJ59+AJ61+AI64)*AJ9/12,2))</f>
        <v>-6.24</v>
      </c>
      <c r="AK62" s="7">
        <f t="shared" ref="AK62" si="625">IF(OR(AK9="",AK61=""),"",ROUND((AK59+AK61+AJ64)*AK9/12,2))</f>
        <v>-15.62</v>
      </c>
      <c r="AL62" s="7">
        <f t="shared" ref="AL62" si="626">IF(OR(AL9="",AL61=""),"",ROUND((AL59+AL61+AK64)*AL9/12,2))</f>
        <v>-25.96</v>
      </c>
      <c r="AM62" s="7">
        <f t="shared" ref="AM62" si="627">IF(OR(AM9="",AM61=""),"",ROUND((AM59+AM61+AL64)*AM9/12,2))</f>
        <v>-70.53</v>
      </c>
      <c r="AN62" s="7">
        <f t="shared" ref="AN62" si="628">IF(OR(AN9="",AN61=""),"",ROUND((AN59+AN61+AM64)*AN9/12,2))</f>
        <v>-77.709999999999994</v>
      </c>
      <c r="AO62" s="7">
        <f t="shared" ref="AO62" si="629">IF(OR(AO9="",AO61=""),"",ROUND((AO59+AO61+AN64)*AO9/12,2))</f>
        <v>-110.94</v>
      </c>
      <c r="AP62" s="7">
        <f t="shared" ref="AP62" si="630">IF(OR(AP9="",AP61=""),"",ROUND((AP59+AP61+AO64)*AP9/12,2))</f>
        <v>-277.91000000000003</v>
      </c>
      <c r="AQ62" s="7">
        <f t="shared" ref="AQ62" si="631">IF(OR(AQ9="",AQ61=""),"",ROUND((AQ59+AQ61+AP64)*AQ9/12,2))</f>
        <v>-254.26</v>
      </c>
      <c r="AR62" s="7">
        <f t="shared" ref="AR62" si="632">IF(OR(AR9="",AR61=""),"",ROUND((AR59+AR61+AQ64)*AR9/12,2))</f>
        <v>-414.91</v>
      </c>
      <c r="AS62" s="7">
        <f t="shared" ref="AS62" si="633">IF(OR(AS9="",AS61=""),"",ROUND((AS59+AS61+AR64)*AS9/12,2))</f>
        <v>-516.55999999999995</v>
      </c>
      <c r="AT62" s="7">
        <f t="shared" ref="AT62" si="634">IF(OR(AT9="",AT61=""),"",ROUND((AT59+AT61+AS64)*AT9/12,2))</f>
        <v>-406.41</v>
      </c>
      <c r="AU62" s="7">
        <f t="shared" ref="AU62" si="635">IF(OR(AU9="",AU61=""),"",ROUND((AU59+AU61+AT64)*AU9/12,2))</f>
        <v>-200.81</v>
      </c>
      <c r="AV62" s="7">
        <f t="shared" ref="AV62" si="636">IF(OR(AV9="",AV61=""),"",ROUND((AV59+AV61+AU64)*AV9/12,2))</f>
        <v>-73.67</v>
      </c>
      <c r="AW62" s="7">
        <f t="shared" ref="AW62:AX62" si="637">IF(OR(AW9="",AW61=""),"",ROUND((AW59+AW61+AV64)*AW9/12,2))</f>
        <v>-66</v>
      </c>
      <c r="AX62" s="7">
        <f t="shared" si="637"/>
        <v>-146.07</v>
      </c>
      <c r="AY62" s="7">
        <f>IF(OR(AY9="",AY61=""),"",ROUND((AY59+AY61+AX64)*AY9/12,2))</f>
        <v>-195.53</v>
      </c>
      <c r="AZ62" s="114">
        <f>IF(OR(AZ9="",AZ61=""),"",ROUND((AZ59+AZ61+AY64+AZ56)*AZ9/12,2))+AZ56</f>
        <v>-51.070000000000128</v>
      </c>
      <c r="BA62" s="114">
        <f t="shared" ref="BA62:BL62" si="638">IF(OR(BA9="",BA61=""),"",ROUND((BA59+BA61+AZ64)*BA9/12,2))</f>
        <v>-153.82</v>
      </c>
      <c r="BB62" s="114">
        <f t="shared" si="638"/>
        <v>-549.54</v>
      </c>
      <c r="BC62" s="114">
        <f t="shared" si="638"/>
        <v>-1010.06</v>
      </c>
      <c r="BD62" s="114">
        <f t="shared" si="638"/>
        <v>-1253.71</v>
      </c>
      <c r="BE62" s="114">
        <f t="shared" si="638"/>
        <v>-363.29</v>
      </c>
      <c r="BF62" s="114">
        <f t="shared" si="638"/>
        <v>-734.17</v>
      </c>
      <c r="BG62" s="114">
        <f t="shared" si="638"/>
        <v>-1219.3599999999999</v>
      </c>
      <c r="BH62" s="114">
        <f t="shared" si="638"/>
        <v>-1818.48</v>
      </c>
      <c r="BI62" s="114">
        <f t="shared" si="638"/>
        <v>-2514.04</v>
      </c>
      <c r="BJ62" s="114">
        <f t="shared" si="638"/>
        <v>-3237.95</v>
      </c>
      <c r="BK62" s="114">
        <f t="shared" si="638"/>
        <v>-3862.17</v>
      </c>
      <c r="BL62" s="114">
        <f t="shared" si="638"/>
        <v>-4234.66</v>
      </c>
      <c r="BM62" s="272">
        <f>IF(OR(BM9="",BM61=""),"",ROUND((BM59+BM61+BL64+BM56)*BM9/12,2))</f>
        <v>-4647.53</v>
      </c>
      <c r="BN62" s="114">
        <f t="shared" ref="BN62:BU62" si="639">IF(OR(BN9="",BN61=""),"",ROUND((BN59+BN61+BM64)*BN9/12,2))</f>
        <v>-4754.8500000000004</v>
      </c>
      <c r="BO62" s="114">
        <f t="shared" si="639"/>
        <v>-4863.34</v>
      </c>
      <c r="BP62" s="114">
        <f t="shared" si="639"/>
        <v>-4784.93</v>
      </c>
      <c r="BQ62" s="114">
        <f t="shared" si="639"/>
        <v>-4064.3</v>
      </c>
      <c r="BR62" s="114">
        <f t="shared" si="639"/>
        <v>-3120.1</v>
      </c>
      <c r="BS62" s="114">
        <f t="shared" si="639"/>
        <v>-2165.84</v>
      </c>
      <c r="BT62" s="114">
        <f t="shared" si="639"/>
        <v>-1531.59</v>
      </c>
      <c r="BU62" s="114">
        <f t="shared" si="639"/>
        <v>-1370.14</v>
      </c>
      <c r="BV62" s="114">
        <f t="shared" ref="BV62" si="640">IF(OR(BV9="",BV61=""),"",ROUND((BV59+BV61+BU64)*BV9/12,2))</f>
        <v>-1329.46</v>
      </c>
      <c r="BW62" s="114">
        <f t="shared" ref="BW62" si="641">IF(OR(BW9="",BW61=""),"",ROUND((BW59+BW61+BV64)*BW9/12,2))</f>
        <v>-1220.81</v>
      </c>
      <c r="BX62" s="114">
        <f t="shared" ref="BX62" si="642">IF(OR(BX9="",BX61=""),"",ROUND((BX59+BX61+BW64)*BX9/12,2))</f>
        <v>-1043.49</v>
      </c>
    </row>
    <row r="63" spans="1:76" s="4" customFormat="1" hidden="1" outlineLevel="1" x14ac:dyDescent="0.25">
      <c r="A63" s="292"/>
      <c r="B63" s="16" t="s">
        <v>14</v>
      </c>
      <c r="C63" s="94"/>
      <c r="D63" s="94"/>
      <c r="E63" s="94"/>
      <c r="F63" s="7">
        <f t="shared" ref="F63:M63" si="643">IF(OR(F61="",F62=""),"",F61+F62)</f>
        <v>0</v>
      </c>
      <c r="G63" s="7">
        <f t="shared" si="643"/>
        <v>9.4964517045030004</v>
      </c>
      <c r="H63" s="7">
        <f t="shared" si="643"/>
        <v>-1391.8276725055421</v>
      </c>
      <c r="I63" s="7">
        <f t="shared" si="643"/>
        <v>-33866.304873838781</v>
      </c>
      <c r="J63" s="7">
        <f t="shared" si="643"/>
        <v>-30767.732694978902</v>
      </c>
      <c r="K63" s="7">
        <f t="shared" si="643"/>
        <v>-31820.11776913585</v>
      </c>
      <c r="L63" s="7">
        <f t="shared" si="643"/>
        <v>-28328.079085728914</v>
      </c>
      <c r="M63" s="7">
        <f t="shared" si="643"/>
        <v>-32151.657504636692</v>
      </c>
      <c r="N63" s="7">
        <f>IF(OR(N61="",N62=""),"",N61+N62)</f>
        <v>-21105.502855911731</v>
      </c>
      <c r="O63" s="7">
        <f t="shared" ref="O63:AE63" si="644">IF(OR(O61="",O62=""),"",O61+O62)</f>
        <v>-23387.590173608987</v>
      </c>
      <c r="P63" s="7">
        <f t="shared" si="644"/>
        <v>-1744.7708784312615</v>
      </c>
      <c r="Q63" s="7">
        <f t="shared" si="644"/>
        <v>-35113.992339868906</v>
      </c>
      <c r="R63" s="7">
        <f t="shared" si="644"/>
        <v>-23717.867893722068</v>
      </c>
      <c r="S63" s="7">
        <f t="shared" si="644"/>
        <v>-33405.99208288933</v>
      </c>
      <c r="T63" s="7">
        <f t="shared" si="644"/>
        <v>-9989.7936834200773</v>
      </c>
      <c r="U63" s="7">
        <f t="shared" si="644"/>
        <v>33004.570506080148</v>
      </c>
      <c r="V63" s="7">
        <f t="shared" si="644"/>
        <v>60897.841644751767</v>
      </c>
      <c r="W63" s="7">
        <f t="shared" si="644"/>
        <v>56668.015454152861</v>
      </c>
      <c r="X63" s="7">
        <f t="shared" si="644"/>
        <v>29808.389967789848</v>
      </c>
      <c r="Y63" s="7">
        <f t="shared" si="644"/>
        <v>-7035.0842809724563</v>
      </c>
      <c r="Z63" s="7">
        <f>IF(OR(Z61="",Z62=""),"",Z61+Z62)</f>
        <v>-8596.5820385658899</v>
      </c>
      <c r="AA63" s="7">
        <f t="shared" si="644"/>
        <v>-9004.34434203622</v>
      </c>
      <c r="AB63" s="7">
        <f t="shared" si="644"/>
        <v>31419.80855901695</v>
      </c>
      <c r="AC63" s="7">
        <f t="shared" si="644"/>
        <v>-37886.869203065362</v>
      </c>
      <c r="AD63" s="7">
        <f t="shared" si="644"/>
        <v>-101576.63620095585</v>
      </c>
      <c r="AE63" s="7">
        <f t="shared" si="644"/>
        <v>-103538.52133303808</v>
      </c>
      <c r="AF63" s="7">
        <f t="shared" ref="AF63:AW63" si="645">IF(OR(AF61="",AF62=""),"",AF61+AF62)</f>
        <v>-78487.243358746418</v>
      </c>
      <c r="AG63" s="7">
        <f t="shared" si="645"/>
        <v>81352.885943949848</v>
      </c>
      <c r="AH63" s="7">
        <f t="shared" si="645"/>
        <v>85463.779288604783</v>
      </c>
      <c r="AI63" s="7">
        <f t="shared" si="645"/>
        <v>95150.535426224233</v>
      </c>
      <c r="AJ63" s="7">
        <f t="shared" si="645"/>
        <v>-16838.250106525444</v>
      </c>
      <c r="AK63" s="7">
        <f t="shared" si="645"/>
        <v>-76873.284936724944</v>
      </c>
      <c r="AL63" s="7">
        <f t="shared" si="645"/>
        <v>-70229.664490376264</v>
      </c>
      <c r="AM63" s="7">
        <f t="shared" si="645"/>
        <v>-110988.55150773036</v>
      </c>
      <c r="AN63" s="7">
        <f t="shared" si="645"/>
        <v>-62447.986640203519</v>
      </c>
      <c r="AO63" s="7">
        <f t="shared" si="645"/>
        <v>-110994.1003217351</v>
      </c>
      <c r="AP63" s="7">
        <f t="shared" si="645"/>
        <v>-65313.796470164962</v>
      </c>
      <c r="AQ63" s="7">
        <f t="shared" si="645"/>
        <v>-49769.060112431565</v>
      </c>
      <c r="AR63" s="7">
        <f t="shared" si="645"/>
        <v>-46770.124909730323</v>
      </c>
      <c r="AS63" s="7">
        <f t="shared" si="645"/>
        <v>72245.585923781269</v>
      </c>
      <c r="AT63" s="7">
        <f t="shared" si="645"/>
        <v>144042.13448130322</v>
      </c>
      <c r="AU63" s="7">
        <f t="shared" si="645"/>
        <v>107516.92543805329</v>
      </c>
      <c r="AV63" s="7">
        <f t="shared" si="645"/>
        <v>28094.616227815088</v>
      </c>
      <c r="AW63" s="7">
        <f t="shared" si="645"/>
        <v>-22647.990307734537</v>
      </c>
      <c r="AX63" s="7">
        <f t="shared" ref="AX63:AY63" si="646">IF(OR(AX61="",AX62=""),"",AX61+AX62)</f>
        <v>-49402.339142611694</v>
      </c>
      <c r="AY63" s="7">
        <f t="shared" si="646"/>
        <v>-42406.449992506779</v>
      </c>
      <c r="AZ63" s="7">
        <f t="shared" ref="AZ63:BA63" si="647">IF(OR(AZ61="",AZ62=""),"",AZ61+AZ62)</f>
        <v>8365.5965120020046</v>
      </c>
      <c r="BA63" s="7">
        <f t="shared" si="647"/>
        <v>-26151.23074943266</v>
      </c>
      <c r="BB63" s="7">
        <f t="shared" ref="BB63:BC63" si="648">IF(OR(BB61="",BB62=""),"",BB61+BB62)</f>
        <v>-93986.529145740278</v>
      </c>
      <c r="BC63" s="7">
        <f t="shared" si="648"/>
        <v>-98696.298897672998</v>
      </c>
      <c r="BD63" s="7">
        <f t="shared" ref="BD63:BE63" si="649">IF(OR(BD61="",BD62=""),"",BD61+BD62)</f>
        <v>-51225.494711080661</v>
      </c>
      <c r="BE63" s="7">
        <f t="shared" si="649"/>
        <v>203059.91551150195</v>
      </c>
      <c r="BF63" s="7">
        <f t="shared" ref="BF63:BG63" si="650">IF(OR(BF61="",BF62=""),"",BF61+BF62)</f>
        <v>-80872.004317753876</v>
      </c>
      <c r="BG63" s="7">
        <f t="shared" si="650"/>
        <v>-103035.45587131141</v>
      </c>
      <c r="BH63" s="7">
        <f t="shared" ref="BH63:BI63" si="651">IF(OR(BH61="",BH62=""),"",BH61+BH62)</f>
        <v>-129178.90626965513</v>
      </c>
      <c r="BI63" s="7">
        <f t="shared" si="651"/>
        <v>-152711.70161622536</v>
      </c>
      <c r="BJ63" s="7">
        <f t="shared" ref="BJ63:BK63" si="652">IF(OR(BJ61="",BJ62=""),"",BJ61+BJ62)</f>
        <v>-152494.38628625535</v>
      </c>
      <c r="BK63" s="7">
        <f t="shared" si="652"/>
        <v>-136450.70044015223</v>
      </c>
      <c r="BL63" s="7">
        <f t="shared" ref="BL63:BM63" si="653">IF(OR(BL61="",BL62=""),"",BL61+BL62)</f>
        <v>-109220.65824294846</v>
      </c>
      <c r="BM63" s="7">
        <f t="shared" si="653"/>
        <v>-258649.76471756992</v>
      </c>
      <c r="BN63" s="7">
        <f t="shared" ref="BN63:BO63" si="654">IF(OR(BN61="",BN62=""),"",BN61+BN62)</f>
        <v>-92783.414228766749</v>
      </c>
      <c r="BO63" s="7">
        <f t="shared" si="654"/>
        <v>-81915.740386895195</v>
      </c>
      <c r="BP63" s="7">
        <f t="shared" ref="BP63:BQ63" si="655">IF(OR(BP61="",BP62=""),"",BP61+BP62)</f>
        <v>-60058.940693640478</v>
      </c>
      <c r="BQ63" s="7">
        <f t="shared" si="655"/>
        <v>86175.896159232201</v>
      </c>
      <c r="BR63" s="7">
        <f t="shared" ref="BR63:BS63" si="656">IF(OR(BR61="",BR62=""),"",BR61+BR62)</f>
        <v>120276.40025783694</v>
      </c>
      <c r="BS63" s="7">
        <f t="shared" si="656"/>
        <v>121333.92250018576</v>
      </c>
      <c r="BT63" s="7">
        <f t="shared" ref="BT63:BU63" si="657">IF(OR(BT61="",BT62=""),"",BT61+BT62)</f>
        <v>39562.65684484088</v>
      </c>
      <c r="BU63" s="7">
        <f t="shared" si="657"/>
        <v>-66430.350944046077</v>
      </c>
      <c r="BV63" s="7">
        <f t="shared" ref="BV63:BX63" si="658">IF(OR(BV61="",BV62=""),"",BV61+BV62)</f>
        <v>-66508.556489462309</v>
      </c>
      <c r="BW63" s="7">
        <f t="shared" si="658"/>
        <v>-54310.522055025955</v>
      </c>
      <c r="BX63" s="7">
        <f t="shared" si="658"/>
        <v>-41057.526974401328</v>
      </c>
    </row>
    <row r="64" spans="1:76" s="4" customFormat="1" hidden="1" outlineLevel="1" x14ac:dyDescent="0.25">
      <c r="A64" s="292"/>
      <c r="B64" s="18" t="s">
        <v>18</v>
      </c>
      <c r="C64" s="94"/>
      <c r="D64" s="94"/>
      <c r="E64" s="94"/>
      <c r="F64" s="7">
        <f>IF(OR(F63=""),"",F63)</f>
        <v>0</v>
      </c>
      <c r="G64" s="7">
        <f t="shared" ref="G64:M64" si="659">IF(OR(G63="",F64=""),"",G63+F64)</f>
        <v>9.4964517045030004</v>
      </c>
      <c r="H64" s="7">
        <f t="shared" si="659"/>
        <v>-1382.3312208010391</v>
      </c>
      <c r="I64" s="7">
        <f t="shared" si="659"/>
        <v>-35248.63609463982</v>
      </c>
      <c r="J64" s="7">
        <f t="shared" si="659"/>
        <v>-66016.368789618718</v>
      </c>
      <c r="K64" s="7">
        <f t="shared" si="659"/>
        <v>-97836.486558754565</v>
      </c>
      <c r="L64" s="7">
        <f t="shared" si="659"/>
        <v>-126164.56564448347</v>
      </c>
      <c r="M64" s="7">
        <f t="shared" si="659"/>
        <v>-158316.22314912017</v>
      </c>
      <c r="N64" s="7">
        <f>IF(OR(N63="",M64=""),"",N63+N59+M64)</f>
        <v>-179421.7260050319</v>
      </c>
      <c r="O64" s="7">
        <f>IF(OR(O63="",N64=""),"",O63+O59+N64)</f>
        <v>-202809.31617864087</v>
      </c>
      <c r="P64" s="7">
        <f t="shared" ref="P64:AE64" si="660">IF(OR(P63="",O64=""),"",P63+P59+O64)</f>
        <v>-204554.08705707215</v>
      </c>
      <c r="Q64" s="7">
        <f t="shared" si="660"/>
        <v>-218959.54939694106</v>
      </c>
      <c r="R64" s="7">
        <f t="shared" si="660"/>
        <v>-224749.58729066313</v>
      </c>
      <c r="S64" s="7">
        <f t="shared" si="660"/>
        <v>-240643.60937355246</v>
      </c>
      <c r="T64" s="7">
        <f t="shared" si="660"/>
        <v>-234147.45305697253</v>
      </c>
      <c r="U64" s="7">
        <f t="shared" si="660"/>
        <v>-181942.84255089238</v>
      </c>
      <c r="V64" s="7">
        <f t="shared" si="660"/>
        <v>-100836.34090614061</v>
      </c>
      <c r="W64" s="7">
        <f t="shared" si="660"/>
        <v>-22986.295451987753</v>
      </c>
      <c r="X64" s="7">
        <f t="shared" si="660"/>
        <v>28009.51451580209</v>
      </c>
      <c r="Y64" s="7">
        <f t="shared" si="660"/>
        <v>39807.280234829632</v>
      </c>
      <c r="Z64" s="7">
        <f t="shared" si="660"/>
        <v>49910.158196263743</v>
      </c>
      <c r="AA64" s="7">
        <f t="shared" si="660"/>
        <v>60471.653854227523</v>
      </c>
      <c r="AB64" s="7">
        <f t="shared" si="660"/>
        <v>111102.48241324448</v>
      </c>
      <c r="AC64" s="7">
        <f t="shared" si="660"/>
        <v>67990.083210179117</v>
      </c>
      <c r="AD64" s="7">
        <f t="shared" si="660"/>
        <v>-42275.142990776731</v>
      </c>
      <c r="AE64" s="7">
        <f t="shared" si="660"/>
        <v>-154532.43432381481</v>
      </c>
      <c r="AF64" s="7">
        <f t="shared" ref="AF64" si="661">IF(OR(AF63="",AE64=""),"",AF63+AF59+AE64)</f>
        <v>-242051.88768256124</v>
      </c>
      <c r="AG64" s="7">
        <f t="shared" ref="AG64" si="662">IF(OR(AG63="",AF64=""),"",AG63+AG59+AF64)</f>
        <v>-169399.5317386114</v>
      </c>
      <c r="AH64" s="7">
        <f t="shared" ref="AH64" si="663">IF(OR(AH63="",AG64=""),"",AH63+AH59+AG64)</f>
        <v>-95567.492450006626</v>
      </c>
      <c r="AI64" s="7">
        <f t="shared" ref="AI64" si="664">IF(OR(AI63="",AH64=""),"",AI63+AI59+AH64)</f>
        <v>-11096.407023782391</v>
      </c>
      <c r="AJ64" s="7">
        <f t="shared" ref="AJ64" si="665">IF(OR(AJ63="",AI64=""),"",AJ63+AJ59+AI64)</f>
        <v>-38749.657130307838</v>
      </c>
      <c r="AK64" s="7">
        <f t="shared" ref="AK64" si="666">IF(OR(AK63="",AJ64=""),"",AK63+AK59+AJ64)</f>
        <v>-124961.54206703279</v>
      </c>
      <c r="AL64" s="7">
        <f t="shared" ref="AL64" si="667">IF(OR(AL63="",AK64=""),"",AL63+AL59+AK64)</f>
        <v>-203337.21655740903</v>
      </c>
      <c r="AM64" s="7">
        <f t="shared" ref="AM64" si="668">IF(OR(AM63="",AL64=""),"",AM63+AM59+AL64)</f>
        <v>-325033.1280651394</v>
      </c>
      <c r="AN64" s="7">
        <f t="shared" ref="AN64" si="669">IF(OR(AN63="",AM64=""),"",AN63+AN59+AM64)</f>
        <v>-397821.40470534295</v>
      </c>
      <c r="AO64" s="7">
        <f t="shared" ref="AO64" si="670">IF(OR(AO63="",AN64=""),"",AO63+AO59+AN64)</f>
        <v>-450087.04502707807</v>
      </c>
      <c r="AP64" s="7">
        <f t="shared" ref="AP64" si="671">IF(OR(AP63="",AO64=""),"",AP63+AP59+AO64)</f>
        <v>-484790.47149724304</v>
      </c>
      <c r="AQ64" s="7">
        <f t="shared" ref="AQ64" si="672">IF(OR(AQ63="",AP64=""),"",AQ63+AQ59+AP64)</f>
        <v>-508424.90160967462</v>
      </c>
      <c r="AR64" s="7">
        <f t="shared" ref="AR64" si="673">IF(OR(AR63="",AQ64=""),"",AR63+AR59+AQ64)</f>
        <v>-524679.61651940492</v>
      </c>
      <c r="AS64" s="7">
        <f t="shared" ref="AS64" si="674">IF(OR(AS63="",AR64=""),"",AS63+AS59+AR64)</f>
        <v>-417692.43059562368</v>
      </c>
      <c r="AT64" s="7">
        <f t="shared" ref="AT64" si="675">IF(OR(AT63="",AS64=""),"",AT63+AT59+AS64)</f>
        <v>-237530.54611432046</v>
      </c>
      <c r="AU64" s="7">
        <f t="shared" ref="AU64" si="676">IF(OR(AU63="",AT64=""),"",AU63+AU59+AT64)</f>
        <v>-94183.620676267165</v>
      </c>
      <c r="AV64" s="7">
        <f t="shared" ref="AV64" si="677">IF(OR(AV63="",AU64=""),"",AV63+AV59+AU64)</f>
        <v>-31185.354448452075</v>
      </c>
      <c r="AW64" s="7">
        <f t="shared" ref="AW64:BL64" si="678">IF(OR(AW63="",AV64=""),"",AW63+AW59+AV64)</f>
        <v>-22888.504756186612</v>
      </c>
      <c r="AX64" s="7">
        <f t="shared" si="678"/>
        <v>-41040.783898798305</v>
      </c>
      <c r="AY64" s="7">
        <f t="shared" si="678"/>
        <v>-51008.893891305081</v>
      </c>
      <c r="AZ64" s="7">
        <f t="shared" si="678"/>
        <v>-11761.477379303076</v>
      </c>
      <c r="BA64" s="7">
        <f t="shared" si="678"/>
        <v>-38227.648128735731</v>
      </c>
      <c r="BB64" s="7">
        <f t="shared" si="678"/>
        <v>-132718.91727447603</v>
      </c>
      <c r="BC64" s="7">
        <f t="shared" si="678"/>
        <v>-231938.12617214903</v>
      </c>
      <c r="BD64" s="7">
        <f t="shared" si="678"/>
        <v>-283686.13088322966</v>
      </c>
      <c r="BE64" s="7">
        <f t="shared" si="678"/>
        <v>-81172.575371727697</v>
      </c>
      <c r="BF64" s="7">
        <f t="shared" si="678"/>
        <v>-162604.90968948157</v>
      </c>
      <c r="BG64" s="7">
        <f t="shared" si="678"/>
        <v>-266274.25556079298</v>
      </c>
      <c r="BH64" s="7">
        <f t="shared" si="678"/>
        <v>-396058.92183044809</v>
      </c>
      <c r="BI64" s="7">
        <f t="shared" si="678"/>
        <v>-549296.55344667344</v>
      </c>
      <c r="BJ64" s="7">
        <f t="shared" si="678"/>
        <v>-702320.59973292879</v>
      </c>
      <c r="BK64" s="7">
        <f t="shared" si="678"/>
        <v>-839292.060173081</v>
      </c>
      <c r="BL64" s="7">
        <f t="shared" si="678"/>
        <v>-949062.85841602948</v>
      </c>
      <c r="BM64" s="126">
        <f>IF(OR(BM63="",BL64=""),"",BM63+BM59+BL64+BM56)</f>
        <v>-1041817.5739439074</v>
      </c>
      <c r="BN64" s="7">
        <f t="shared" ref="BN64:BU64" si="679">IF(OR(BN63="",BM64=""),"",BN63+BN59+BM64)</f>
        <v>-1055815.8681726742</v>
      </c>
      <c r="BO64" s="7">
        <f t="shared" si="679"/>
        <v>-1065923.0585595693</v>
      </c>
      <c r="BP64" s="7">
        <f t="shared" si="679"/>
        <v>-1050671.6792532098</v>
      </c>
      <c r="BQ64" s="7">
        <f t="shared" si="679"/>
        <v>-882388.91309397761</v>
      </c>
      <c r="BR64" s="7">
        <f t="shared" si="679"/>
        <v>-673939.94283614063</v>
      </c>
      <c r="BS64" s="7">
        <f t="shared" si="679"/>
        <v>-469279.94033595489</v>
      </c>
      <c r="BT64" s="7">
        <f t="shared" si="679"/>
        <v>-347956.84349111398</v>
      </c>
      <c r="BU64" s="7">
        <f t="shared" si="679"/>
        <v>-334146.78443516005</v>
      </c>
      <c r="BV64" s="7">
        <f t="shared" ref="BV64" si="680">IF(OR(BV63="",BU64=""),"",BV63+BV59+BU64)</f>
        <v>-324226.74092462234</v>
      </c>
      <c r="BW64" s="7">
        <f t="shared" ref="BW64" si="681">IF(OR(BW63="",BV64=""),"",BW63+BW59+BV64)</f>
        <v>-297728.49297964829</v>
      </c>
      <c r="BX64" s="7">
        <f t="shared" ref="BX64" si="682">IF(OR(BX63="",BW64=""),"",BX63+BX59+BW64)</f>
        <v>-254484.07995404961</v>
      </c>
    </row>
    <row r="65" spans="1:76" s="4" customFormat="1" ht="8.25" hidden="1" customHeight="1" outlineLevel="1" x14ac:dyDescent="0.25">
      <c r="A65" s="40"/>
      <c r="B65" s="11"/>
      <c r="C65" s="99"/>
      <c r="D65" s="99"/>
      <c r="E65" s="99"/>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row>
    <row r="66" spans="1:76" s="4" customFormat="1" ht="15" hidden="1" customHeight="1" outlineLevel="1" x14ac:dyDescent="0.25">
      <c r="A66" s="292" t="s">
        <v>24</v>
      </c>
      <c r="B66" s="15"/>
      <c r="C66" s="94"/>
      <c r="D66" s="94"/>
      <c r="E66" s="94"/>
      <c r="F66" s="7"/>
      <c r="G66" s="7"/>
      <c r="H66" s="7"/>
      <c r="I66" s="7"/>
      <c r="J66" s="7"/>
      <c r="K66" s="7"/>
      <c r="L66" s="7"/>
      <c r="M66" s="7"/>
      <c r="N66" s="113">
        <f>'MEEIA 3 adjs'!L52</f>
        <v>15.680000000000007</v>
      </c>
      <c r="O66" s="7"/>
      <c r="P66" s="7"/>
      <c r="Q66" s="7"/>
      <c r="R66" s="7"/>
      <c r="S66" s="7"/>
      <c r="T66" s="7"/>
      <c r="U66" s="7"/>
      <c r="V66" s="7"/>
      <c r="W66" s="7"/>
      <c r="X66" s="7"/>
      <c r="Y66" s="7"/>
      <c r="Z66" s="113">
        <f>'MEEIA 3 adjs'!AA74</f>
        <v>10.880000000000024</v>
      </c>
      <c r="AA66" s="7"/>
      <c r="AB66" s="7"/>
      <c r="AC66" s="7"/>
      <c r="AD66" s="7"/>
      <c r="AE66" s="7"/>
      <c r="AF66" s="7"/>
      <c r="AG66" s="7"/>
      <c r="AH66" s="7"/>
      <c r="AI66" s="7"/>
      <c r="AJ66" s="7"/>
      <c r="AK66" s="7"/>
      <c r="AL66" s="7"/>
      <c r="AM66" s="7"/>
      <c r="AN66" s="7"/>
      <c r="AO66" s="7"/>
      <c r="AP66" s="7"/>
      <c r="AQ66" s="7"/>
      <c r="AR66" s="7"/>
      <c r="AS66" s="7"/>
      <c r="AT66" s="7"/>
      <c r="AU66" s="7"/>
      <c r="AV66" s="7"/>
      <c r="AW66" s="126">
        <v>7972.2647956794972</v>
      </c>
      <c r="AX66" s="7"/>
      <c r="AY66" s="7"/>
      <c r="AZ66" s="113">
        <f>'MEEIA 3 adjs'!DZ72</f>
        <v>4.4000000000000909</v>
      </c>
      <c r="BA66" s="7"/>
      <c r="BB66" s="7"/>
      <c r="BC66" s="7"/>
      <c r="BD66" s="7"/>
      <c r="BE66" s="7"/>
      <c r="BF66" s="7"/>
      <c r="BG66" s="7"/>
      <c r="BH66" s="7"/>
      <c r="BI66" s="7"/>
      <c r="BJ66" s="7"/>
      <c r="BK66" s="7"/>
      <c r="BL66" s="7"/>
      <c r="BM66" s="68">
        <v>1452.2520984706211</v>
      </c>
      <c r="BN66" s="7"/>
      <c r="BO66" s="7"/>
      <c r="BP66" s="7"/>
      <c r="BQ66" s="7"/>
      <c r="BR66" s="7"/>
      <c r="BS66" s="7"/>
      <c r="BT66" s="7"/>
      <c r="BU66" s="7"/>
      <c r="BV66" s="7"/>
      <c r="BW66" s="7"/>
      <c r="BX66" s="7"/>
    </row>
    <row r="67" spans="1:76" s="2" customFormat="1" ht="15" hidden="1" customHeight="1" outlineLevel="1" x14ac:dyDescent="0.25">
      <c r="A67" s="292"/>
      <c r="B67" s="15" t="s">
        <v>28</v>
      </c>
      <c r="C67" s="94"/>
      <c r="D67" s="94"/>
      <c r="E67" s="94"/>
      <c r="F67" s="20">
        <f>IF('M3 Allocations - TD'!D9="","",'M3 Allocations - TD'!D35)</f>
        <v>0</v>
      </c>
      <c r="G67" s="20">
        <f>IF('M3 Allocations - TD'!E9="","",'M3 Allocations - TD'!E35)</f>
        <v>0</v>
      </c>
      <c r="H67" s="20">
        <f>IF('M3 Allocations - TD'!F9="","",'M3 Allocations - TD'!F35)</f>
        <v>158.37627524588399</v>
      </c>
      <c r="I67" s="20">
        <f>IF('M3 Allocations - TD'!G9="","",'M3 Allocations - TD'!G35)</f>
        <v>597.17310476301054</v>
      </c>
      <c r="J67" s="20">
        <f>IF('M3 Allocations - TD'!H9="","",'M3 Allocations - TD'!H35)</f>
        <v>0</v>
      </c>
      <c r="K67" s="20">
        <f>IF('M3 Allocations - TD'!I9="","",'M3 Allocations - TD'!I35)</f>
        <v>224.30843760020062</v>
      </c>
      <c r="L67" s="20">
        <f>IF('M3 Allocations - TD'!J9="","",'M3 Allocations - TD'!J35)</f>
        <v>578.11242788452876</v>
      </c>
      <c r="M67" s="20">
        <f>IF('M3 Allocations - TD'!K9="","",'M3 Allocations - TD'!K35)</f>
        <v>553.72176658848127</v>
      </c>
      <c r="N67" s="20">
        <f>IF('M3 Allocations - TD'!L9="","",'M3 Allocations - TD'!L35)</f>
        <v>4498.45610981133</v>
      </c>
      <c r="O67" s="20">
        <f>IF('M3 Allocations - TD'!M9="","",'M3 Allocations - TD'!M35)</f>
        <v>2468.5744882877784</v>
      </c>
      <c r="P67" s="20">
        <f>IF('M3 Allocations - TD'!N9="","",'M3 Allocations - TD'!N35)</f>
        <v>6482.3323978120161</v>
      </c>
      <c r="Q67" s="20">
        <f>IF('M3 Allocations - TD'!O9="","",'M3 Allocations - TD'!O35)</f>
        <v>4714.4220035550234</v>
      </c>
      <c r="R67" s="20">
        <f>IF('M3 Allocations - TD'!P9="","",'M3 Allocations - TD'!P35)</f>
        <v>4933.2233077077817</v>
      </c>
      <c r="S67" s="20">
        <f>IF('M3 Allocations - TD'!Q9="","",'M3 Allocations - TD'!Q35)</f>
        <v>4340.5509347173938</v>
      </c>
      <c r="T67" s="20">
        <f>IF('M3 Allocations - TD'!R9="","",'M3 Allocations - TD'!R35)</f>
        <v>11799.946486826884</v>
      </c>
      <c r="U67" s="20">
        <f>IF('M3 Allocations - TD'!S9="","",'M3 Allocations - TD'!S35)</f>
        <v>38257.943252341713</v>
      </c>
      <c r="V67" s="20">
        <f>IF('M3 Allocations - TD'!T9="","",'M3 Allocations - TD'!T35)</f>
        <v>40690.592006909494</v>
      </c>
      <c r="W67" s="20">
        <f>IF('M3 Allocations - TD'!U9="","",'M3 Allocations - TD'!U35)</f>
        <v>41885.585703975645</v>
      </c>
      <c r="X67" s="20">
        <f>IF('M3 Allocations - TD'!V9="","",'M3 Allocations - TD'!V35)</f>
        <v>26780.761635291285</v>
      </c>
      <c r="Y67" s="20">
        <f>IF('M3 Allocations - TD'!W9="","",'M3 Allocations - TD'!W35)</f>
        <v>10597.262650374174</v>
      </c>
      <c r="Z67" s="20">
        <f>IF('M3 Allocations - TD'!X9="","",'M3 Allocations - TD'!X35)</f>
        <v>10543.327297722915</v>
      </c>
      <c r="AA67" s="20">
        <f>IF('M3 Allocations - TD'!Y9="","",'M3 Allocations - TD'!Y35)</f>
        <v>12471.245557264963</v>
      </c>
      <c r="AB67" s="20">
        <f>IF('M3 Allocations - TD'!Z9="","",'M3 Allocations - TD'!Z35)</f>
        <v>12960.956487818141</v>
      </c>
      <c r="AC67" s="20">
        <f>IF('M3 Allocations - TD'!AA9="","",'M3 Allocations - TD'!AA35)</f>
        <v>11180.008563256184</v>
      </c>
      <c r="AD67" s="20">
        <f>IF('M3 Allocations - TD'!AB9="","",'M3 Allocations - TD'!AB35)</f>
        <v>10723.724250200386</v>
      </c>
      <c r="AE67" s="20">
        <f>IF('M3 Allocations - TD'!AC9="","",'M3 Allocations - TD'!AC35)</f>
        <v>12186.584798764601</v>
      </c>
      <c r="AF67" s="20">
        <f>IF('M3 Allocations - TD'!AD9="","",'M3 Allocations - TD'!AD35)</f>
        <v>21281.154475581399</v>
      </c>
      <c r="AG67" s="20">
        <f>IF('M3 Allocations - TD'!AE9="","",'M3 Allocations - TD'!AE35)</f>
        <v>66612.208134140514</v>
      </c>
      <c r="AH67" s="20">
        <f>IF('M3 Allocations - TD'!AF9="","",'M3 Allocations - TD'!AF35)</f>
        <v>73408.187300820806</v>
      </c>
      <c r="AI67" s="20">
        <f>IF('M3 Allocations - TD'!AG9="","",'M3 Allocations - TD'!AG35)</f>
        <v>73181.995355948209</v>
      </c>
      <c r="AJ67" s="20">
        <f>IF('M3 Allocations - TD'!AH9="","",'M3 Allocations - TD'!AH35)</f>
        <v>44682.245754003154</v>
      </c>
      <c r="AK67" s="20">
        <f>IF('M3 Allocations - TD'!AI9="","",'M3 Allocations - TD'!AI35)</f>
        <v>19447.902145822471</v>
      </c>
      <c r="AL67" s="20">
        <f>IF('M3 Allocations - TD'!AJ9="","",'M3 Allocations - TD'!AJ35)</f>
        <v>16125.741463642871</v>
      </c>
      <c r="AM67" s="20">
        <f>IF('M3 Allocations - TD'!AK9="","",'M3 Allocations - TD'!AK35)</f>
        <v>19063.36096942682</v>
      </c>
      <c r="AN67" s="20">
        <f>IF('M3 Allocations - TD'!AL9="","",'M3 Allocations - TD'!AL35)</f>
        <v>18825.407725594807</v>
      </c>
      <c r="AO67" s="20">
        <f>IF('M3 Allocations - TD'!AM9="","",'M3 Allocations - TD'!AM35)</f>
        <v>15042.280346882986</v>
      </c>
      <c r="AP67" s="20">
        <f>IF('M3 Allocations - TD'!AN9="","",'M3 Allocations - TD'!AN35)</f>
        <v>5372.5491881501548</v>
      </c>
      <c r="AQ67" s="20">
        <f>IF('M3 Allocations - TD'!AO9="","",'M3 Allocations - TD'!AO35)</f>
        <v>5761.1753207721658</v>
      </c>
      <c r="AR67" s="20">
        <f>IF('M3 Allocations - TD'!AP9="","",'M3 Allocations - TD'!AP35)</f>
        <v>7701.1665386990999</v>
      </c>
      <c r="AS67" s="20">
        <f>IF('M3 Allocations - TD'!AQ9="","",'M3 Allocations - TD'!AQ35)</f>
        <v>20816.695916117322</v>
      </c>
      <c r="AT67" s="20">
        <f>IF('M3 Allocations - TD'!AR9="","",'M3 Allocations - TD'!AR35)</f>
        <v>29321.450972661642</v>
      </c>
      <c r="AU67" s="20">
        <f>IF('M3 Allocations - TD'!AS9="","",'M3 Allocations - TD'!AS35)</f>
        <v>29057.042020850196</v>
      </c>
      <c r="AV67" s="20">
        <f>IF('M3 Allocations - TD'!AT9="","",'M3 Allocations - TD'!AT35)</f>
        <v>22639.119300577775</v>
      </c>
      <c r="AW67" s="20">
        <f>IF('M3 Allocations - TD'!AU9="","",'M3 Allocations - TD'!AU35)</f>
        <v>10522.674846079888</v>
      </c>
      <c r="AX67" s="20">
        <f>IF('M3 Allocations - TD'!AV9="","",'M3 Allocations - TD'!AV35)</f>
        <v>8402.9395721317924</v>
      </c>
      <c r="AY67" s="20">
        <f>IF('M3 Allocations - TD'!AW9="","",'M3 Allocations - TD'!AW35)</f>
        <v>10147.866510048789</v>
      </c>
      <c r="AZ67" s="20">
        <f>IF('M3 Allocations - TD'!AX9="","",'M3 Allocations - TD'!AX35)</f>
        <v>10184.952993836321</v>
      </c>
      <c r="BA67" s="20">
        <f>IF('M3 Allocations - TD'!AY9="","",'M3 Allocations - TD'!AY35)</f>
        <v>9072.0567893273928</v>
      </c>
      <c r="BB67" s="20">
        <f>IF('M3 Allocations - TD'!AZ9="","",'M3 Allocations - TD'!AZ35)</f>
        <v>9954.6531526973886</v>
      </c>
      <c r="BC67" s="20">
        <f>IF('M3 Allocations - TD'!BA9="","",'M3 Allocations - TD'!BA35)</f>
        <v>10973.088832331672</v>
      </c>
      <c r="BD67" s="20">
        <f>IF('M3 Allocations - TD'!BB9="","",'M3 Allocations - TD'!BB35)</f>
        <v>20516.921574305627</v>
      </c>
      <c r="BE67" s="20">
        <f>IF('M3 Allocations - TD'!BC9="","",'M3 Allocations - TD'!BC35)</f>
        <v>80173.370498125121</v>
      </c>
      <c r="BF67" s="20">
        <f>IF('M3 Allocations - TD'!BD9="","",'M3 Allocations - TD'!BD35)</f>
        <v>41066.173957788429</v>
      </c>
      <c r="BG67" s="20">
        <f>IF('M3 Allocations - TD'!BE9="","",'M3 Allocations - TD'!BE35)</f>
        <v>43464.865379167015</v>
      </c>
      <c r="BH67" s="20">
        <f>IF('M3 Allocations - TD'!BF9="","",'M3 Allocations - TD'!BF35)</f>
        <v>24572.609553779672</v>
      </c>
      <c r="BI67" s="20">
        <f>IF('M3 Allocations - TD'!BG9="","",'M3 Allocations - TD'!BG35)</f>
        <v>6397.8158425259671</v>
      </c>
      <c r="BJ67" s="20">
        <f>IF('M3 Allocations - TD'!BH9="","",'M3 Allocations - TD'!BH35)</f>
        <v>5740.4513919906103</v>
      </c>
      <c r="BK67" s="20">
        <f>IF('M3 Allocations - TD'!BI9="","",'M3 Allocations - TD'!BI35)</f>
        <v>7252.8607050266928</v>
      </c>
      <c r="BL67" s="20">
        <f>IF('M3 Allocations - TD'!BJ9="","",'M3 Allocations - TD'!BJ35)</f>
        <v>15609.264533708742</v>
      </c>
      <c r="BM67" s="20">
        <f>IF('M3 Allocations - TD'!BK9="","",'M3 Allocations - TD'!BK35)</f>
        <v>9931.0061988053349</v>
      </c>
      <c r="BN67" s="20">
        <f>IF('M3 Allocations - TD'!BL9="","",'M3 Allocations - TD'!BL35)</f>
        <v>10734.517311806689</v>
      </c>
      <c r="BO67" s="20">
        <f>IF('M3 Allocations - TD'!BM9="","",'M3 Allocations - TD'!BM35)</f>
        <v>12461.71833996677</v>
      </c>
      <c r="BP67" s="20">
        <f>IF('M3 Allocations - TD'!BN9="","",'M3 Allocations - TD'!BN35)</f>
        <v>22695.241702912812</v>
      </c>
      <c r="BQ67" s="20">
        <f>IF('M3 Allocations - TD'!BO9="","",'M3 Allocations - TD'!BO35)</f>
        <v>65408.507485155234</v>
      </c>
      <c r="BR67" s="20">
        <f>IF('M3 Allocations - TD'!BP9="","",'M3 Allocations - TD'!BP35)</f>
        <v>72715.89068358489</v>
      </c>
      <c r="BS67" s="20">
        <f>IF('M3 Allocations - TD'!BQ9="","",'M3 Allocations - TD'!BQ35)</f>
        <v>72974.667994930234</v>
      </c>
      <c r="BT67" s="20">
        <f>IF('M3 Allocations - TD'!BR9="","",'M3 Allocations - TD'!BR35)</f>
        <v>48263.382838753387</v>
      </c>
      <c r="BU67" s="20">
        <f>IF('M3 Allocations - TD'!BS9="","",'M3 Allocations - TD'!BS35)</f>
        <v>20055.85905487034</v>
      </c>
      <c r="BV67" s="20">
        <f>IF('M3 Allocations - TD'!BT9="","",'M3 Allocations - TD'!BT35)</f>
        <v>14245.616514940328</v>
      </c>
      <c r="BW67" s="20">
        <f>IF('M3 Allocations - TD'!BU9="","",'M3 Allocations - TD'!BU35)</f>
        <v>16045.340693591272</v>
      </c>
      <c r="BX67" s="20">
        <f>IF('M3 Allocations - TD'!BV9="","",'M3 Allocations - TD'!BV35)</f>
        <v>18425.431765750742</v>
      </c>
    </row>
    <row r="68" spans="1:76" s="4" customFormat="1" ht="15" hidden="1" customHeight="1" outlineLevel="1" x14ac:dyDescent="0.25">
      <c r="A68" s="292"/>
      <c r="B68" s="16" t="s">
        <v>26</v>
      </c>
      <c r="C68" s="94"/>
      <c r="D68" s="94"/>
      <c r="E68" s="94"/>
      <c r="F68" s="20">
        <f>IF('M3 Allocations - TD'!D55="","",'M3 Allocations - TD'!D73)</f>
        <v>0</v>
      </c>
      <c r="G68" s="20">
        <f>IF('M3 Allocations - TD'!E55="","",'M3 Allocations - TD'!E73)</f>
        <v>0</v>
      </c>
      <c r="H68" s="20">
        <f>IF('M3 Allocations - TD'!F55="","",'M3 Allocations - TD'!F73)</f>
        <v>-48.583419353926594</v>
      </c>
      <c r="I68" s="20">
        <f>IF('M3 Allocations - TD'!G55="","",'M3 Allocations - TD'!G73)</f>
        <v>4125.9071778961579</v>
      </c>
      <c r="J68" s="20">
        <f>IF('M3 Allocations - TD'!H55="","",'M3 Allocations - TD'!H73)</f>
        <v>6806.3797850987785</v>
      </c>
      <c r="K68" s="20">
        <f>IF('M3 Allocations - TD'!I55="","",'M3 Allocations - TD'!I73)</f>
        <v>7524.9044581782691</v>
      </c>
      <c r="L68" s="20">
        <f>IF('M3 Allocations - TD'!J55="","",'M3 Allocations - TD'!J73)</f>
        <v>7658.4495072300715</v>
      </c>
      <c r="M68" s="20">
        <f>IF('M3 Allocations - TD'!K55="","",'M3 Allocations - TD'!K73)</f>
        <v>7241.6490844376849</v>
      </c>
      <c r="N68" s="20">
        <f>IF('M3 Allocations - TD'!L55="","",'M3 Allocations - TD'!L73)</f>
        <v>6323.5939077382554</v>
      </c>
      <c r="O68" s="20">
        <f>IF('M3 Allocations - TD'!M55="","",'M3 Allocations - TD'!M73)</f>
        <v>5864.7707264215042</v>
      </c>
      <c r="P68" s="20">
        <f>IF('M3 Allocations - TD'!N55="","",'M3 Allocations - TD'!N73)</f>
        <v>6186.9939477675571</v>
      </c>
      <c r="Q68" s="20">
        <f>IF('M3 Allocations - TD'!O55="","",'M3 Allocations - TD'!O73)</f>
        <v>10792.766596240668</v>
      </c>
      <c r="R68" s="20">
        <f>IF('M3 Allocations - TD'!P55="","",'M3 Allocations - TD'!P73)</f>
        <v>19312.38401960209</v>
      </c>
      <c r="S68" s="20">
        <f>IF('M3 Allocations - TD'!Q55="","",'M3 Allocations - TD'!Q73)</f>
        <v>21254.31297935671</v>
      </c>
      <c r="T68" s="20">
        <f>IF('M3 Allocations - TD'!R55="","",'M3 Allocations - TD'!R73)</f>
        <v>21637.663415217026</v>
      </c>
      <c r="U68" s="20">
        <f>IF('M3 Allocations - TD'!S55="","",'M3 Allocations - TD'!S73)</f>
        <v>16834.533975023267</v>
      </c>
      <c r="V68" s="20">
        <f>IF('M3 Allocations - TD'!T55="","",'M3 Allocations - TD'!T73)</f>
        <v>24355.538593432568</v>
      </c>
      <c r="W68" s="20">
        <f>IF('M3 Allocations - TD'!U55="","",'M3 Allocations - TD'!U73)</f>
        <v>25113.656296491379</v>
      </c>
      <c r="X68" s="20">
        <f>IF('M3 Allocations - TD'!V55="","",'M3 Allocations - TD'!V73)</f>
        <v>25507.793919774442</v>
      </c>
      <c r="Y68" s="20">
        <f>IF('M3 Allocations - TD'!W55="","",'M3 Allocations - TD'!W73)</f>
        <v>22463.576853042847</v>
      </c>
      <c r="Z68" s="20">
        <f>IF('M3 Allocations - TD'!X55="","",'M3 Allocations - TD'!X73)</f>
        <v>21960.458267222853</v>
      </c>
      <c r="AA68" s="20">
        <f>IF('M3 Allocations - TD'!Y55="","",'M3 Allocations - TD'!Y73)</f>
        <v>22338.840952659717</v>
      </c>
      <c r="AB68" s="20">
        <f>IF('M3 Allocations - TD'!Z55="","",'M3 Allocations - TD'!Z73)</f>
        <v>20382.980401475455</v>
      </c>
      <c r="AC68" s="20">
        <f>IF('M3 Allocations - TD'!AA55="","",'M3 Allocations - TD'!AA73)</f>
        <v>32953.904164207008</v>
      </c>
      <c r="AD68" s="20">
        <f>IF('M3 Allocations - TD'!AB55="","",'M3 Allocations - TD'!AB73)</f>
        <v>23500.247497740351</v>
      </c>
      <c r="AE68" s="20">
        <f>IF('M3 Allocations - TD'!AC55="","",'M3 Allocations - TD'!AC73)</f>
        <v>40293.609086971141</v>
      </c>
      <c r="AF68" s="20">
        <f>IF('M3 Allocations - TD'!AD55="","",'M3 Allocations - TD'!AD73)</f>
        <v>41000.534789952151</v>
      </c>
      <c r="AG68" s="20">
        <f>IF('M3 Allocations - TD'!AE55="","",'M3 Allocations - TD'!AE73)</f>
        <v>39665.300517775315</v>
      </c>
      <c r="AH68" s="20">
        <f>IF('M3 Allocations - TD'!AF55="","",'M3 Allocations - TD'!AF73)</f>
        <v>50592.172457307752</v>
      </c>
      <c r="AI68" s="20">
        <f>IF('M3 Allocations - TD'!AG55="","",'M3 Allocations - TD'!AG73)</f>
        <v>48111.888839753803</v>
      </c>
      <c r="AJ68" s="20">
        <f>IF('M3 Allocations - TD'!AH55="","",'M3 Allocations - TD'!AH73)</f>
        <v>52046.073170238742</v>
      </c>
      <c r="AK68" s="20">
        <f>IF('M3 Allocations - TD'!AI55="","",'M3 Allocations - TD'!AI73)</f>
        <v>47917.124744080225</v>
      </c>
      <c r="AL68" s="20">
        <f>IF('M3 Allocations - TD'!AJ55="","",'M3 Allocations - TD'!AJ73)</f>
        <v>31542.387518483061</v>
      </c>
      <c r="AM68" s="20">
        <f>IF('M3 Allocations - TD'!AK55="","",'M3 Allocations - TD'!AK73)</f>
        <v>43557.154949803051</v>
      </c>
      <c r="AN68" s="20">
        <f>IF('M3 Allocations - TD'!AL55="","",'M3 Allocations - TD'!AL73)</f>
        <v>40956.195027623748</v>
      </c>
      <c r="AO68" s="20">
        <f>IF('M3 Allocations - TD'!AM55="","",'M3 Allocations - TD'!AM73)</f>
        <v>34081.150442443461</v>
      </c>
      <c r="AP68" s="20">
        <f>IF('M3 Allocations - TD'!AN55="","",'M3 Allocations - TD'!AN73)</f>
        <v>5569.4805559214219</v>
      </c>
      <c r="AQ68" s="20">
        <f>IF('M3 Allocations - TD'!AO55="","",'M3 Allocations - TD'!AO73)</f>
        <v>-23801.130148762259</v>
      </c>
      <c r="AR68" s="20">
        <f>IF('M3 Allocations - TD'!AP55="","",'M3 Allocations - TD'!AP73)</f>
        <v>4425.0020023903071</v>
      </c>
      <c r="AS68" s="20">
        <f>IF('M3 Allocations - TD'!AQ55="","",'M3 Allocations - TD'!AQ73)</f>
        <v>5427.3573983012948</v>
      </c>
      <c r="AT68" s="20">
        <f>IF('M3 Allocations - TD'!AR55="","",'M3 Allocations - TD'!AR73)</f>
        <v>6149.5954103370386</v>
      </c>
      <c r="AU68" s="20">
        <f>IF('M3 Allocations - TD'!AS55="","",'M3 Allocations - TD'!AS73)</f>
        <v>6063.694935624073</v>
      </c>
      <c r="AV68" s="20">
        <f>IF('M3 Allocations - TD'!AT55="","",'M3 Allocations - TD'!AT73)</f>
        <v>6340.9099918320171</v>
      </c>
      <c r="AW68" s="20">
        <f>IF('M3 Allocations - TD'!AU55="","",'M3 Allocations - TD'!AU73)</f>
        <v>5452.5804092461303</v>
      </c>
      <c r="AX68" s="20">
        <f>IF('M3 Allocations - TD'!AV55="","",'M3 Allocations - TD'!AV73)</f>
        <v>5374.9963437301585</v>
      </c>
      <c r="AY68" s="20">
        <f>IF('M3 Allocations - TD'!AW55="","",'M3 Allocations - TD'!AW73)</f>
        <v>4968.6713975309985</v>
      </c>
      <c r="AZ68" s="20">
        <f>IF('M3 Allocations - TD'!AX55="","",'M3 Allocations - TD'!AX73)</f>
        <v>4126.6501596050875</v>
      </c>
      <c r="BA68" s="20">
        <f>IF('M3 Allocations - TD'!AY55="","",'M3 Allocations - TD'!AY73)</f>
        <v>6475.6438068202078</v>
      </c>
      <c r="BB68" s="20">
        <f>IF('M3 Allocations - TD'!AZ55="","",'M3 Allocations - TD'!AZ73)</f>
        <v>20514.021968021043</v>
      </c>
      <c r="BC68" s="20">
        <f>IF('M3 Allocations - TD'!BA55="","",'M3 Allocations - TD'!BA73)</f>
        <v>20728.070271802189</v>
      </c>
      <c r="BD68" s="20">
        <f>IF('M3 Allocations - TD'!BB55="","",'M3 Allocations - TD'!BB73)</f>
        <v>21860.388330864007</v>
      </c>
      <c r="BE68" s="20">
        <f>IF('M3 Allocations - TD'!BC55="","",'M3 Allocations - TD'!BC73)</f>
        <v>26312.731447989569</v>
      </c>
      <c r="BF68" s="20">
        <f>IF('M3 Allocations - TD'!BD55="","",'M3 Allocations - TD'!BD73)</f>
        <v>24544.16997714834</v>
      </c>
      <c r="BG68" s="20">
        <f>IF('M3 Allocations - TD'!BE55="","",'M3 Allocations - TD'!BE73)</f>
        <v>28119.347477767511</v>
      </c>
      <c r="BH68" s="20">
        <f>IF('M3 Allocations - TD'!BF55="","",'M3 Allocations - TD'!BF73)</f>
        <v>30706.5519192147</v>
      </c>
      <c r="BI68" s="20">
        <f>IF('M3 Allocations - TD'!BG55="","",'M3 Allocations - TD'!BG73)</f>
        <v>31001.069342748062</v>
      </c>
      <c r="BJ68" s="20">
        <f>IF('M3 Allocations - TD'!BH55="","",'M3 Allocations - TD'!BH73)</f>
        <v>27583.506583145492</v>
      </c>
      <c r="BK68" s="20">
        <f>IF('M3 Allocations - TD'!BI55="","",'M3 Allocations - TD'!BI73)</f>
        <v>30733.762218733362</v>
      </c>
      <c r="BL68" s="20">
        <f>IF('M3 Allocations - TD'!BJ55="","",'M3 Allocations - TD'!BJ73)</f>
        <v>26744.720437547392</v>
      </c>
      <c r="BM68" s="20">
        <f>IF('M3 Allocations - TD'!BK55="","",'M3 Allocations - TD'!BK73)</f>
        <v>19021.059992246788</v>
      </c>
      <c r="BN68" s="20">
        <f>IF('M3 Allocations - TD'!BL55="","",'M3 Allocations - TD'!BL73)</f>
        <v>14202.426517858028</v>
      </c>
      <c r="BO68" s="20">
        <f>IF('M3 Allocations - TD'!BM55="","",'M3 Allocations - TD'!BM73)</f>
        <v>13786.223846277728</v>
      </c>
      <c r="BP68" s="20">
        <f>IF('M3 Allocations - TD'!BN55="","",'M3 Allocations - TD'!BN73)</f>
        <v>16844.22889870466</v>
      </c>
      <c r="BQ68" s="20">
        <f>IF('M3 Allocations - TD'!BO55="","",'M3 Allocations - TD'!BO73)</f>
        <v>17079.191078118842</v>
      </c>
      <c r="BR68" s="20">
        <f>IF('M3 Allocations - TD'!BP55="","",'M3 Allocations - TD'!BP73)</f>
        <v>19670.958513884038</v>
      </c>
      <c r="BS68" s="20">
        <f>IF('M3 Allocations - TD'!BQ55="","",'M3 Allocations - TD'!BQ73)</f>
        <v>19390.309859036686</v>
      </c>
      <c r="BT68" s="20">
        <f>IF('M3 Allocations - TD'!BR55="","",'M3 Allocations - TD'!BR73)</f>
        <v>16952.878205571345</v>
      </c>
      <c r="BU68" s="20">
        <f>IF('M3 Allocations - TD'!BS55="","",'M3 Allocations - TD'!BS73)</f>
        <v>16965.176121407778</v>
      </c>
      <c r="BV68" s="20">
        <f>IF('M3 Allocations - TD'!BT55="","",'M3 Allocations - TD'!BT73)</f>
        <v>16357.196288133806</v>
      </c>
      <c r="BW68" s="20">
        <f>IF('M3 Allocations - TD'!BU55="","",'M3 Allocations - TD'!BU73)</f>
        <v>16142.05947794951</v>
      </c>
      <c r="BX68" s="20">
        <f>IF('M3 Allocations - TD'!BV55="","",'M3 Allocations - TD'!BV73)</f>
        <v>16057.782789022642</v>
      </c>
    </row>
    <row r="69" spans="1:76" s="4" customFormat="1" ht="15" hidden="1" customHeight="1" outlineLevel="1" x14ac:dyDescent="0.25">
      <c r="A69" s="292"/>
      <c r="B69" s="16" t="s">
        <v>51</v>
      </c>
      <c r="C69" s="94"/>
      <c r="D69" s="94"/>
      <c r="E69" s="94"/>
      <c r="F69" s="20">
        <f>IF(F68="","",0)</f>
        <v>0</v>
      </c>
      <c r="G69" s="20">
        <f t="shared" ref="G69" si="683">IF(G68="","",0)</f>
        <v>0</v>
      </c>
      <c r="H69" s="20">
        <f t="shared" ref="H69" si="684">IF(H68="","",0)</f>
        <v>0</v>
      </c>
      <c r="I69" s="20">
        <f t="shared" ref="I69" si="685">IF(I68="","",0)</f>
        <v>0</v>
      </c>
      <c r="J69" s="20">
        <f t="shared" ref="J69" si="686">IF(J68="","",0)</f>
        <v>0</v>
      </c>
      <c r="K69" s="20">
        <f t="shared" ref="K69" si="687">IF(K68="","",0)</f>
        <v>0</v>
      </c>
      <c r="L69" s="20">
        <f t="shared" ref="L69" si="688">IF(L68="","",0)</f>
        <v>0</v>
      </c>
      <c r="M69" s="20">
        <f t="shared" ref="M69" si="689">IF(M68="","",0)</f>
        <v>0</v>
      </c>
      <c r="N69" s="20">
        <f t="shared" ref="N69" si="690">IF(N68="","",0)</f>
        <v>0</v>
      </c>
      <c r="O69" s="20">
        <f t="shared" ref="O69" si="691">IF(O68="","",0)</f>
        <v>0</v>
      </c>
      <c r="P69" s="20">
        <f t="shared" ref="P69" si="692">IF(P68="","",0)</f>
        <v>0</v>
      </c>
      <c r="Q69" s="20">
        <f>IF(Q68="","",-'M3 TD amort'!C36)</f>
        <v>1504.68</v>
      </c>
      <c r="R69" s="20">
        <f>IF(R68="","",-'M3 TD amort'!D36)</f>
        <v>2591.88</v>
      </c>
      <c r="S69" s="20">
        <f>IF(S68="","",-'M3 TD amort'!E36)</f>
        <v>2838.35</v>
      </c>
      <c r="T69" s="20">
        <f>IF(T68="","",-'M3 TD amort'!F36)</f>
        <v>2881.77</v>
      </c>
      <c r="U69" s="20">
        <f>IF(U68="","",-'M3 TD amort'!G36)</f>
        <v>2250.5100000000002</v>
      </c>
      <c r="V69" s="20">
        <f>IF(V68="","",-'M3 TD amort'!H36)</f>
        <v>3239.4</v>
      </c>
      <c r="W69" s="20">
        <f>IF(W68="","",-'M3 TD amort'!I36)</f>
        <v>3336.64</v>
      </c>
      <c r="X69" s="20">
        <f>IF(X68="","",-'M3 TD amort'!J36)</f>
        <v>3384.12</v>
      </c>
      <c r="Y69" s="20">
        <f>IF(Y68="","",-'M3 TD amort'!K36)</f>
        <v>2980.87</v>
      </c>
      <c r="Z69" s="20">
        <f>IF(Z68="","",-'M3 TD amort'!L36)</f>
        <v>2923.68</v>
      </c>
      <c r="AA69" s="20">
        <f>IF(AA68="","",-'M3 TD amort'!M36)</f>
        <v>2985.57</v>
      </c>
      <c r="AB69" s="20">
        <f>IF(AB68="","",-'M3 TD amort'!N36)</f>
        <v>2730.44</v>
      </c>
      <c r="AC69" s="20">
        <f>IF(AC68="","",-'M3 TD amort'!O36)</f>
        <v>3897.15</v>
      </c>
      <c r="AD69" s="20">
        <f>IF(AD68="","",-'M3 TD amort'!P36)</f>
        <v>2784.02</v>
      </c>
      <c r="AE69" s="20">
        <f>IF(AE68="","",-'M3 TD amort'!Q36)</f>
        <v>4719.3</v>
      </c>
      <c r="AF69" s="20">
        <f>IF(AF68="","",-'M3 TD amort'!R36)</f>
        <v>4794.6000000000004</v>
      </c>
      <c r="AG69" s="20">
        <f>IF(AG68="","",-'M3 TD amort'!S36)</f>
        <v>4627.3500000000004</v>
      </c>
      <c r="AH69" s="20">
        <f>IF(AH68="","",-'M3 TD amort'!T36)</f>
        <v>5905.37</v>
      </c>
      <c r="AI69" s="20">
        <f>IF(AI68="","",-'M3 TD amort'!U36)</f>
        <v>5621.67</v>
      </c>
      <c r="AJ69" s="20">
        <f>IF(AJ68="","",-'M3 TD amort'!V36)</f>
        <v>6078.73</v>
      </c>
      <c r="AK69" s="20">
        <f>IF(AK68="","",-'M3 TD amort'!W36)</f>
        <v>5571.58</v>
      </c>
      <c r="AL69" s="20">
        <f>IF(AL68="","",-'M3 TD amort'!X36)</f>
        <v>3698.89</v>
      </c>
      <c r="AM69" s="20">
        <f>IF(AM68="","",-'M3 TD amort'!Y36)</f>
        <v>5186.1400000000003</v>
      </c>
      <c r="AN69" s="20">
        <f>IF(AN68="","",-'M3 TD amort'!Z36)</f>
        <v>4832.3100000000004</v>
      </c>
      <c r="AO69" s="20">
        <f>IF(AO68="","",-'M3 TD amort'!AA36)</f>
        <v>75442.73</v>
      </c>
      <c r="AP69" s="20">
        <f>IF(AP68="","",-'M3 TD amort'!AB36)</f>
        <v>13631.28</v>
      </c>
      <c r="AQ69" s="20">
        <f>IF(AQ68="","",-'M3 TD amort'!AC36)</f>
        <v>-48097.27</v>
      </c>
      <c r="AR69" s="20">
        <f>IF(AR68="","",-'M3 TD amort'!AD36)</f>
        <v>10628.22</v>
      </c>
      <c r="AS69" s="20">
        <f>IF(AS68="","",-'M3 TD amort'!AE36)</f>
        <v>12955.95</v>
      </c>
      <c r="AT69" s="20">
        <f>IF(AT68="","",-'M3 TD amort'!AF36)</f>
        <v>14863.58</v>
      </c>
      <c r="AU69" s="20">
        <f>IF(AU68="","",-'M3 TD amort'!AG36)</f>
        <v>14696.75</v>
      </c>
      <c r="AV69" s="20">
        <f>IF(AV68="","",-'M3 TD amort'!AH36)</f>
        <v>15321.62</v>
      </c>
      <c r="AW69" s="20">
        <f>IF(AW68="","",-'M3 TD amort'!AI36)</f>
        <v>13162.71</v>
      </c>
      <c r="AX69" s="20">
        <f>IF(AX68="","",-'M3 TD amort'!AJ36)</f>
        <v>13147.52</v>
      </c>
      <c r="AY69" s="20">
        <f>IF(AY68="","",-'M3 TD amort'!AK36)</f>
        <v>12907.03</v>
      </c>
      <c r="AZ69" s="20">
        <f>IF(AZ68="","",-'M3 TD amort'!AL36)</f>
        <v>10895.84</v>
      </c>
      <c r="BA69" s="20">
        <f>IF(BA68="","",-'M3 TD amort'!AM36)</f>
        <v>1066.49</v>
      </c>
      <c r="BB69" s="20">
        <f>IF(BB68="","",-'M3 TD amort'!AN36)</f>
        <v>3016.99</v>
      </c>
      <c r="BC69" s="20">
        <f>IF(BC68="","",-'M3 TD amort'!AO36)</f>
        <v>3035.29</v>
      </c>
      <c r="BD69" s="20">
        <f>IF(BD68="","",-'M3 TD amort'!AP36)</f>
        <v>3174.93</v>
      </c>
      <c r="BE69" s="20">
        <f>IF(BE68="","",-'M3 TD amort'!AQ36)</f>
        <v>3818.81</v>
      </c>
      <c r="BF69" s="20">
        <f>IF(BF68="","",-'M3 TD amort'!AR36)</f>
        <v>3576.74</v>
      </c>
      <c r="BG69" s="20">
        <f>IF(BG68="","",-'M3 TD amort'!AS36)</f>
        <v>4100.8</v>
      </c>
      <c r="BH69" s="20">
        <f>IF(BH68="","",-'M3 TD amort'!AT36)</f>
        <v>4472.42</v>
      </c>
      <c r="BI69" s="20">
        <f>IF(BI68="","",-'M3 TD amort'!AU36)</f>
        <v>4510.16</v>
      </c>
      <c r="BJ69" s="20">
        <f>IF(BJ68="","",-'M3 TD amort'!AV36)</f>
        <v>4020.98</v>
      </c>
      <c r="BK69" s="20">
        <f>IF(BK68="","",-'M3 TD amort'!AW36)</f>
        <v>4527.2</v>
      </c>
      <c r="BL69" s="20">
        <f>IF(BL68="","",-'M3 TD amort'!AX36)</f>
        <v>3966.86</v>
      </c>
      <c r="BM69" s="20">
        <f>IF(BM68="","",-'M3 TD amort'!AY36)</f>
        <v>7292.82</v>
      </c>
      <c r="BN69" s="20">
        <f>IF(BN68="","",-'M3 TD amort'!AZ36)</f>
        <v>5229.72</v>
      </c>
      <c r="BO69" s="20">
        <f>IF(BO68="","",-'M3 TD amort'!BA36)</f>
        <v>5061.08</v>
      </c>
      <c r="BP69" s="20">
        <f>IF(BP68="","",-'M3 TD amort'!BB36)</f>
        <v>6157.98</v>
      </c>
      <c r="BQ69" s="20">
        <f>IF(BQ68="","",-'M3 TD amort'!BC36)</f>
        <v>6243.89</v>
      </c>
      <c r="BR69" s="20">
        <f>IF(BR68="","",-'M3 TD amort'!BD36)</f>
        <v>7206.04</v>
      </c>
      <c r="BS69" s="20">
        <f>IF(BS68="","",-'M3 TD amort'!BE36)</f>
        <v>7100.45</v>
      </c>
      <c r="BT69" s="20">
        <f>IF(BT68="","",-'M3 TD amort'!BF36)</f>
        <v>6203.73</v>
      </c>
      <c r="BU69" s="20">
        <f>IF(BU68="","",-'M3 TD amort'!BG36)</f>
        <v>6196.47</v>
      </c>
      <c r="BV69" s="20">
        <f>IF(BV68="","",-'M3 TD amort'!BH36)</f>
        <v>5996.54</v>
      </c>
      <c r="BW69" s="20">
        <f>IF(BW68="","",-'M3 TD amort'!BI36)</f>
        <v>5928.98</v>
      </c>
      <c r="BX69" s="20">
        <f>IF(BX68="","",-'M3 TD amort'!BJ36)</f>
        <v>5906.51</v>
      </c>
    </row>
    <row r="70" spans="1:76" s="4" customFormat="1" ht="15" hidden="1" customHeight="1" outlineLevel="1" x14ac:dyDescent="0.25">
      <c r="A70" s="292"/>
      <c r="B70" s="16" t="s">
        <v>52</v>
      </c>
      <c r="C70" s="94"/>
      <c r="D70" s="94"/>
      <c r="E70" s="94"/>
      <c r="F70" s="7">
        <f t="shared" ref="F70:M70" si="693">IF(OR(F69="",F68=""),"",F68+F69)</f>
        <v>0</v>
      </c>
      <c r="G70" s="7">
        <f t="shared" si="693"/>
        <v>0</v>
      </c>
      <c r="H70" s="7">
        <f t="shared" si="693"/>
        <v>-48.583419353926594</v>
      </c>
      <c r="I70" s="7">
        <f t="shared" si="693"/>
        <v>4125.9071778961579</v>
      </c>
      <c r="J70" s="7">
        <f t="shared" si="693"/>
        <v>6806.3797850987785</v>
      </c>
      <c r="K70" s="7">
        <f t="shared" si="693"/>
        <v>7524.9044581782691</v>
      </c>
      <c r="L70" s="7">
        <f t="shared" si="693"/>
        <v>7658.4495072300715</v>
      </c>
      <c r="M70" s="7">
        <f t="shared" si="693"/>
        <v>7241.6490844376849</v>
      </c>
      <c r="N70" s="7">
        <f>IF(OR(N69="",N68=""),"",N68+N69)</f>
        <v>6323.5939077382554</v>
      </c>
      <c r="O70" s="7">
        <f t="shared" ref="O70:Z70" si="694">IF(OR(O69="",O68=""),"",O68+O69)</f>
        <v>5864.7707264215042</v>
      </c>
      <c r="P70" s="7">
        <f t="shared" si="694"/>
        <v>6186.9939477675571</v>
      </c>
      <c r="Q70" s="7">
        <f t="shared" si="694"/>
        <v>12297.446596240668</v>
      </c>
      <c r="R70" s="7">
        <f t="shared" si="694"/>
        <v>21904.264019602091</v>
      </c>
      <c r="S70" s="7">
        <f t="shared" si="694"/>
        <v>24092.662979356708</v>
      </c>
      <c r="T70" s="7">
        <f t="shared" si="694"/>
        <v>24519.433415217027</v>
      </c>
      <c r="U70" s="7">
        <f t="shared" si="694"/>
        <v>19085.043975023269</v>
      </c>
      <c r="V70" s="7">
        <f t="shared" si="694"/>
        <v>27594.938593432569</v>
      </c>
      <c r="W70" s="7">
        <f t="shared" si="694"/>
        <v>28450.296296491379</v>
      </c>
      <c r="X70" s="7">
        <f t="shared" si="694"/>
        <v>28891.913919774441</v>
      </c>
      <c r="Y70" s="7">
        <f t="shared" si="694"/>
        <v>25444.446853042846</v>
      </c>
      <c r="Z70" s="7">
        <f t="shared" si="694"/>
        <v>24884.138267222854</v>
      </c>
      <c r="AA70" s="7">
        <f>IF(OR(AA69="",AA68=""),"",AA68+AA69)</f>
        <v>25324.410952659717</v>
      </c>
      <c r="AB70" s="7">
        <f t="shared" ref="AB70:AE70" si="695">IF(OR(AB69="",AB68=""),"",AB68+AB69)</f>
        <v>23113.420401475454</v>
      </c>
      <c r="AC70" s="7">
        <f t="shared" si="695"/>
        <v>36851.054164207009</v>
      </c>
      <c r="AD70" s="7">
        <f t="shared" si="695"/>
        <v>26284.267497740351</v>
      </c>
      <c r="AE70" s="7">
        <f t="shared" si="695"/>
        <v>45012.909086971144</v>
      </c>
      <c r="AF70" s="7">
        <f t="shared" ref="AF70:AW70" si="696">IF(OR(AF69="",AF68=""),"",AF68+AF69)</f>
        <v>45795.13478995215</v>
      </c>
      <c r="AG70" s="7">
        <f t="shared" si="696"/>
        <v>44292.650517775313</v>
      </c>
      <c r="AH70" s="7">
        <f t="shared" si="696"/>
        <v>56497.542457307754</v>
      </c>
      <c r="AI70" s="7">
        <f t="shared" si="696"/>
        <v>53733.558839753801</v>
      </c>
      <c r="AJ70" s="7">
        <f t="shared" si="696"/>
        <v>58124.803170238738</v>
      </c>
      <c r="AK70" s="7">
        <f t="shared" si="696"/>
        <v>53488.704744080227</v>
      </c>
      <c r="AL70" s="7">
        <f t="shared" si="696"/>
        <v>35241.277518483061</v>
      </c>
      <c r="AM70" s="7">
        <f t="shared" si="696"/>
        <v>48743.29494980305</v>
      </c>
      <c r="AN70" s="7">
        <f t="shared" si="696"/>
        <v>45788.505027623745</v>
      </c>
      <c r="AO70" s="7">
        <f t="shared" si="696"/>
        <v>109523.88044244345</v>
      </c>
      <c r="AP70" s="7">
        <f t="shared" si="696"/>
        <v>19200.760555921421</v>
      </c>
      <c r="AQ70" s="7">
        <f t="shared" si="696"/>
        <v>-71898.400148762259</v>
      </c>
      <c r="AR70" s="7">
        <f t="shared" si="696"/>
        <v>15053.222002390306</v>
      </c>
      <c r="AS70" s="7">
        <f t="shared" si="696"/>
        <v>18383.307398301295</v>
      </c>
      <c r="AT70" s="7">
        <f t="shared" si="696"/>
        <v>21013.17541033704</v>
      </c>
      <c r="AU70" s="7">
        <f t="shared" si="696"/>
        <v>20760.444935624073</v>
      </c>
      <c r="AV70" s="7">
        <f t="shared" si="696"/>
        <v>21662.529991832016</v>
      </c>
      <c r="AW70" s="7">
        <f t="shared" si="696"/>
        <v>18615.290409246129</v>
      </c>
      <c r="AX70" s="7">
        <f t="shared" ref="AX70:AY70" si="697">IF(OR(AX69="",AX68=""),"",AX68+AX69)</f>
        <v>18522.51634373016</v>
      </c>
      <c r="AY70" s="7">
        <f t="shared" si="697"/>
        <v>17875.701397531</v>
      </c>
      <c r="AZ70" s="7">
        <f t="shared" ref="AZ70:BA70" si="698">IF(OR(AZ69="",AZ68=""),"",AZ68+AZ69)</f>
        <v>15022.490159605088</v>
      </c>
      <c r="BA70" s="7">
        <f t="shared" si="698"/>
        <v>7542.1338068202076</v>
      </c>
      <c r="BB70" s="7">
        <f t="shared" ref="BB70:BC70" si="699">IF(OR(BB69="",BB68=""),"",BB68+BB69)</f>
        <v>23531.011968021041</v>
      </c>
      <c r="BC70" s="7">
        <f t="shared" si="699"/>
        <v>23763.36027180219</v>
      </c>
      <c r="BD70" s="7">
        <f t="shared" ref="BD70:BE70" si="700">IF(OR(BD69="",BD68=""),"",BD68+BD69)</f>
        <v>25035.318330864007</v>
      </c>
      <c r="BE70" s="7">
        <f t="shared" si="700"/>
        <v>30131.54144798957</v>
      </c>
      <c r="BF70" s="7">
        <f t="shared" ref="BF70:BG70" si="701">IF(OR(BF69="",BF68=""),"",BF68+BF69)</f>
        <v>28120.909977148338</v>
      </c>
      <c r="BG70" s="7">
        <f t="shared" si="701"/>
        <v>32220.14747776751</v>
      </c>
      <c r="BH70" s="7">
        <f t="shared" ref="BH70:BI70" si="702">IF(OR(BH69="",BH68=""),"",BH68+BH69)</f>
        <v>35178.971919214702</v>
      </c>
      <c r="BI70" s="7">
        <f t="shared" si="702"/>
        <v>35511.229342748062</v>
      </c>
      <c r="BJ70" s="7">
        <f t="shared" ref="BJ70:BK70" si="703">IF(OR(BJ69="",BJ68=""),"",BJ68+BJ69)</f>
        <v>31604.486583145492</v>
      </c>
      <c r="BK70" s="7">
        <f t="shared" si="703"/>
        <v>35260.962218733359</v>
      </c>
      <c r="BL70" s="7">
        <f t="shared" ref="BL70:BM70" si="704">IF(OR(BL69="",BL68=""),"",BL68+BL69)</f>
        <v>30711.580437547393</v>
      </c>
      <c r="BM70" s="7">
        <f t="shared" si="704"/>
        <v>26313.879992246788</v>
      </c>
      <c r="BN70" s="7">
        <f t="shared" ref="BN70:BO70" si="705">IF(OR(BN69="",BN68=""),"",BN68+BN69)</f>
        <v>19432.146517858029</v>
      </c>
      <c r="BO70" s="7">
        <f t="shared" si="705"/>
        <v>18847.303846277726</v>
      </c>
      <c r="BP70" s="7">
        <f t="shared" ref="BP70:BQ70" si="706">IF(OR(BP69="",BP68=""),"",BP68+BP69)</f>
        <v>23002.208898704659</v>
      </c>
      <c r="BQ70" s="7">
        <f t="shared" si="706"/>
        <v>23323.081078118841</v>
      </c>
      <c r="BR70" s="7">
        <f t="shared" ref="BR70:BS70" si="707">IF(OR(BR69="",BR68=""),"",BR68+BR69)</f>
        <v>26876.998513884038</v>
      </c>
      <c r="BS70" s="7">
        <f t="shared" si="707"/>
        <v>26490.759859036687</v>
      </c>
      <c r="BT70" s="7">
        <f t="shared" ref="BT70:BU70" si="708">IF(OR(BT69="",BT68=""),"",BT68+BT69)</f>
        <v>23156.608205571345</v>
      </c>
      <c r="BU70" s="7">
        <f t="shared" si="708"/>
        <v>23161.646121407779</v>
      </c>
      <c r="BV70" s="7">
        <f t="shared" ref="BV70:BX70" si="709">IF(OR(BV69="",BV68=""),"",BV68+BV69)</f>
        <v>22353.736288133805</v>
      </c>
      <c r="BW70" s="7">
        <f t="shared" si="709"/>
        <v>22071.039477949511</v>
      </c>
      <c r="BX70" s="7">
        <f t="shared" si="709"/>
        <v>21964.292789022642</v>
      </c>
    </row>
    <row r="71" spans="1:76" s="4" customFormat="1" hidden="1" outlineLevel="1" x14ac:dyDescent="0.25">
      <c r="A71" s="292"/>
      <c r="B71" s="16" t="s">
        <v>13</v>
      </c>
      <c r="C71" s="94"/>
      <c r="D71" s="94"/>
      <c r="E71" s="94"/>
      <c r="F71" s="7">
        <f t="shared" ref="F71:L71" si="710">IF(OR(F68="",F67=""),"",F67-F68)</f>
        <v>0</v>
      </c>
      <c r="G71" s="7">
        <f t="shared" si="710"/>
        <v>0</v>
      </c>
      <c r="H71" s="7">
        <f t="shared" si="710"/>
        <v>206.95969459981058</v>
      </c>
      <c r="I71" s="7">
        <f t="shared" si="710"/>
        <v>-3528.7340731331474</v>
      </c>
      <c r="J71" s="7">
        <f t="shared" si="710"/>
        <v>-6806.3797850987785</v>
      </c>
      <c r="K71" s="7">
        <f t="shared" si="710"/>
        <v>-7300.5960205780684</v>
      </c>
      <c r="L71" s="7">
        <f t="shared" si="710"/>
        <v>-7080.3370793455424</v>
      </c>
      <c r="M71" s="7">
        <f>IF(OR(M68="",M67=""),"",M67-M68)</f>
        <v>-6687.927317849204</v>
      </c>
      <c r="N71" s="7">
        <f>IF(OR(N70="",N67=""),"",N67-N70)</f>
        <v>-1825.1377979269255</v>
      </c>
      <c r="O71" s="7">
        <f t="shared" ref="O71:AE71" si="711">IF(OR(O70="",O67=""),"",O67-O70)</f>
        <v>-3396.1962381337257</v>
      </c>
      <c r="P71" s="7">
        <f t="shared" si="711"/>
        <v>295.33845004445902</v>
      </c>
      <c r="Q71" s="7">
        <f t="shared" si="711"/>
        <v>-7583.0245926856451</v>
      </c>
      <c r="R71" s="7">
        <f t="shared" si="711"/>
        <v>-16971.040711894311</v>
      </c>
      <c r="S71" s="7">
        <f t="shared" si="711"/>
        <v>-19752.112044639314</v>
      </c>
      <c r="T71" s="7">
        <f t="shared" si="711"/>
        <v>-12719.486928390143</v>
      </c>
      <c r="U71" s="7">
        <f t="shared" si="711"/>
        <v>19172.899277318444</v>
      </c>
      <c r="V71" s="7">
        <f t="shared" si="711"/>
        <v>13095.653413476924</v>
      </c>
      <c r="W71" s="7">
        <f t="shared" si="711"/>
        <v>13435.289407484266</v>
      </c>
      <c r="X71" s="7">
        <f t="shared" si="711"/>
        <v>-2111.1522844831561</v>
      </c>
      <c r="Y71" s="7">
        <f>IF(OR(Y70="",Y67=""),"",Y67-Y70)</f>
        <v>-14847.184202668672</v>
      </c>
      <c r="Z71" s="7">
        <f t="shared" si="711"/>
        <v>-14340.810969499938</v>
      </c>
      <c r="AA71" s="7">
        <f t="shared" si="711"/>
        <v>-12853.165395394753</v>
      </c>
      <c r="AB71" s="7">
        <f t="shared" si="711"/>
        <v>-10152.463913657313</v>
      </c>
      <c r="AC71" s="7">
        <f t="shared" si="711"/>
        <v>-25671.045600950827</v>
      </c>
      <c r="AD71" s="7">
        <f t="shared" si="711"/>
        <v>-15560.543247539965</v>
      </c>
      <c r="AE71" s="7">
        <f t="shared" si="711"/>
        <v>-32826.324288206539</v>
      </c>
      <c r="AF71" s="7">
        <f t="shared" ref="AF71:AV71" si="712">IF(OR(AF70="",AF67=""),"",AF67-AF70)</f>
        <v>-24513.98031437075</v>
      </c>
      <c r="AG71" s="7">
        <f t="shared" si="712"/>
        <v>22319.5576163652</v>
      </c>
      <c r="AH71" s="7">
        <f t="shared" si="712"/>
        <v>16910.644843513051</v>
      </c>
      <c r="AI71" s="7">
        <f t="shared" si="712"/>
        <v>19448.436516194408</v>
      </c>
      <c r="AJ71" s="7">
        <f t="shared" si="712"/>
        <v>-13442.557416235584</v>
      </c>
      <c r="AK71" s="7">
        <f t="shared" si="712"/>
        <v>-34040.802598257753</v>
      </c>
      <c r="AL71" s="7">
        <f t="shared" si="712"/>
        <v>-19115.536054840188</v>
      </c>
      <c r="AM71" s="7">
        <f t="shared" si="712"/>
        <v>-29679.93398037623</v>
      </c>
      <c r="AN71" s="7">
        <f t="shared" si="712"/>
        <v>-26963.097302028938</v>
      </c>
      <c r="AO71" s="7">
        <f t="shared" si="712"/>
        <v>-94481.600095560469</v>
      </c>
      <c r="AP71" s="7">
        <f t="shared" si="712"/>
        <v>-13828.211367771266</v>
      </c>
      <c r="AQ71" s="7">
        <f t="shared" si="712"/>
        <v>77659.575469534422</v>
      </c>
      <c r="AR71" s="7">
        <f t="shared" si="712"/>
        <v>-7352.0554636912066</v>
      </c>
      <c r="AS71" s="7">
        <f t="shared" si="712"/>
        <v>2433.3885178160272</v>
      </c>
      <c r="AT71" s="7">
        <f t="shared" si="712"/>
        <v>8308.2755623246012</v>
      </c>
      <c r="AU71" s="7">
        <f t="shared" si="712"/>
        <v>8296.5970852261235</v>
      </c>
      <c r="AV71" s="7">
        <f t="shared" si="712"/>
        <v>976.5893087457589</v>
      </c>
      <c r="AW71" s="126">
        <f>IF(OR(AW70="",AW67=""),"",AW67-AW70)+AW66</f>
        <v>-120.35076748674328</v>
      </c>
      <c r="AX71" s="7">
        <f t="shared" ref="AX71:AY71" si="713">IF(OR(AX70="",AX67=""),"",AX67-AX70)</f>
        <v>-10119.576771598367</v>
      </c>
      <c r="AY71" s="7">
        <f t="shared" si="713"/>
        <v>-7727.8348874822113</v>
      </c>
      <c r="AZ71" s="7">
        <f t="shared" ref="AZ71:BA71" si="714">IF(OR(AZ70="",AZ67=""),"",AZ67-AZ70)</f>
        <v>-4837.5371657687665</v>
      </c>
      <c r="BA71" s="7">
        <f t="shared" si="714"/>
        <v>1529.9229825071852</v>
      </c>
      <c r="BB71" s="7">
        <f t="shared" ref="BB71:BC71" si="715">IF(OR(BB70="",BB67=""),"",BB67-BB70)</f>
        <v>-13576.358815323652</v>
      </c>
      <c r="BC71" s="7">
        <f t="shared" si="715"/>
        <v>-12790.271439470518</v>
      </c>
      <c r="BD71" s="7">
        <f t="shared" ref="BD71:BE71" si="716">IF(OR(BD70="",BD67=""),"",BD67-BD70)</f>
        <v>-4518.3967565583807</v>
      </c>
      <c r="BE71" s="7">
        <f t="shared" si="716"/>
        <v>50041.829050135551</v>
      </c>
      <c r="BF71" s="7">
        <f t="shared" ref="BF71:BG71" si="717">IF(OR(BF70="",BF67=""),"",BF67-BF70)</f>
        <v>12945.263980640091</v>
      </c>
      <c r="BG71" s="7">
        <f t="shared" si="717"/>
        <v>11244.717901399505</v>
      </c>
      <c r="BH71" s="7">
        <f t="shared" ref="BH71:BI71" si="718">IF(OR(BH70="",BH67=""),"",BH67-BH70)</f>
        <v>-10606.36236543503</v>
      </c>
      <c r="BI71" s="7">
        <f t="shared" si="718"/>
        <v>-29113.413500222094</v>
      </c>
      <c r="BJ71" s="7">
        <f t="shared" ref="BJ71:BK71" si="719">IF(OR(BJ70="",BJ67=""),"",BJ67-BJ70)</f>
        <v>-25864.035191154882</v>
      </c>
      <c r="BK71" s="7">
        <f t="shared" si="719"/>
        <v>-28008.101513706664</v>
      </c>
      <c r="BL71" s="7">
        <f t="shared" ref="BL71:BM71" si="720">IF(OR(BL70="",BL67=""),"",BL67-BL70)</f>
        <v>-15102.315903838651</v>
      </c>
      <c r="BM71" s="7">
        <f t="shared" si="720"/>
        <v>-16382.873793441453</v>
      </c>
      <c r="BN71" s="7">
        <f t="shared" ref="BN71:BO71" si="721">IF(OR(BN70="",BN67=""),"",BN67-BN70)</f>
        <v>-8697.6292060513406</v>
      </c>
      <c r="BO71" s="7">
        <f t="shared" si="721"/>
        <v>-6385.5855063109557</v>
      </c>
      <c r="BP71" s="7">
        <f t="shared" ref="BP71:BQ71" si="722">IF(OR(BP70="",BP67=""),"",BP67-BP70)</f>
        <v>-306.96719579184719</v>
      </c>
      <c r="BQ71" s="7">
        <f t="shared" si="722"/>
        <v>42085.426407036393</v>
      </c>
      <c r="BR71" s="7">
        <f t="shared" ref="BR71:BS71" si="723">IF(OR(BR70="",BR67=""),"",BR67-BR70)</f>
        <v>45838.892169700848</v>
      </c>
      <c r="BS71" s="7">
        <f t="shared" si="723"/>
        <v>46483.908135893551</v>
      </c>
      <c r="BT71" s="7">
        <f t="shared" ref="BT71:BU71" si="724">IF(OR(BT70="",BT67=""),"",BT67-BT70)</f>
        <v>25106.774633182042</v>
      </c>
      <c r="BU71" s="7">
        <f t="shared" si="724"/>
        <v>-3105.7870665374394</v>
      </c>
      <c r="BV71" s="7">
        <f t="shared" ref="BV71:BX71" si="725">IF(OR(BV70="",BV67=""),"",BV67-BV70)</f>
        <v>-8108.1197731934772</v>
      </c>
      <c r="BW71" s="7">
        <f t="shared" si="725"/>
        <v>-6025.6987843582392</v>
      </c>
      <c r="BX71" s="7">
        <f t="shared" si="725"/>
        <v>-3538.8610232719002</v>
      </c>
    </row>
    <row r="72" spans="1:76" s="4" customFormat="1" hidden="1" outlineLevel="1" x14ac:dyDescent="0.25">
      <c r="A72" s="292"/>
      <c r="B72" s="17" t="s">
        <v>8</v>
      </c>
      <c r="C72" s="94"/>
      <c r="D72" s="94"/>
      <c r="E72" s="94"/>
      <c r="F72" s="7">
        <f>IF(OR(F9="",F71=""),"",ROUND((F71+E74)*F9/12,2))</f>
        <v>0</v>
      </c>
      <c r="G72" s="7">
        <f t="shared" ref="G72:L72" si="726">IF(OR(G9="",G71=""),"",ROUND((G71+F74)*G9/12,2))</f>
        <v>0</v>
      </c>
      <c r="H72" s="7">
        <f t="shared" si="726"/>
        <v>0.46</v>
      </c>
      <c r="I72" s="7">
        <f>IF(OR(I9="",I71=""),"",ROUND((I71+H74)*I9/12,2))</f>
        <v>-7.33</v>
      </c>
      <c r="J72" s="7">
        <f t="shared" si="726"/>
        <v>-21.92</v>
      </c>
      <c r="K72" s="7">
        <f t="shared" si="726"/>
        <v>-34.200000000000003</v>
      </c>
      <c r="L72" s="7">
        <f t="shared" si="726"/>
        <v>-45.39</v>
      </c>
      <c r="M72" s="7">
        <f t="shared" ref="M72" si="727">IF(OR(M9="",M71=""),"",ROUND((M71+L74)*M9/12,2))</f>
        <v>-55.15</v>
      </c>
      <c r="N72" s="114">
        <f>IF(OR(N9="",N71=""),"",ROUND((N71+M74)*N9/12,2))+N66</f>
        <v>-34.539999999999992</v>
      </c>
      <c r="O72" s="7">
        <f t="shared" ref="O72" si="728">IF(OR(O9="",O71=""),"",ROUND((O71+N74)*O9/12,2))</f>
        <v>-58.44</v>
      </c>
      <c r="P72" s="7">
        <f t="shared" ref="P72" si="729">IF(OR(P9="",P71=""),"",ROUND((P71+O74)*P9/12,2))</f>
        <v>-57.27</v>
      </c>
      <c r="Q72" s="7">
        <f t="shared" ref="Q72:R72" si="730">IF(OR(Q9="",Q71=""),"",ROUND((Q71+P74)*Q9/12,2))</f>
        <v>-66.16</v>
      </c>
      <c r="R72" s="7">
        <f t="shared" si="730"/>
        <v>-93.73</v>
      </c>
      <c r="S72" s="7">
        <f t="shared" ref="S72" si="731">IF(OR(S9="",S71=""),"",ROUND((S71+R74)*S9/12,2))</f>
        <v>-60.07</v>
      </c>
      <c r="T72" s="7">
        <f t="shared" ref="T72" si="732">IF(OR(T9="",T71=""),"",ROUND((T71+S74)*T9/12,2))</f>
        <v>-9.33</v>
      </c>
      <c r="U72" s="7">
        <f t="shared" ref="U72" si="733">IF(OR(U9="",U71=""),"",ROUND((U71+T74)*U9/12,2))</f>
        <v>-6.77</v>
      </c>
      <c r="V72" s="7">
        <f t="shared" ref="V72" si="734">IF(OR(V9="",V71=""),"",ROUND((V71+U74)*V9/12,2))</f>
        <v>-7.97</v>
      </c>
      <c r="W72" s="7">
        <f t="shared" ref="W72:X72" si="735">IF(OR(W9="",W71=""),"",ROUND((W71+V74)*W9/12,2))</f>
        <v>-3.72</v>
      </c>
      <c r="X72" s="7">
        <f t="shared" si="735"/>
        <v>-3.25</v>
      </c>
      <c r="Y72" s="7">
        <f>IF(OR(Y9="",Y71=""),"",ROUND((Y71+X74)*Y9/12,2))</f>
        <v>-7.16</v>
      </c>
      <c r="Z72" s="7">
        <f>IF(OR(Z9="",Z71=""),"",ROUND((Z69+Z71+Y74+Z66)*Z9/12,2))+Z66</f>
        <v>7.0000000000023377E-2</v>
      </c>
      <c r="AA72" s="7">
        <f>IF(OR(AA9="",AA71=""),"",ROUND((AA69+AA71+Z74)*AA9/12,2))</f>
        <v>-14.53</v>
      </c>
      <c r="AB72" s="7">
        <f>IF(OR(AB9="",AB71=""),"",ROUND((AB69+AB71+AA74)*AB9/12,2))</f>
        <v>-11.8</v>
      </c>
      <c r="AC72" s="7">
        <f t="shared" ref="AC72:AE72" si="736">IF(OR(AC9="",AC71=""),"",ROUND((AC69+AC71+AB74)*AC9/12,2))</f>
        <v>-17.510000000000002</v>
      </c>
      <c r="AD72" s="7">
        <f t="shared" si="736"/>
        <v>-18.39</v>
      </c>
      <c r="AE72" s="7">
        <f t="shared" si="736"/>
        <v>-24.65</v>
      </c>
      <c r="AF72" s="7">
        <f t="shared" ref="AF72" si="737">IF(OR(AF9="",AF71=""),"",ROUND((AF69+AF71+AE74)*AF9/12,2))</f>
        <v>-28.25</v>
      </c>
      <c r="AG72" s="7">
        <f t="shared" ref="AG72" si="738">IF(OR(AG9="",AG71=""),"",ROUND((AG69+AG71+AF74)*AG9/12,2))</f>
        <v>-20.87</v>
      </c>
      <c r="AH72" s="7">
        <f t="shared" ref="AH72" si="739">IF(OR(AH9="",AH71=""),"",ROUND((AH69+AH71+AG74)*AH9/12,2))</f>
        <v>-11.79</v>
      </c>
      <c r="AI72" s="7">
        <f t="shared" ref="AI72" si="740">IF(OR(AI9="",AI71=""),"",ROUND((AI69+AI71+AH74)*AI9/12,2))</f>
        <v>-13.05</v>
      </c>
      <c r="AJ72" s="7">
        <f t="shared" ref="AJ72" si="741">IF(OR(AJ9="",AJ71=""),"",ROUND((AJ69+AJ71+AI74)*AJ9/12,2))</f>
        <v>-13.48</v>
      </c>
      <c r="AK72" s="7">
        <f t="shared" ref="AK72" si="742">IF(OR(AK9="",AK71=""),"",ROUND((AK69+AK71+AJ74)*AK9/12,2))</f>
        <v>-14.03</v>
      </c>
      <c r="AL72" s="7">
        <f t="shared" ref="AL72" si="743">IF(OR(AL9="",AL71=""),"",ROUND((AL69+AL71+AK74)*AL9/12,2))</f>
        <v>-16.3</v>
      </c>
      <c r="AM72" s="7">
        <f t="shared" ref="AM72" si="744">IF(OR(AM9="",AM71=""),"",ROUND((AM69+AM71+AL74)*AM9/12,2))</f>
        <v>-33.03</v>
      </c>
      <c r="AN72" s="7">
        <f t="shared" ref="AN72" si="745">IF(OR(AN9="",AN71=""),"",ROUND((AN69+AN71+AM74)*AN9/12,2))</f>
        <v>-34.06</v>
      </c>
      <c r="AO72" s="7">
        <f t="shared" ref="AO72" si="746">IF(OR(AO9="",AO71=""),"",ROUND((AO69+AO71+AN74)*AO9/12,2))</f>
        <v>-47.68</v>
      </c>
      <c r="AP72" s="7">
        <f t="shared" ref="AP72" si="747">IF(OR(AP9="",AP71=""),"",ROUND((AP69+AP71+AO74)*AP9/12,2))</f>
        <v>-111.07</v>
      </c>
      <c r="AQ72" s="7">
        <f t="shared" ref="AQ72" si="748">IF(OR(AQ9="",AQ71=""),"",ROUND((AQ69+AQ71+AP74)*AQ9/12,2))</f>
        <v>-82.15</v>
      </c>
      <c r="AR72" s="7">
        <f t="shared" ref="AR72" si="749">IF(OR(AR9="",AR71=""),"",ROUND((AR69+AR71+AQ74)*AR9/12,2))</f>
        <v>-127.42</v>
      </c>
      <c r="AS72" s="7">
        <f t="shared" ref="AS72" si="750">IF(OR(AS9="",AS71=""),"",ROUND((AS69+AS71+AR74)*AS9/12,2))</f>
        <v>-180.46</v>
      </c>
      <c r="AT72" s="7">
        <f t="shared" ref="AT72" si="751">IF(OR(AT9="",AT71=""),"",ROUND((AT69+AT71+AS74)*AT9/12,2))</f>
        <v>-210.38</v>
      </c>
      <c r="AU72" s="7">
        <f t="shared" ref="AU72" si="752">IF(OR(AU9="",AU71=""),"",ROUND((AU69+AU71+AT74)*AU9/12,2))</f>
        <v>-213.6</v>
      </c>
      <c r="AV72" s="7">
        <f t="shared" ref="AV72" si="753">IF(OR(AV9="",AV71=""),"",ROUND((AV69+AV71+AU74)*AV9/12,2))</f>
        <v>-198.64</v>
      </c>
      <c r="AW72" s="7">
        <f t="shared" ref="AW72:AY72" si="754">IF(OR(AW9="",AW71=""),"",ROUND((AW69+AW71+AV74)*AW9/12,2))</f>
        <v>-205.42</v>
      </c>
      <c r="AX72" s="7">
        <f t="shared" si="754"/>
        <v>-243.64</v>
      </c>
      <c r="AY72" s="7">
        <f t="shared" si="754"/>
        <v>-243.5</v>
      </c>
      <c r="AZ72" s="115">
        <f>IF(OR(AZ9="",AZ71=""),"",ROUND((AZ69+AZ71+AY74+AZ66)*AZ9/12,2))+AZ66</f>
        <v>-224.67999999999992</v>
      </c>
      <c r="BA72" s="115">
        <f t="shared" ref="BA72:BL72" si="755">IF(OR(BA9="",BA71=""),"",ROUND((BA69+BA71+AZ74)*BA9/12,2))</f>
        <v>-222.57</v>
      </c>
      <c r="BB72" s="115">
        <f t="shared" si="755"/>
        <v>-273.89999999999998</v>
      </c>
      <c r="BC72" s="115">
        <f t="shared" si="755"/>
        <v>-332</v>
      </c>
      <c r="BD72" s="115">
        <f t="shared" si="755"/>
        <v>-344.37</v>
      </c>
      <c r="BE72" s="115">
        <f t="shared" si="755"/>
        <v>-108.18</v>
      </c>
      <c r="BF72" s="115">
        <f t="shared" si="755"/>
        <v>-34.69</v>
      </c>
      <c r="BG72" s="115">
        <f t="shared" si="755"/>
        <v>35.25</v>
      </c>
      <c r="BH72" s="115">
        <f t="shared" si="755"/>
        <v>7.21</v>
      </c>
      <c r="BI72" s="115">
        <f t="shared" si="755"/>
        <v>-105.9</v>
      </c>
      <c r="BJ72" s="115">
        <f t="shared" si="755"/>
        <v>-208.34</v>
      </c>
      <c r="BK72" s="115">
        <f t="shared" si="755"/>
        <v>-317.45999999999998</v>
      </c>
      <c r="BL72" s="115">
        <f t="shared" si="755"/>
        <v>-359.11</v>
      </c>
      <c r="BM72" s="273">
        <f>IF(OR(BM9="",BM71=""),"",ROUND((BM69+BM71+BL74+BM66)*BM9/12,2))</f>
        <v>-394.87</v>
      </c>
      <c r="BN72" s="115">
        <f t="shared" ref="BN72:BU72" si="756">IF(OR(BN9="",BN71=""),"",ROUND((BN69+BN71+BM74)*BN9/12,2))</f>
        <v>-416.12</v>
      </c>
      <c r="BO72" s="115">
        <f t="shared" si="756"/>
        <v>-429.58</v>
      </c>
      <c r="BP72" s="115">
        <f t="shared" si="756"/>
        <v>-403.98</v>
      </c>
      <c r="BQ72" s="115">
        <f t="shared" si="756"/>
        <v>-186.84</v>
      </c>
      <c r="BR72" s="115">
        <f t="shared" si="756"/>
        <v>58.05</v>
      </c>
      <c r="BS72" s="115">
        <f t="shared" si="756"/>
        <v>306.58999999999997</v>
      </c>
      <c r="BT72" s="115">
        <f t="shared" si="756"/>
        <v>432.12</v>
      </c>
      <c r="BU72" s="115">
        <f t="shared" si="756"/>
        <v>416.93</v>
      </c>
      <c r="BV72" s="115">
        <f t="shared" ref="BV72" si="757">IF(OR(BV9="",BV71=""),"",ROUND((BV69+BV71+BU74)*BV9/12,2))</f>
        <v>409.95</v>
      </c>
      <c r="BW72" s="115">
        <f t="shared" ref="BW72" si="758">IF(OR(BW9="",BW71=""),"",ROUND((BW69+BW71+BV74)*BW9/12,2))</f>
        <v>411.24</v>
      </c>
      <c r="BX72" s="115">
        <f t="shared" ref="BX72" si="759">IF(OR(BX9="",BX71=""),"",ROUND((BX69+BX71+BW74)*BX9/12,2))</f>
        <v>422.68</v>
      </c>
    </row>
    <row r="73" spans="1:76" s="4" customFormat="1" hidden="1" outlineLevel="1" x14ac:dyDescent="0.25">
      <c r="A73" s="292"/>
      <c r="B73" s="16" t="s">
        <v>14</v>
      </c>
      <c r="C73" s="94"/>
      <c r="D73" s="94"/>
      <c r="E73" s="94"/>
      <c r="F73" s="7">
        <f t="shared" ref="F73:M73" si="760">IF(OR(F71="",F72=""),"",F71+F72)</f>
        <v>0</v>
      </c>
      <c r="G73" s="7">
        <f t="shared" si="760"/>
        <v>0</v>
      </c>
      <c r="H73" s="7">
        <f t="shared" si="760"/>
        <v>207.41969459981058</v>
      </c>
      <c r="I73" s="7">
        <f t="shared" si="760"/>
        <v>-3536.0640731331473</v>
      </c>
      <c r="J73" s="7">
        <f t="shared" si="760"/>
        <v>-6828.2997850987786</v>
      </c>
      <c r="K73" s="7">
        <f t="shared" si="760"/>
        <v>-7334.7960205780682</v>
      </c>
      <c r="L73" s="7">
        <f t="shared" si="760"/>
        <v>-7125.7270793455427</v>
      </c>
      <c r="M73" s="7">
        <f t="shared" si="760"/>
        <v>-6743.0773178492036</v>
      </c>
      <c r="N73" s="7">
        <f>IF(OR(N71="",N72=""),"",N71+N72)</f>
        <v>-1859.6777979269255</v>
      </c>
      <c r="O73" s="7">
        <f t="shared" ref="O73:AE73" si="761">IF(OR(O71="",O72=""),"",O71+O72)</f>
        <v>-3454.6362381337258</v>
      </c>
      <c r="P73" s="7">
        <f t="shared" si="761"/>
        <v>238.06845004445901</v>
      </c>
      <c r="Q73" s="7">
        <f t="shared" si="761"/>
        <v>-7649.1845926856449</v>
      </c>
      <c r="R73" s="7">
        <f t="shared" si="761"/>
        <v>-17064.770711894311</v>
      </c>
      <c r="S73" s="7">
        <f t="shared" si="761"/>
        <v>-19812.182044639314</v>
      </c>
      <c r="T73" s="7">
        <f t="shared" si="761"/>
        <v>-12728.816928390142</v>
      </c>
      <c r="U73" s="7">
        <f t="shared" si="761"/>
        <v>19166.129277318443</v>
      </c>
      <c r="V73" s="7">
        <f t="shared" si="761"/>
        <v>13087.683413476925</v>
      </c>
      <c r="W73" s="7">
        <f t="shared" si="761"/>
        <v>13431.569407484267</v>
      </c>
      <c r="X73" s="7">
        <f t="shared" si="761"/>
        <v>-2114.4022844831561</v>
      </c>
      <c r="Y73" s="7">
        <f t="shared" si="761"/>
        <v>-14854.344202668672</v>
      </c>
      <c r="Z73" s="7">
        <f>IF(OR(Z71="",Z72=""),"",Z71+Z72)</f>
        <v>-14340.740969499939</v>
      </c>
      <c r="AA73" s="7">
        <f t="shared" si="761"/>
        <v>-12867.695395394754</v>
      </c>
      <c r="AB73" s="7">
        <f t="shared" si="761"/>
        <v>-10164.263913657313</v>
      </c>
      <c r="AC73" s="7">
        <f t="shared" si="761"/>
        <v>-25688.555600950825</v>
      </c>
      <c r="AD73" s="7">
        <f t="shared" si="761"/>
        <v>-15578.933247539964</v>
      </c>
      <c r="AE73" s="7">
        <f t="shared" si="761"/>
        <v>-32850.97428820654</v>
      </c>
      <c r="AF73" s="7">
        <f t="shared" ref="AF73:AW73" si="762">IF(OR(AF71="",AF72=""),"",AF71+AF72)</f>
        <v>-24542.23031437075</v>
      </c>
      <c r="AG73" s="7">
        <f t="shared" si="762"/>
        <v>22298.687616365201</v>
      </c>
      <c r="AH73" s="7">
        <f t="shared" si="762"/>
        <v>16898.854843513051</v>
      </c>
      <c r="AI73" s="7">
        <f t="shared" si="762"/>
        <v>19435.386516194409</v>
      </c>
      <c r="AJ73" s="7">
        <f t="shared" si="762"/>
        <v>-13456.037416235584</v>
      </c>
      <c r="AK73" s="7">
        <f t="shared" si="762"/>
        <v>-34054.832598257752</v>
      </c>
      <c r="AL73" s="7">
        <f t="shared" si="762"/>
        <v>-19131.836054840187</v>
      </c>
      <c r="AM73" s="7">
        <f t="shared" si="762"/>
        <v>-29712.963980376229</v>
      </c>
      <c r="AN73" s="7">
        <f t="shared" si="762"/>
        <v>-26997.15730202894</v>
      </c>
      <c r="AO73" s="7">
        <f t="shared" si="762"/>
        <v>-94529.280095560462</v>
      </c>
      <c r="AP73" s="7">
        <f t="shared" si="762"/>
        <v>-13939.281367771266</v>
      </c>
      <c r="AQ73" s="7">
        <f t="shared" si="762"/>
        <v>77577.425469534428</v>
      </c>
      <c r="AR73" s="7">
        <f t="shared" si="762"/>
        <v>-7479.4754636912066</v>
      </c>
      <c r="AS73" s="7">
        <f t="shared" si="762"/>
        <v>2252.9285178160271</v>
      </c>
      <c r="AT73" s="7">
        <f t="shared" si="762"/>
        <v>8097.8955623246011</v>
      </c>
      <c r="AU73" s="7">
        <f t="shared" si="762"/>
        <v>8082.9970852261231</v>
      </c>
      <c r="AV73" s="7">
        <f t="shared" si="762"/>
        <v>777.94930874575891</v>
      </c>
      <c r="AW73" s="7">
        <f t="shared" si="762"/>
        <v>-325.77076748674324</v>
      </c>
      <c r="AX73" s="7">
        <f t="shared" ref="AX73:AY73" si="763">IF(OR(AX71="",AX72=""),"",AX71+AX72)</f>
        <v>-10363.216771598367</v>
      </c>
      <c r="AY73" s="7">
        <f t="shared" si="763"/>
        <v>-7971.3348874822113</v>
      </c>
      <c r="AZ73" s="7">
        <f t="shared" ref="AZ73:BA73" si="764">IF(OR(AZ71="",AZ72=""),"",AZ71+AZ72)</f>
        <v>-5062.2171657687668</v>
      </c>
      <c r="BA73" s="7">
        <f t="shared" si="764"/>
        <v>1307.3529825071853</v>
      </c>
      <c r="BB73" s="7">
        <f t="shared" ref="BB73:BC73" si="765">IF(OR(BB71="",BB72=""),"",BB71+BB72)</f>
        <v>-13850.258815323652</v>
      </c>
      <c r="BC73" s="7">
        <f t="shared" si="765"/>
        <v>-13122.271439470518</v>
      </c>
      <c r="BD73" s="7">
        <f t="shared" ref="BD73:BE73" si="766">IF(OR(BD71="",BD72=""),"",BD71+BD72)</f>
        <v>-4862.7667565583806</v>
      </c>
      <c r="BE73" s="7">
        <f t="shared" si="766"/>
        <v>49933.649050135551</v>
      </c>
      <c r="BF73" s="7">
        <f t="shared" ref="BF73:BG73" si="767">IF(OR(BF71="",BF72=""),"",BF71+BF72)</f>
        <v>12910.573980640091</v>
      </c>
      <c r="BG73" s="7">
        <f t="shared" si="767"/>
        <v>11279.967901399505</v>
      </c>
      <c r="BH73" s="7">
        <f t="shared" ref="BH73:BI73" si="768">IF(OR(BH71="",BH72=""),"",BH71+BH72)</f>
        <v>-10599.152365435031</v>
      </c>
      <c r="BI73" s="7">
        <f t="shared" si="768"/>
        <v>-29219.313500222095</v>
      </c>
      <c r="BJ73" s="7">
        <f t="shared" ref="BJ73:BK73" si="769">IF(OR(BJ71="",BJ72=""),"",BJ71+BJ72)</f>
        <v>-26072.375191154882</v>
      </c>
      <c r="BK73" s="7">
        <f t="shared" si="769"/>
        <v>-28325.561513706663</v>
      </c>
      <c r="BL73" s="7">
        <f t="shared" ref="BL73:BM73" si="770">IF(OR(BL71="",BL72=""),"",BL71+BL72)</f>
        <v>-15461.425903838652</v>
      </c>
      <c r="BM73" s="7">
        <f t="shared" si="770"/>
        <v>-16777.743793441452</v>
      </c>
      <c r="BN73" s="7">
        <f t="shared" ref="BN73:BO73" si="771">IF(OR(BN71="",BN72=""),"",BN71+BN72)</f>
        <v>-9113.7492060513414</v>
      </c>
      <c r="BO73" s="7">
        <f t="shared" si="771"/>
        <v>-6815.1655063109556</v>
      </c>
      <c r="BP73" s="7">
        <f t="shared" ref="BP73:BQ73" si="772">IF(OR(BP71="",BP72=""),"",BP71+BP72)</f>
        <v>-710.94719579184721</v>
      </c>
      <c r="BQ73" s="7">
        <f t="shared" si="772"/>
        <v>41898.586407036397</v>
      </c>
      <c r="BR73" s="7">
        <f t="shared" ref="BR73:BS73" si="773">IF(OR(BR71="",BR72=""),"",BR71+BR72)</f>
        <v>45896.942169700851</v>
      </c>
      <c r="BS73" s="7">
        <f t="shared" si="773"/>
        <v>46790.498135893547</v>
      </c>
      <c r="BT73" s="7">
        <f t="shared" ref="BT73:BU73" si="774">IF(OR(BT71="",BT72=""),"",BT71+BT72)</f>
        <v>25538.894633182041</v>
      </c>
      <c r="BU73" s="7">
        <f t="shared" si="774"/>
        <v>-2688.8570665374396</v>
      </c>
      <c r="BV73" s="7">
        <f t="shared" ref="BV73:BX73" si="775">IF(OR(BV71="",BV72=""),"",BV71+BV72)</f>
        <v>-7698.1697731934773</v>
      </c>
      <c r="BW73" s="7">
        <f t="shared" si="775"/>
        <v>-5614.4587843582394</v>
      </c>
      <c r="BX73" s="7">
        <f t="shared" si="775"/>
        <v>-3116.1810232719004</v>
      </c>
    </row>
    <row r="74" spans="1:76" s="4" customFormat="1" hidden="1" outlineLevel="1" x14ac:dyDescent="0.25">
      <c r="A74" s="292"/>
      <c r="B74" s="18" t="s">
        <v>19</v>
      </c>
      <c r="C74" s="98"/>
      <c r="D74" s="98"/>
      <c r="E74" s="98"/>
      <c r="F74" s="7">
        <f>IF(OR(F73=""),"",F73)</f>
        <v>0</v>
      </c>
      <c r="G74" s="7">
        <f t="shared" ref="G74:M74" si="776">IF(OR(G73="",F74=""),"",G73+F74)</f>
        <v>0</v>
      </c>
      <c r="H74" s="7">
        <f t="shared" si="776"/>
        <v>207.41969459981058</v>
      </c>
      <c r="I74" s="7">
        <f t="shared" si="776"/>
        <v>-3328.6443785333367</v>
      </c>
      <c r="J74" s="7">
        <f t="shared" si="776"/>
        <v>-10156.944163632115</v>
      </c>
      <c r="K74" s="7">
        <f t="shared" si="776"/>
        <v>-17491.740184210183</v>
      </c>
      <c r="L74" s="7">
        <f t="shared" si="776"/>
        <v>-24617.467263555725</v>
      </c>
      <c r="M74" s="7">
        <f t="shared" si="776"/>
        <v>-31360.544581404931</v>
      </c>
      <c r="N74" s="7">
        <f>IF(OR(N73="",M74=""),"",N73+N69+M74)</f>
        <v>-33220.222379331855</v>
      </c>
      <c r="O74" s="7">
        <f>IF(OR(O73="",N74=""),"",O73+O69+N74)</f>
        <v>-36674.858617465579</v>
      </c>
      <c r="P74" s="7">
        <f t="shared" ref="P74:AE74" si="777">IF(OR(P73="",O74=""),"",P73+P69+O74)</f>
        <v>-36436.790167421117</v>
      </c>
      <c r="Q74" s="7">
        <f t="shared" si="777"/>
        <v>-42581.294760106764</v>
      </c>
      <c r="R74" s="7">
        <f t="shared" si="777"/>
        <v>-57054.185472001074</v>
      </c>
      <c r="S74" s="7">
        <f t="shared" si="777"/>
        <v>-74028.017516640393</v>
      </c>
      <c r="T74" s="7">
        <f t="shared" si="777"/>
        <v>-83875.064445030541</v>
      </c>
      <c r="U74" s="7">
        <f t="shared" si="777"/>
        <v>-62458.425167712099</v>
      </c>
      <c r="V74" s="7">
        <f t="shared" si="777"/>
        <v>-46131.341754235174</v>
      </c>
      <c r="W74" s="7">
        <f t="shared" si="777"/>
        <v>-29363.132346750906</v>
      </c>
      <c r="X74" s="7">
        <f t="shared" si="777"/>
        <v>-28093.414631234064</v>
      </c>
      <c r="Y74" s="7">
        <f t="shared" si="777"/>
        <v>-39966.888833902733</v>
      </c>
      <c r="Z74" s="7">
        <f t="shared" si="777"/>
        <v>-51383.949803402669</v>
      </c>
      <c r="AA74" s="7">
        <f t="shared" si="777"/>
        <v>-61266.075198797422</v>
      </c>
      <c r="AB74" s="7">
        <f t="shared" si="777"/>
        <v>-68699.899112454732</v>
      </c>
      <c r="AC74" s="7">
        <f t="shared" si="777"/>
        <v>-90491.304713405552</v>
      </c>
      <c r="AD74" s="7">
        <f t="shared" si="777"/>
        <v>-103286.21796094552</v>
      </c>
      <c r="AE74" s="7">
        <f t="shared" si="777"/>
        <v>-131417.89224915206</v>
      </c>
      <c r="AF74" s="7">
        <f t="shared" ref="AF74" si="778">IF(OR(AF73="",AE74=""),"",AF73+AF69+AE74)</f>
        <v>-151165.5225635228</v>
      </c>
      <c r="AG74" s="7">
        <f t="shared" ref="AG74" si="779">IF(OR(AG73="",AF74=""),"",AG73+AG69+AF74)</f>
        <v>-124239.48494715759</v>
      </c>
      <c r="AH74" s="7">
        <f t="shared" ref="AH74" si="780">IF(OR(AH73="",AG74=""),"",AH73+AH69+AG74)</f>
        <v>-101435.26010364454</v>
      </c>
      <c r="AI74" s="7">
        <f t="shared" ref="AI74" si="781">IF(OR(AI73="",AH74=""),"",AI73+AI69+AH74)</f>
        <v>-76378.203587450131</v>
      </c>
      <c r="AJ74" s="7">
        <f t="shared" ref="AJ74" si="782">IF(OR(AJ73="",AI74=""),"",AJ73+AJ69+AI74)</f>
        <v>-83755.511003685708</v>
      </c>
      <c r="AK74" s="7">
        <f t="shared" ref="AK74" si="783">IF(OR(AK73="",AJ74=""),"",AK73+AK69+AJ74)</f>
        <v>-112238.76360194346</v>
      </c>
      <c r="AL74" s="7">
        <f t="shared" ref="AL74" si="784">IF(OR(AL73="",AK74=""),"",AL73+AL69+AK74)</f>
        <v>-127671.70965678364</v>
      </c>
      <c r="AM74" s="7">
        <f t="shared" ref="AM74" si="785">IF(OR(AM73="",AL74=""),"",AM73+AM69+AL74)</f>
        <v>-152198.53363715988</v>
      </c>
      <c r="AN74" s="7">
        <f t="shared" ref="AN74" si="786">IF(OR(AN73="",AM74=""),"",AN73+AN69+AM74)</f>
        <v>-174363.38093918882</v>
      </c>
      <c r="AO74" s="7">
        <f t="shared" ref="AO74" si="787">IF(OR(AO73="",AN74=""),"",AO73+AO69+AN74)</f>
        <v>-193449.93103474929</v>
      </c>
      <c r="AP74" s="7">
        <f t="shared" ref="AP74" si="788">IF(OR(AP73="",AO74=""),"",AP73+AP69+AO74)</f>
        <v>-193757.93240252056</v>
      </c>
      <c r="AQ74" s="7">
        <f t="shared" ref="AQ74" si="789">IF(OR(AQ73="",AP74=""),"",AQ73+AQ69+AP74)</f>
        <v>-164277.77693298613</v>
      </c>
      <c r="AR74" s="7">
        <f t="shared" ref="AR74" si="790">IF(OR(AR73="",AQ74=""),"",AR73+AR69+AQ74)</f>
        <v>-161129.03239667733</v>
      </c>
      <c r="AS74" s="7">
        <f t="shared" ref="AS74" si="791">IF(OR(AS73="",AR74=""),"",AS73+AS69+AR74)</f>
        <v>-145920.15387886131</v>
      </c>
      <c r="AT74" s="7">
        <f t="shared" ref="AT74" si="792">IF(OR(AT73="",AS74=""),"",AT73+AT69+AS74)</f>
        <v>-122958.67831653671</v>
      </c>
      <c r="AU74" s="7">
        <f t="shared" ref="AU74" si="793">IF(OR(AU73="",AT74=""),"",AU73+AU69+AT74)</f>
        <v>-100178.93123131059</v>
      </c>
      <c r="AV74" s="7">
        <f t="shared" ref="AV74" si="794">IF(OR(AV73="",AU74=""),"",AV73+AV69+AU74)</f>
        <v>-84079.361922564829</v>
      </c>
      <c r="AW74" s="7">
        <f t="shared" ref="AW74:AY74" si="795">IF(OR(AW73="",AV74=""),"",AW73+AW69+AV74)</f>
        <v>-71242.422690051579</v>
      </c>
      <c r="AX74" s="7">
        <f t="shared" si="795"/>
        <v>-68458.119461649942</v>
      </c>
      <c r="AY74" s="7">
        <f t="shared" si="795"/>
        <v>-63522.424349132154</v>
      </c>
      <c r="AZ74" s="7">
        <f t="shared" ref="AZ74:BL74" si="796">IF(OR(AZ73="",AY74=""),"",AZ73+AZ69+AY74)</f>
        <v>-57688.801514900922</v>
      </c>
      <c r="BA74" s="7">
        <f t="shared" si="796"/>
        <v>-55314.958532393735</v>
      </c>
      <c r="BB74" s="7">
        <f t="shared" si="796"/>
        <v>-66148.227347717388</v>
      </c>
      <c r="BC74" s="7">
        <f t="shared" si="796"/>
        <v>-76235.208787187905</v>
      </c>
      <c r="BD74" s="7">
        <f t="shared" si="796"/>
        <v>-77923.045543746281</v>
      </c>
      <c r="BE74" s="7">
        <f t="shared" si="796"/>
        <v>-24170.586493610732</v>
      </c>
      <c r="BF74" s="7">
        <f t="shared" si="796"/>
        <v>-7683.2725129706414</v>
      </c>
      <c r="BG74" s="7">
        <f t="shared" si="796"/>
        <v>7697.4953884288625</v>
      </c>
      <c r="BH74" s="7">
        <f t="shared" si="796"/>
        <v>1570.7630229938313</v>
      </c>
      <c r="BI74" s="7">
        <f t="shared" si="796"/>
        <v>-23138.390477228262</v>
      </c>
      <c r="BJ74" s="7">
        <f t="shared" si="796"/>
        <v>-45189.785668383149</v>
      </c>
      <c r="BK74" s="7">
        <f t="shared" si="796"/>
        <v>-68988.147182089815</v>
      </c>
      <c r="BL74" s="7">
        <f t="shared" si="796"/>
        <v>-80482.713085928466</v>
      </c>
      <c r="BM74" s="126">
        <f>IF(OR(BM73="",BL74=""),"",BM73+BM69+BL74+BM66)</f>
        <v>-88515.384780899301</v>
      </c>
      <c r="BN74" s="7">
        <f t="shared" ref="BN74:BU74" si="797">IF(OR(BN73="",BM74=""),"",BN73+BN69+BM74)</f>
        <v>-92399.413986950647</v>
      </c>
      <c r="BO74" s="7">
        <f t="shared" si="797"/>
        <v>-94153.499493261595</v>
      </c>
      <c r="BP74" s="7">
        <f t="shared" si="797"/>
        <v>-88706.466689053443</v>
      </c>
      <c r="BQ74" s="7">
        <f t="shared" si="797"/>
        <v>-40563.990282017046</v>
      </c>
      <c r="BR74" s="7">
        <f t="shared" si="797"/>
        <v>12538.991887683806</v>
      </c>
      <c r="BS74" s="7">
        <f t="shared" si="797"/>
        <v>66429.94002357735</v>
      </c>
      <c r="BT74" s="7">
        <f t="shared" si="797"/>
        <v>98172.564656759394</v>
      </c>
      <c r="BU74" s="7">
        <f t="shared" si="797"/>
        <v>101680.17759022195</v>
      </c>
      <c r="BV74" s="7">
        <f t="shared" ref="BV74" si="798">IF(OR(BV73="",BU74=""),"",BV73+BV69+BU74)</f>
        <v>99978.547817028477</v>
      </c>
      <c r="BW74" s="7">
        <f t="shared" ref="BW74" si="799">IF(OR(BW73="",BV74=""),"",BW73+BW69+BV74)</f>
        <v>100293.06903267023</v>
      </c>
      <c r="BX74" s="7">
        <f t="shared" ref="BX74" si="800">IF(OR(BX73="",BW74=""),"",BX73+BX69+BW74)</f>
        <v>103083.39800939833</v>
      </c>
    </row>
    <row r="75" spans="1:76" s="4" customFormat="1" ht="8.25" hidden="1" customHeight="1" outlineLevel="1" x14ac:dyDescent="0.25">
      <c r="A75" s="40"/>
      <c r="B75" s="11"/>
      <c r="C75" s="99"/>
      <c r="D75" s="99"/>
      <c r="E75" s="99"/>
      <c r="F75" s="97"/>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row>
    <row r="76" spans="1:76" ht="15" customHeight="1" collapsed="1" x14ac:dyDescent="0.25">
      <c r="A76" s="293" t="s">
        <v>65</v>
      </c>
      <c r="B76" s="84"/>
      <c r="C76" s="32"/>
      <c r="D76" s="32"/>
      <c r="E76" s="32"/>
      <c r="F76" s="29"/>
      <c r="G76" s="29"/>
      <c r="H76" s="29"/>
      <c r="I76" s="29"/>
      <c r="J76" s="29"/>
      <c r="K76" s="107"/>
      <c r="L76" s="29"/>
      <c r="M76" s="29"/>
      <c r="N76" s="29"/>
      <c r="O76" s="7"/>
      <c r="P76" s="29"/>
      <c r="Q76" s="29"/>
      <c r="R76" s="29"/>
      <c r="S76" s="29"/>
      <c r="T76" s="29"/>
      <c r="U76" s="29"/>
      <c r="V76" s="29"/>
      <c r="W76" s="29"/>
      <c r="X76" s="29"/>
      <c r="Y76" s="29"/>
      <c r="Z76" s="29"/>
      <c r="AA76" s="153"/>
      <c r="AB76" s="153"/>
      <c r="AC76" s="152">
        <v>-50000</v>
      </c>
      <c r="AD76" s="29"/>
      <c r="AE76" s="29"/>
      <c r="AF76" s="29"/>
      <c r="AG76" s="175"/>
      <c r="AH76" s="29"/>
      <c r="AI76" s="29"/>
      <c r="AJ76" s="29"/>
      <c r="AK76" s="152">
        <v>-153732.06</v>
      </c>
      <c r="AL76" s="152">
        <f>'MEEIA 3 adjs'!BW35</f>
        <v>-31.022527238338242</v>
      </c>
      <c r="AM76" s="29"/>
      <c r="AN76" s="29"/>
      <c r="AO76" s="211">
        <v>13638.822646076675</v>
      </c>
      <c r="AP76" s="29"/>
      <c r="AQ76" s="29"/>
      <c r="AR76" s="29"/>
      <c r="AS76" s="29"/>
      <c r="AT76" s="29"/>
      <c r="AU76" s="29"/>
      <c r="AV76" s="29"/>
      <c r="AW76" s="29"/>
      <c r="AX76" s="29"/>
      <c r="AY76" s="29"/>
      <c r="AZ76" s="208">
        <f>+'MEEIA 2 adjs'!EC81</f>
        <v>-0.14536509454228508</v>
      </c>
      <c r="BA76" s="229"/>
      <c r="BB76" s="229"/>
      <c r="BC76" s="229"/>
      <c r="BD76" s="229"/>
      <c r="BE76" s="229"/>
      <c r="BF76" s="229"/>
      <c r="BG76" s="229"/>
      <c r="BH76" s="229"/>
      <c r="BI76" s="229"/>
      <c r="BJ76" s="229"/>
      <c r="BK76" s="229"/>
      <c r="BL76" s="229"/>
      <c r="BM76" s="229"/>
      <c r="BN76" s="229"/>
      <c r="BO76" s="229"/>
      <c r="BP76" s="229"/>
      <c r="BQ76" s="229"/>
      <c r="BR76" s="229"/>
      <c r="BS76" s="229"/>
      <c r="BT76" s="229"/>
      <c r="BU76" s="229"/>
      <c r="BV76" s="229"/>
      <c r="BW76" s="229"/>
      <c r="BX76" s="229"/>
    </row>
    <row r="77" spans="1:76" s="3" customFormat="1" x14ac:dyDescent="0.25">
      <c r="A77" s="293"/>
      <c r="B77" s="84" t="s">
        <v>66</v>
      </c>
      <c r="C77" s="94"/>
      <c r="D77" s="94"/>
      <c r="E77" s="94"/>
      <c r="F77" s="22"/>
      <c r="G77" s="22"/>
      <c r="H77" s="22"/>
      <c r="I77" s="22"/>
      <c r="J77" s="22"/>
      <c r="K77" s="22"/>
      <c r="L77" s="21"/>
      <c r="M77" s="22"/>
      <c r="N77" s="22"/>
      <c r="O77" s="21"/>
      <c r="P77" s="22"/>
      <c r="Q77" s="22"/>
      <c r="R77" s="22"/>
      <c r="S77" s="22"/>
      <c r="T77" s="22"/>
      <c r="U77" s="22"/>
      <c r="V77" s="22"/>
      <c r="W77" s="22"/>
      <c r="X77" s="22"/>
      <c r="Y77" s="22"/>
      <c r="Z77" s="22"/>
      <c r="AA77" s="22"/>
      <c r="AB77" s="22">
        <v>0</v>
      </c>
      <c r="AC77" s="22">
        <v>0</v>
      </c>
      <c r="AD77" s="22">
        <v>0</v>
      </c>
      <c r="AE77" s="22">
        <v>0</v>
      </c>
      <c r="AF77" s="22">
        <v>0</v>
      </c>
      <c r="AG77" s="22">
        <v>0</v>
      </c>
      <c r="AH77" s="22">
        <v>0</v>
      </c>
      <c r="AI77" s="22">
        <v>0</v>
      </c>
      <c r="AJ77" s="22">
        <v>0</v>
      </c>
      <c r="AK77" s="22">
        <v>0</v>
      </c>
      <c r="AL77" s="22">
        <v>0</v>
      </c>
      <c r="AM77" s="22">
        <v>0</v>
      </c>
      <c r="AN77" s="22">
        <v>0</v>
      </c>
      <c r="AO77" s="22">
        <v>-7656.73</v>
      </c>
      <c r="AP77" s="22">
        <v>-17111.14</v>
      </c>
      <c r="AQ77" s="22">
        <v>-14510.33</v>
      </c>
      <c r="AR77" s="22">
        <v>-14291.36</v>
      </c>
      <c r="AS77" s="22">
        <v>-17612.43</v>
      </c>
      <c r="AT77" s="22">
        <v>-22392.62</v>
      </c>
      <c r="AU77" s="22">
        <v>-21403.22</v>
      </c>
      <c r="AV77" s="22">
        <v>-19009.3</v>
      </c>
      <c r="AW77" s="22">
        <v>-14623.32</v>
      </c>
      <c r="AX77" s="22">
        <v>-13738.07</v>
      </c>
      <c r="AY77" s="22">
        <v>-18464.63</v>
      </c>
      <c r="AZ77" s="22">
        <v>-20880.5</v>
      </c>
      <c r="BA77" s="22">
        <v>-9952.4599999999991</v>
      </c>
      <c r="BB77" s="22">
        <v>-159.21</v>
      </c>
      <c r="BC77" s="22">
        <v>-114.67</v>
      </c>
      <c r="BD77" s="22">
        <v>-124.39</v>
      </c>
      <c r="BE77" s="22">
        <v>-11657.69</v>
      </c>
      <c r="BF77" s="22">
        <v>-117.23</v>
      </c>
      <c r="BG77" s="22">
        <v>-147.81</v>
      </c>
      <c r="BH77" s="22">
        <v>-187.27</v>
      </c>
      <c r="BI77" s="22">
        <v>-179.28</v>
      </c>
      <c r="BJ77" s="22">
        <v>-162.31</v>
      </c>
      <c r="BK77" s="22">
        <v>-182.77</v>
      </c>
      <c r="BL77" s="22">
        <v>37.43</v>
      </c>
      <c r="BM77" s="22">
        <v>629.21</v>
      </c>
      <c r="BN77" s="22">
        <v>1360.47</v>
      </c>
      <c r="BO77" s="22">
        <v>1351.43</v>
      </c>
      <c r="BP77" s="22">
        <v>1338.93</v>
      </c>
      <c r="BQ77" s="22">
        <v>1582.38</v>
      </c>
      <c r="BR77" s="22">
        <v>1849.89</v>
      </c>
      <c r="BS77" s="22">
        <v>1720.96</v>
      </c>
      <c r="BT77" s="22">
        <v>1701.25</v>
      </c>
      <c r="BU77" s="22">
        <v>1466.67</v>
      </c>
      <c r="BV77" s="126">
        <f>SUM('[1]OAR (M3)'!$AU$29:$AU$33)</f>
        <v>2390.1146747706744</v>
      </c>
      <c r="BW77" s="126">
        <f>SUM('[1]OAR (M3)'!$AV$29:$AV$33)</f>
        <v>2824.797524259021</v>
      </c>
      <c r="BX77" s="126">
        <f>SUM('[1]OAR (M3)'!$AW$22:$AW$26)</f>
        <v>3155.8251495865743</v>
      </c>
    </row>
    <row r="78" spans="1:76" s="3" customFormat="1" x14ac:dyDescent="0.25">
      <c r="A78" s="293"/>
      <c r="B78" s="84" t="s">
        <v>67</v>
      </c>
      <c r="C78" s="94"/>
      <c r="D78" s="94"/>
      <c r="E78" s="94"/>
      <c r="F78" s="7"/>
      <c r="G78" s="7"/>
      <c r="H78" s="7"/>
      <c r="I78" s="8"/>
      <c r="J78" s="8"/>
      <c r="K78" s="8"/>
      <c r="L78" s="8"/>
      <c r="M78" s="8"/>
      <c r="N78" s="8"/>
      <c r="O78" s="8"/>
      <c r="P78" s="8"/>
      <c r="Q78" s="8"/>
      <c r="R78" s="8"/>
      <c r="S78" s="8"/>
      <c r="T78" s="8"/>
      <c r="U78" s="8"/>
      <c r="V78" s="8"/>
      <c r="W78" s="8"/>
      <c r="X78" s="8"/>
      <c r="Y78" s="8"/>
      <c r="Z78" s="8"/>
      <c r="AA78" s="8"/>
      <c r="AB78" s="8">
        <f>IF(OR(AB77=""),"",AB76-AB77)</f>
        <v>0</v>
      </c>
      <c r="AC78" s="8">
        <f>IF(OR(AC77=""),"",AC76-AC77)</f>
        <v>-50000</v>
      </c>
      <c r="AD78" s="8">
        <f>IF(OR(AD77=""),"",AD76-AD77)</f>
        <v>0</v>
      </c>
      <c r="AE78" s="8">
        <f t="shared" ref="AE78:AF78" si="801">IF(OR(AE77=""),"",AE76-AE77)</f>
        <v>0</v>
      </c>
      <c r="AF78" s="8">
        <f t="shared" si="801"/>
        <v>0</v>
      </c>
      <c r="AG78" s="8">
        <f t="shared" ref="AG78:AW78" si="802">IF(OR(AG77=""),"",AG76-AG77)</f>
        <v>0</v>
      </c>
      <c r="AH78" s="8">
        <f t="shared" si="802"/>
        <v>0</v>
      </c>
      <c r="AI78" s="8">
        <f>IF(OR(AI77=""),"",AI76-AI77)</f>
        <v>0</v>
      </c>
      <c r="AJ78" s="8">
        <f t="shared" si="802"/>
        <v>0</v>
      </c>
      <c r="AK78" s="8">
        <f>IF(OR(AK77=""),"",AK76-AK77)</f>
        <v>-153732.06</v>
      </c>
      <c r="AL78" s="113">
        <v>1793.31</v>
      </c>
      <c r="AM78" s="8">
        <f>IF(OR(AM77=""),"",AM76-AM77)</f>
        <v>0</v>
      </c>
      <c r="AN78" s="8">
        <f t="shared" si="802"/>
        <v>0</v>
      </c>
      <c r="AO78" s="8">
        <f>IF(OR(AO77=""),"",AO76-AO77)-AO76</f>
        <v>7656.73</v>
      </c>
      <c r="AP78" s="8">
        <f t="shared" si="802"/>
        <v>17111.14</v>
      </c>
      <c r="AQ78" s="8">
        <f t="shared" si="802"/>
        <v>14510.33</v>
      </c>
      <c r="AR78" s="8">
        <f t="shared" si="802"/>
        <v>14291.36</v>
      </c>
      <c r="AS78" s="8">
        <f t="shared" si="802"/>
        <v>17612.43</v>
      </c>
      <c r="AT78" s="8">
        <f t="shared" si="802"/>
        <v>22392.62</v>
      </c>
      <c r="AU78" s="8">
        <f t="shared" si="802"/>
        <v>21403.22</v>
      </c>
      <c r="AV78" s="8">
        <f t="shared" si="802"/>
        <v>19009.3</v>
      </c>
      <c r="AW78" s="8">
        <f t="shared" si="802"/>
        <v>14623.32</v>
      </c>
      <c r="AX78" s="8">
        <f t="shared" ref="AX78" si="803">IF(OR(AX77=""),"",AX76-AX77)</f>
        <v>13738.07</v>
      </c>
      <c r="AY78" s="8">
        <f>IF(OR(AY77=""),"",AY76-AY77)</f>
        <v>18464.63</v>
      </c>
      <c r="AZ78" s="8">
        <f>IF(OR(AZ77=""),"",AZ76-AZ77)-AZ76</f>
        <v>20880.5</v>
      </c>
      <c r="BA78" s="8">
        <f t="shared" ref="BA78:BF78" si="804">IF(OR(BA77=""),"",BA76-BA77)</f>
        <v>9952.4599999999991</v>
      </c>
      <c r="BB78" s="8">
        <f t="shared" si="804"/>
        <v>159.21</v>
      </c>
      <c r="BC78" s="8">
        <f t="shared" si="804"/>
        <v>114.67</v>
      </c>
      <c r="BD78" s="8">
        <f t="shared" si="804"/>
        <v>124.39</v>
      </c>
      <c r="BE78" s="8">
        <f t="shared" si="804"/>
        <v>11657.69</v>
      </c>
      <c r="BF78" s="8">
        <f t="shared" si="804"/>
        <v>117.23</v>
      </c>
      <c r="BG78" s="8">
        <f t="shared" ref="BG78:BH78" si="805">IF(OR(BG77=""),"",BG76-BG77)</f>
        <v>147.81</v>
      </c>
      <c r="BH78" s="8">
        <f t="shared" si="805"/>
        <v>187.27</v>
      </c>
      <c r="BI78" s="8">
        <f t="shared" ref="BI78:BJ78" si="806">IF(OR(BI77=""),"",BI76-BI77)</f>
        <v>179.28</v>
      </c>
      <c r="BJ78" s="8">
        <f t="shared" si="806"/>
        <v>162.31</v>
      </c>
      <c r="BK78" s="8">
        <f t="shared" ref="BK78:BL78" si="807">IF(OR(BK77=""),"",BK76-BK77)</f>
        <v>182.77</v>
      </c>
      <c r="BL78" s="8">
        <f t="shared" si="807"/>
        <v>-37.43</v>
      </c>
      <c r="BM78" s="8">
        <f t="shared" ref="BM78:BN78" si="808">IF(OR(BM77=""),"",BM76-BM77)</f>
        <v>-629.21</v>
      </c>
      <c r="BN78" s="8">
        <f t="shared" si="808"/>
        <v>-1360.47</v>
      </c>
      <c r="BO78" s="8">
        <f t="shared" ref="BO78:BP78" si="809">IF(OR(BO77=""),"",BO76-BO77)</f>
        <v>-1351.43</v>
      </c>
      <c r="BP78" s="8">
        <f t="shared" si="809"/>
        <v>-1338.93</v>
      </c>
      <c r="BQ78" s="8">
        <f t="shared" ref="BQ78:BR78" si="810">IF(OR(BQ77=""),"",BQ76-BQ77)</f>
        <v>-1582.38</v>
      </c>
      <c r="BR78" s="8">
        <f t="shared" si="810"/>
        <v>-1849.89</v>
      </c>
      <c r="BS78" s="8">
        <f t="shared" ref="BS78:BT78" si="811">IF(OR(BS77=""),"",BS76-BS77)</f>
        <v>-1720.96</v>
      </c>
      <c r="BT78" s="8">
        <f t="shared" si="811"/>
        <v>-1701.25</v>
      </c>
      <c r="BU78" s="8">
        <f t="shared" ref="BU78:BX78" si="812">IF(OR(BU77=""),"",BU76-BU77)</f>
        <v>-1466.67</v>
      </c>
      <c r="BV78" s="8">
        <f t="shared" si="812"/>
        <v>-2390.1146747706744</v>
      </c>
      <c r="BW78" s="8">
        <f t="shared" si="812"/>
        <v>-2824.797524259021</v>
      </c>
      <c r="BX78" s="8">
        <f t="shared" si="812"/>
        <v>-3155.8251495865743</v>
      </c>
    </row>
    <row r="79" spans="1:76" s="3" customFormat="1" x14ac:dyDescent="0.25">
      <c r="A79" s="293"/>
      <c r="B79" s="85" t="s">
        <v>8</v>
      </c>
      <c r="C79" s="94"/>
      <c r="D79" s="94"/>
      <c r="E79" s="94"/>
      <c r="F79" s="8"/>
      <c r="G79" s="8"/>
      <c r="H79" s="8"/>
      <c r="I79" s="8"/>
      <c r="J79" s="8"/>
      <c r="K79" s="8"/>
      <c r="L79" s="8"/>
      <c r="M79" s="8"/>
      <c r="N79" s="8"/>
      <c r="O79" s="8"/>
      <c r="P79" s="8"/>
      <c r="Q79" s="8"/>
      <c r="R79" s="8"/>
      <c r="S79" s="8"/>
      <c r="T79" s="8"/>
      <c r="U79" s="8"/>
      <c r="V79" s="8"/>
      <c r="W79" s="8"/>
      <c r="X79" s="8" t="str">
        <f>IF(OR(X9="",X78=""),"",((X78)*X9)/12)</f>
        <v/>
      </c>
      <c r="Y79" s="8" t="str">
        <f>IF(OR(Y9="",Y78=""),"",((Y78+X82)*Y9)/12)</f>
        <v/>
      </c>
      <c r="Z79" s="8" t="str">
        <f t="shared" ref="Z79:AA79" si="813">IF(OR(Z9="",Z78=""),"",((Z78+Y82)*Z9)/12)</f>
        <v/>
      </c>
      <c r="AA79" s="8" t="str">
        <f t="shared" si="813"/>
        <v/>
      </c>
      <c r="AB79" s="8">
        <f>IF(OR(AB9="",AB78=""),"",((AB78)*AB9)/12)</f>
        <v>0</v>
      </c>
      <c r="AC79" s="8">
        <f>IF(OR(AC9="",AC78=""),"",((AC78+AB82)*AC9)/12)</f>
        <v>-9.6757083333333345</v>
      </c>
      <c r="AD79" s="8">
        <f>IF(OR(AD9="",AD78=""),"",((AD78+AC82)*AD9)/12)</f>
        <v>-8.9048062060853468</v>
      </c>
      <c r="AE79" s="8">
        <f t="shared" ref="AE79:AF79" si="814">IF(OR(AE9="",AE78=""),"",((AE78+AD82)*AE9)/12)</f>
        <v>-9.38361075097888</v>
      </c>
      <c r="AF79" s="8">
        <f t="shared" si="814"/>
        <v>-9.3498929752559405</v>
      </c>
      <c r="AG79" s="8">
        <f t="shared" ref="AG79" si="815">IF(OR(AG9="",AG78=""),"",((AG78+AF82)*AG9)/12)</f>
        <v>-8.4087289230078603</v>
      </c>
      <c r="AH79" s="8">
        <f t="shared" ref="AH79" si="816">IF(OR(AH9="",AH78=""),"",((AH78+AG82)*AH9)/12)</f>
        <v>-5.8198588030395255</v>
      </c>
      <c r="AI79" s="8">
        <f>IF(OR(AI9="",AI78=""),"",((AI78+AH82)*AI9)/12)</f>
        <v>-8.55460111412191</v>
      </c>
      <c r="AJ79" s="8">
        <f t="shared" ref="AJ79" si="817">IF(OR(AJ9="",AJ78=""),"",((AJ78+AI82)*AJ9)/12)</f>
        <v>-8.0610523030172327</v>
      </c>
      <c r="AK79" s="8">
        <f>IF(OR(AK9="",AK76=""),"",((AK76+AJ82)*AK9)/12)</f>
        <v>-25.475027282426108</v>
      </c>
      <c r="AL79" s="113">
        <f>IF(OR(AL9="",AL78=""),"",((AL78+AK82+AL76)*AL9)/12)+AL76-1793.31</f>
        <v>-1850.1308041894602</v>
      </c>
      <c r="AM79" s="8">
        <f t="shared" ref="AM79" si="818">IF(OR(AM9="",AM78=""),"",((AM78+AL82)*AM9)/12)</f>
        <v>-44.253379291805963</v>
      </c>
      <c r="AN79" s="8">
        <f t="shared" ref="AN79" si="819">IF(OR(AN9="",AN78=""),"",((AN78+AM82)*AN9)/12)</f>
        <v>-39.842192194484952</v>
      </c>
      <c r="AO79" s="8">
        <f>IF(OR(AO9="",AO78=""),"",((AO78+AN82+AO76)*AO9)/12)</f>
        <v>-45.035874622677056</v>
      </c>
      <c r="AP79" s="8">
        <f t="shared" ref="AP79" si="820">IF(OR(AP9="",AP78=""),"",((AP78+AO82)*AP9)/12)</f>
        <v>-94.987688879169866</v>
      </c>
      <c r="AQ79" s="8">
        <f t="shared" ref="AQ79" si="821">IF(OR(AQ9="",AQ78=""),"",((AQ78+AP82)*AQ9)/12)</f>
        <v>-75.647217688230427</v>
      </c>
      <c r="AR79" s="8">
        <f t="shared" ref="AR79" si="822">IF(OR(AR9="",AR78=""),"",((AR78+AQ82)*AR9)/12)</f>
        <v>-108.40399633979678</v>
      </c>
      <c r="AS79" s="8">
        <f t="shared" ref="AS79" si="823">IF(OR(AS9="",AS78=""),"",((AS78+AR82)*AS9)/12)</f>
        <v>-147.93018376899707</v>
      </c>
      <c r="AT79" s="8">
        <f t="shared" ref="AT79" si="824">IF(OR(AT9="",AT78=""),"",((AT78+AS82)*AT9)/12)</f>
        <v>-166.63504960123996</v>
      </c>
      <c r="AU79" s="8">
        <f t="shared" ref="AU79" si="825">IF(OR(AU9="",AU78=""),"",((AU78+AT82)*AU9)/12)</f>
        <v>-162.3657218016298</v>
      </c>
      <c r="AV79" s="8">
        <f t="shared" ref="AV79" si="826">IF(OR(AV9="",AV78=""),"",((AV78+AU82)*AV9)/12)</f>
        <v>-135.31602872263318</v>
      </c>
      <c r="AW79" s="8">
        <f t="shared" ref="AW79:AY79" si="827">IF(OR(AW9="",AW78=""),"",((AW78+AV82)*AW9)/12)</f>
        <v>-123.3444286647695</v>
      </c>
      <c r="AX79" s="8">
        <f t="shared" si="827"/>
        <v>-103.71976128166392</v>
      </c>
      <c r="AY79" s="8">
        <f t="shared" si="827"/>
        <v>-41.089059074617516</v>
      </c>
      <c r="AZ79" s="8">
        <f>IF(OR(AZ9="",AZ78=""),"",((AZ78+AY82+AZ76)*AZ9)/12)+AZ76</f>
        <v>40.3662559643086</v>
      </c>
      <c r="BA79" s="8">
        <f t="shared" ref="BA79:BU79" si="828">IF(OR(BA9="",BA78=""),"",((BA78+AZ82)*BA9)/12)</f>
        <v>81.422101751264464</v>
      </c>
      <c r="BB79" s="8">
        <f t="shared" si="828"/>
        <v>84.798609843032736</v>
      </c>
      <c r="BC79" s="8">
        <f t="shared" si="828"/>
        <v>90.078177758758827</v>
      </c>
      <c r="BD79" s="8">
        <f t="shared" si="828"/>
        <v>92.369910005295935</v>
      </c>
      <c r="BE79" s="8">
        <f t="shared" si="828"/>
        <v>146.37430222097268</v>
      </c>
      <c r="BF79" s="8">
        <f t="shared" si="828"/>
        <v>148.86796039940342</v>
      </c>
      <c r="BG79" s="8">
        <f t="shared" si="828"/>
        <v>152.36119639039887</v>
      </c>
      <c r="BH79" s="8">
        <f t="shared" si="828"/>
        <v>154.33205535077255</v>
      </c>
      <c r="BI79" s="8">
        <f t="shared" si="828"/>
        <v>155.37325547625179</v>
      </c>
      <c r="BJ79" s="8">
        <f t="shared" si="828"/>
        <v>157.98803856554065</v>
      </c>
      <c r="BK79" s="8">
        <f t="shared" si="828"/>
        <v>159.26537615120091</v>
      </c>
      <c r="BL79" s="8">
        <f t="shared" si="828"/>
        <v>154.9524350549741</v>
      </c>
      <c r="BM79" s="8">
        <f t="shared" si="828"/>
        <v>152.79405100719998</v>
      </c>
      <c r="BN79" s="8">
        <f t="shared" si="828"/>
        <v>148.79300243648569</v>
      </c>
      <c r="BO79" s="8">
        <f t="shared" si="828"/>
        <v>145.24136615945528</v>
      </c>
      <c r="BP79" s="8">
        <f t="shared" si="828"/>
        <v>139.511816260183</v>
      </c>
      <c r="BQ79" s="8">
        <f t="shared" si="828"/>
        <v>134.43098446004441</v>
      </c>
      <c r="BR79" s="8">
        <f t="shared" si="828"/>
        <v>127.14472526764037</v>
      </c>
      <c r="BS79" s="8">
        <f t="shared" si="828"/>
        <v>119.35755924043788</v>
      </c>
      <c r="BT79" s="8">
        <f t="shared" si="828"/>
        <v>106.81591235780439</v>
      </c>
      <c r="BU79" s="8">
        <f t="shared" si="828"/>
        <v>93.876182560684882</v>
      </c>
      <c r="BV79" s="126">
        <f t="shared" ref="BV79" si="829">IF(OR(BV9="",BV78=""),"",((BV78+BU82)*BV9)/12)</f>
        <v>84.421910433221925</v>
      </c>
      <c r="BW79" s="126">
        <f t="shared" ref="BW79" si="830">IF(OR(BW9="",BW78=""),"",((BW78+BV82)*BW9)/12)</f>
        <v>73.138998456758486</v>
      </c>
      <c r="BX79" s="126">
        <f t="shared" ref="BX79" si="831">IF(OR(BX9="",BX78=""),"",((BX78+BW82)*BX9)/12)</f>
        <v>60.446695869193725</v>
      </c>
    </row>
    <row r="80" spans="1:76" s="3" customFormat="1" x14ac:dyDescent="0.25">
      <c r="A80" s="293"/>
      <c r="B80" s="85" t="s">
        <v>6</v>
      </c>
      <c r="C80" s="94"/>
      <c r="D80" s="94"/>
      <c r="E80" s="94"/>
      <c r="F80" s="8"/>
      <c r="G80" s="8"/>
      <c r="H80" s="8"/>
      <c r="I80" s="8"/>
      <c r="J80" s="8"/>
      <c r="K80" s="8"/>
      <c r="L80" s="8"/>
      <c r="M80" s="8"/>
      <c r="N80" s="8"/>
      <c r="O80" s="8"/>
      <c r="P80" s="8"/>
      <c r="Q80" s="8"/>
      <c r="R80" s="8"/>
      <c r="S80" s="8"/>
      <c r="T80" s="8"/>
      <c r="U80" s="8"/>
      <c r="V80" s="8"/>
      <c r="W80" s="8"/>
      <c r="X80" s="8" t="str">
        <f>IF(OR(X79=""),"",X79)</f>
        <v/>
      </c>
      <c r="Y80" s="8" t="str">
        <f>IF(OR(X80="",Y79=""),"",X80+Y79)</f>
        <v/>
      </c>
      <c r="Z80" s="8" t="str">
        <f t="shared" ref="Z80:AA80" si="832">IF(OR(Y80="",Z79=""),"",Y80+Z79)</f>
        <v/>
      </c>
      <c r="AA80" s="8" t="str">
        <f t="shared" si="832"/>
        <v/>
      </c>
      <c r="AB80" s="8">
        <f>IF(OR(AB79=""),"",AB79)</f>
        <v>0</v>
      </c>
      <c r="AC80" s="8">
        <f>IF(OR(AB80="",AC79=""),"",AB80+AC79)</f>
        <v>-9.6757083333333345</v>
      </c>
      <c r="AD80" s="8">
        <f>IF(OR(AC80="",AD79=""),"",AC80+AD79)</f>
        <v>-18.580514539418679</v>
      </c>
      <c r="AE80" s="8">
        <f t="shared" ref="AE80:AF80" si="833">IF(OR(AD80="",AE79=""),"",AD80+AE79)</f>
        <v>-27.964125290397561</v>
      </c>
      <c r="AF80" s="8">
        <f t="shared" si="833"/>
        <v>-37.314018265653502</v>
      </c>
      <c r="AG80" s="8">
        <f t="shared" ref="AG80" si="834">IF(OR(AF80="",AG79=""),"",AF80+AG79)</f>
        <v>-45.722747188661359</v>
      </c>
      <c r="AH80" s="8">
        <f t="shared" ref="AH80" si="835">IF(OR(AG80="",AH79=""),"",AG80+AH79)</f>
        <v>-51.542605991700881</v>
      </c>
      <c r="AI80" s="8">
        <f t="shared" ref="AI80" si="836">IF(OR(AH80="",AI79=""),"",AH80+AI79)</f>
        <v>-60.09720710582279</v>
      </c>
      <c r="AJ80" s="8">
        <f t="shared" ref="AJ80" si="837">IF(OR(AI80="",AJ79=""),"",AI80+AJ79)</f>
        <v>-68.158259408840024</v>
      </c>
      <c r="AK80" s="8">
        <f>IF(OR(AJ80="",AK79=""),"",AJ80+AK79)</f>
        <v>-93.633286691266136</v>
      </c>
      <c r="AL80" s="8">
        <f>IF(OR(AK80="",AL79=""),"",AK80+AL79)</f>
        <v>-1943.7640908807264</v>
      </c>
      <c r="AM80" s="8">
        <f t="shared" ref="AM80" si="838">IF(OR(AL80="",AM79=""),"",AL80+AM79)</f>
        <v>-1988.0174701725323</v>
      </c>
      <c r="AN80" s="8">
        <f t="shared" ref="AN80" si="839">IF(OR(AM80="",AN79=""),"",AM80+AN79)</f>
        <v>-2027.8596623670173</v>
      </c>
      <c r="AO80" s="8">
        <f>IF(OR(AN80="",AO79=""),"",AN80+AO79)</f>
        <v>-2072.8955369896944</v>
      </c>
      <c r="AP80" s="8">
        <f t="shared" ref="AP80" si="840">IF(OR(AO80="",AP79=""),"",AO80+AP79)</f>
        <v>-2167.8832258688644</v>
      </c>
      <c r="AQ80" s="8">
        <f t="shared" ref="AQ80" si="841">IF(OR(AP80="",AQ79=""),"",AP80+AQ79)</f>
        <v>-2243.5304435570947</v>
      </c>
      <c r="AR80" s="8">
        <f t="shared" ref="AR80" si="842">IF(OR(AQ80="",AR79=""),"",AQ80+AR79)</f>
        <v>-2351.9344398968915</v>
      </c>
      <c r="AS80" s="8">
        <f t="shared" ref="AS80" si="843">IF(OR(AR80="",AS79=""),"",AR80+AS79)</f>
        <v>-2499.8646236658888</v>
      </c>
      <c r="AT80" s="8">
        <f t="shared" ref="AT80" si="844">IF(OR(AS80="",AT79=""),"",AS80+AT79)</f>
        <v>-2666.4996732671289</v>
      </c>
      <c r="AU80" s="8">
        <f t="shared" ref="AU80" si="845">IF(OR(AT80="",AU79=""),"",AT80+AU79)</f>
        <v>-2828.8653950687585</v>
      </c>
      <c r="AV80" s="8">
        <f t="shared" ref="AV80" si="846">IF(OR(AU80="",AV79=""),"",AU80+AV79)</f>
        <v>-2964.1814237913918</v>
      </c>
      <c r="AW80" s="8">
        <f t="shared" ref="AW80:AY80" si="847">IF(OR(AV80="",AW79=""),"",AV80+AW79)</f>
        <v>-3087.5258524561614</v>
      </c>
      <c r="AX80" s="8">
        <f t="shared" si="847"/>
        <v>-3191.2456137378254</v>
      </c>
      <c r="AY80" s="8">
        <f t="shared" si="847"/>
        <v>-3232.3346728124429</v>
      </c>
      <c r="AZ80" s="8">
        <f t="shared" ref="AZ80:BU80" si="848">IF(OR(AY80="",AZ79=""),"",AY80+AZ79)</f>
        <v>-3191.9684168481344</v>
      </c>
      <c r="BA80" s="8">
        <f t="shared" si="848"/>
        <v>-3110.5463150968699</v>
      </c>
      <c r="BB80" s="8">
        <f t="shared" si="848"/>
        <v>-3025.747705253837</v>
      </c>
      <c r="BC80" s="8">
        <f t="shared" si="848"/>
        <v>-2935.669527495078</v>
      </c>
      <c r="BD80" s="8">
        <f t="shared" si="848"/>
        <v>-2843.2996174897821</v>
      </c>
      <c r="BE80" s="8">
        <f t="shared" si="848"/>
        <v>-2696.9253152688093</v>
      </c>
      <c r="BF80" s="8">
        <f t="shared" si="848"/>
        <v>-2548.057354869406</v>
      </c>
      <c r="BG80" s="8">
        <f t="shared" si="848"/>
        <v>-2395.696158479007</v>
      </c>
      <c r="BH80" s="8">
        <f t="shared" si="848"/>
        <v>-2241.3641031282345</v>
      </c>
      <c r="BI80" s="8">
        <f t="shared" si="848"/>
        <v>-2085.9908476519827</v>
      </c>
      <c r="BJ80" s="8">
        <f t="shared" si="848"/>
        <v>-1928.0028090864421</v>
      </c>
      <c r="BK80" s="8">
        <f t="shared" si="848"/>
        <v>-1768.7374329352413</v>
      </c>
      <c r="BL80" s="8">
        <f t="shared" si="848"/>
        <v>-1613.7849978802672</v>
      </c>
      <c r="BM80" s="8">
        <f t="shared" si="848"/>
        <v>-1460.9909468730671</v>
      </c>
      <c r="BN80" s="8">
        <f t="shared" si="848"/>
        <v>-1312.1979444365813</v>
      </c>
      <c r="BO80" s="8">
        <f t="shared" si="848"/>
        <v>-1166.956578277126</v>
      </c>
      <c r="BP80" s="8">
        <f t="shared" si="848"/>
        <v>-1027.4447620169431</v>
      </c>
      <c r="BQ80" s="8">
        <f t="shared" si="848"/>
        <v>-893.01377755689862</v>
      </c>
      <c r="BR80" s="8">
        <f t="shared" si="848"/>
        <v>-765.86905228925821</v>
      </c>
      <c r="BS80" s="8">
        <f t="shared" si="848"/>
        <v>-646.51149304882028</v>
      </c>
      <c r="BT80" s="8">
        <f t="shared" si="848"/>
        <v>-539.69558069101595</v>
      </c>
      <c r="BU80" s="8">
        <f t="shared" si="848"/>
        <v>-445.81939813033108</v>
      </c>
      <c r="BV80" s="8">
        <f t="shared" ref="BV80" si="849">IF(OR(BU80="",BV79=""),"",BU80+BV79)</f>
        <v>-361.39748769710917</v>
      </c>
      <c r="BW80" s="8">
        <f t="shared" ref="BW80" si="850">IF(OR(BV80="",BW79=""),"",BV80+BW79)</f>
        <v>-288.25848924035068</v>
      </c>
      <c r="BX80" s="8">
        <f t="shared" ref="BX80" si="851">IF(OR(BW80="",BX79=""),"",BW80+BX79)</f>
        <v>-227.81179337115697</v>
      </c>
    </row>
    <row r="81" spans="1:76" s="3" customFormat="1" x14ac:dyDescent="0.25">
      <c r="A81" s="293"/>
      <c r="B81" s="84" t="s">
        <v>69</v>
      </c>
      <c r="C81" s="94"/>
      <c r="D81" s="94"/>
      <c r="E81" s="94"/>
      <c r="F81" s="8"/>
      <c r="G81" s="8"/>
      <c r="H81" s="8"/>
      <c r="I81" s="8"/>
      <c r="J81" s="8"/>
      <c r="K81" s="8"/>
      <c r="L81" s="8"/>
      <c r="M81" s="8"/>
      <c r="N81" s="8"/>
      <c r="O81" s="8"/>
      <c r="P81" s="8"/>
      <c r="Q81" s="8"/>
      <c r="R81" s="8"/>
      <c r="S81" s="8"/>
      <c r="T81" s="8"/>
      <c r="U81" s="8"/>
      <c r="V81" s="8"/>
      <c r="W81" s="8"/>
      <c r="X81" s="8" t="str">
        <f>IF(OR(X79="",X78=""),"",X78+X79)</f>
        <v/>
      </c>
      <c r="Y81" s="8" t="str">
        <f>IF(OR(Y79="",Y78=""),"",Y78+Y79)</f>
        <v/>
      </c>
      <c r="Z81" s="8" t="str">
        <f>IF(OR(Z79="",Z78=""),"",Z78+Z79)</f>
        <v/>
      </c>
      <c r="AA81" s="8" t="str">
        <f t="shared" ref="AA81" si="852">IF(OR(AA79="",AA78=""),"",AA78+AA79)</f>
        <v/>
      </c>
      <c r="AB81" s="8">
        <f>IF(OR(AB79="",AB78=""),"",AB78+AB79)</f>
        <v>0</v>
      </c>
      <c r="AC81" s="8">
        <f>IF(OR(AC79="",AC78=""),"",AC78+AC79)</f>
        <v>-50009.675708333336</v>
      </c>
      <c r="AD81" s="8">
        <f>IF(OR(AD79="",AD78=""),"",AD78+AD79)</f>
        <v>-8.9048062060853468</v>
      </c>
      <c r="AE81" s="8">
        <f t="shared" ref="AE81:AF81" si="853">IF(OR(AE79="",AE78=""),"",AE78+AE79)</f>
        <v>-9.38361075097888</v>
      </c>
      <c r="AF81" s="8">
        <f t="shared" si="853"/>
        <v>-9.3498929752559405</v>
      </c>
      <c r="AG81" s="8">
        <f t="shared" ref="AG81:AW81" si="854">IF(OR(AG79="",AG78=""),"",AG78+AG79)</f>
        <v>-8.4087289230078603</v>
      </c>
      <c r="AH81" s="8">
        <f t="shared" si="854"/>
        <v>-5.8198588030395255</v>
      </c>
      <c r="AI81" s="8">
        <f t="shared" si="854"/>
        <v>-8.55460111412191</v>
      </c>
      <c r="AJ81" s="8">
        <f t="shared" si="854"/>
        <v>-8.0610523030172327</v>
      </c>
      <c r="AK81" s="8">
        <f>IF(OR(AK79="",AK78=""),"",AK76+AK79)</f>
        <v>-153757.53502728243</v>
      </c>
      <c r="AL81" s="8">
        <f>IF(OR(AL79="",AL78=""),"",AL78+AL79)</f>
        <v>-56.820804189460205</v>
      </c>
      <c r="AM81" s="8">
        <f t="shared" si="854"/>
        <v>-44.253379291805963</v>
      </c>
      <c r="AN81" s="8">
        <f t="shared" si="854"/>
        <v>-39.842192194484952</v>
      </c>
      <c r="AO81" s="8">
        <f>IF(OR(AO79="",AO78=""),"",AO78+AO79)</f>
        <v>7611.6941253773221</v>
      </c>
      <c r="AP81" s="8">
        <f t="shared" si="854"/>
        <v>17016.15231112083</v>
      </c>
      <c r="AQ81" s="8">
        <f t="shared" si="854"/>
        <v>14434.682782311769</v>
      </c>
      <c r="AR81" s="8">
        <f t="shared" si="854"/>
        <v>14182.956003660203</v>
      </c>
      <c r="AS81" s="8">
        <f t="shared" si="854"/>
        <v>17464.499816231004</v>
      </c>
      <c r="AT81" s="8">
        <f t="shared" si="854"/>
        <v>22225.984950398761</v>
      </c>
      <c r="AU81" s="8">
        <f t="shared" si="854"/>
        <v>21240.854278198371</v>
      </c>
      <c r="AV81" s="8">
        <f t="shared" si="854"/>
        <v>18873.983971277365</v>
      </c>
      <c r="AW81" s="8">
        <f t="shared" si="854"/>
        <v>14499.97557133523</v>
      </c>
      <c r="AX81" s="8">
        <f t="shared" ref="AX81:AY81" si="855">IF(OR(AX79="",AX78=""),"",AX78+AX79)</f>
        <v>13634.350238718336</v>
      </c>
      <c r="AY81" s="8">
        <f t="shared" si="855"/>
        <v>18423.540940925384</v>
      </c>
      <c r="AZ81" s="8">
        <f t="shared" ref="AZ81:BE81" si="856">IF(OR(AZ79="",AZ78=""),"",AZ78+AZ79)</f>
        <v>20920.866255964309</v>
      </c>
      <c r="BA81" s="8">
        <f t="shared" si="856"/>
        <v>10033.882101751264</v>
      </c>
      <c r="BB81" s="8">
        <f t="shared" si="856"/>
        <v>244.00860984303273</v>
      </c>
      <c r="BC81" s="8">
        <f t="shared" si="856"/>
        <v>204.74817775875883</v>
      </c>
      <c r="BD81" s="8">
        <f t="shared" si="856"/>
        <v>216.75991000529592</v>
      </c>
      <c r="BE81" s="8">
        <f t="shared" si="856"/>
        <v>11804.064302220973</v>
      </c>
      <c r="BF81" s="8">
        <f t="shared" ref="BF81:BG81" si="857">IF(OR(BF79="",BF78=""),"",BF78+BF79)</f>
        <v>266.09796039940341</v>
      </c>
      <c r="BG81" s="8">
        <f t="shared" si="857"/>
        <v>300.1711963903989</v>
      </c>
      <c r="BH81" s="8">
        <f t="shared" ref="BH81:BI81" si="858">IF(OR(BH79="",BH78=""),"",BH78+BH79)</f>
        <v>341.60205535077256</v>
      </c>
      <c r="BI81" s="8">
        <f t="shared" si="858"/>
        <v>334.65325547625179</v>
      </c>
      <c r="BJ81" s="8">
        <f t="shared" ref="BJ81:BK81" si="859">IF(OR(BJ79="",BJ78=""),"",BJ78+BJ79)</f>
        <v>320.29803856554065</v>
      </c>
      <c r="BK81" s="8">
        <f t="shared" si="859"/>
        <v>342.03537615120092</v>
      </c>
      <c r="BL81" s="8">
        <f t="shared" ref="BL81:BM81" si="860">IF(OR(BL79="",BL78=""),"",BL78+BL79)</f>
        <v>117.5224350549741</v>
      </c>
      <c r="BM81" s="8">
        <f t="shared" si="860"/>
        <v>-476.41594899280005</v>
      </c>
      <c r="BN81" s="8">
        <f t="shared" ref="BN81:BO81" si="861">IF(OR(BN79="",BN78=""),"",BN78+BN79)</f>
        <v>-1211.6769975635143</v>
      </c>
      <c r="BO81" s="8">
        <f t="shared" si="861"/>
        <v>-1206.1886338405448</v>
      </c>
      <c r="BP81" s="8">
        <f t="shared" ref="BP81:BQ81" si="862">IF(OR(BP79="",BP78=""),"",BP78+BP79)</f>
        <v>-1199.4181837398171</v>
      </c>
      <c r="BQ81" s="8">
        <f t="shared" si="862"/>
        <v>-1447.9490155399558</v>
      </c>
      <c r="BR81" s="8">
        <f t="shared" ref="BR81:BS81" si="863">IF(OR(BR79="",BR78=""),"",BR78+BR79)</f>
        <v>-1722.7452747323598</v>
      </c>
      <c r="BS81" s="8">
        <f t="shared" si="863"/>
        <v>-1601.6024407595621</v>
      </c>
      <c r="BT81" s="8">
        <f t="shared" ref="BT81:BU81" si="864">IF(OR(BT79="",BT78=""),"",BT78+BT79)</f>
        <v>-1594.4340876421957</v>
      </c>
      <c r="BU81" s="8">
        <f t="shared" si="864"/>
        <v>-1372.7938174393153</v>
      </c>
      <c r="BV81" s="8">
        <f t="shared" ref="BV81:BX81" si="865">IF(OR(BV79="",BV78=""),"",BV78+BV79)</f>
        <v>-2305.6927643374524</v>
      </c>
      <c r="BW81" s="8">
        <f t="shared" si="865"/>
        <v>-2751.6585258022624</v>
      </c>
      <c r="BX81" s="8">
        <f t="shared" si="865"/>
        <v>-3095.3784537173806</v>
      </c>
    </row>
    <row r="82" spans="1:76" s="3" customFormat="1" x14ac:dyDescent="0.25">
      <c r="A82" s="293"/>
      <c r="B82" s="86" t="s">
        <v>70</v>
      </c>
      <c r="C82" s="98"/>
      <c r="D82" s="98"/>
      <c r="E82" s="98"/>
      <c r="F82" s="8"/>
      <c r="G82" s="8"/>
      <c r="H82" s="8"/>
      <c r="I82" s="8"/>
      <c r="J82" s="8"/>
      <c r="K82" s="8"/>
      <c r="L82" s="8"/>
      <c r="M82" s="8"/>
      <c r="N82" s="8"/>
      <c r="O82" s="8"/>
      <c r="P82" s="8"/>
      <c r="Q82" s="8"/>
      <c r="R82" s="8"/>
      <c r="S82" s="8"/>
      <c r="T82" s="8"/>
      <c r="U82" s="8"/>
      <c r="V82" s="8"/>
      <c r="W82" s="8"/>
      <c r="X82" s="8" t="str">
        <f>IF(OR(X81=""),"",X81)</f>
        <v/>
      </c>
      <c r="Y82" s="8" t="str">
        <f>IF(OR(Y81="",X82=""),"",Y81+X82)</f>
        <v/>
      </c>
      <c r="Z82" s="8" t="str">
        <f t="shared" ref="Z82" si="866">IF(OR(Z81="",Y82=""),"",Z81+Y82)</f>
        <v/>
      </c>
      <c r="AA82" s="8">
        <v>0</v>
      </c>
      <c r="AB82" s="8">
        <f>IF(OR(AB81=""),"",AB81)</f>
        <v>0</v>
      </c>
      <c r="AC82" s="8">
        <f>IF(OR(AC81="",AB82=""),"",AC81+AB82)</f>
        <v>-50009.675708333336</v>
      </c>
      <c r="AD82" s="8">
        <f>IF(OR(AD81="",AC82=""),"",AD81+AC82)</f>
        <v>-50018.580514539419</v>
      </c>
      <c r="AE82" s="8">
        <f t="shared" ref="AE82:AF82" si="867">IF(OR(AE81="",AD82=""),"",AE81+AD82)</f>
        <v>-50027.964125290397</v>
      </c>
      <c r="AF82" s="8">
        <f t="shared" si="867"/>
        <v>-50037.31401826565</v>
      </c>
      <c r="AG82" s="8">
        <f t="shared" ref="AG82" si="868">IF(OR(AG81="",AF82=""),"",AG81+AF82)</f>
        <v>-50045.722747188658</v>
      </c>
      <c r="AH82" s="8">
        <f t="shared" ref="AH82" si="869">IF(OR(AH81="",AG82=""),"",AH81+AG82)</f>
        <v>-50051.542605991701</v>
      </c>
      <c r="AI82" s="8">
        <f t="shared" ref="AI82" si="870">IF(OR(AI81="",AH82=""),"",AI81+AH82)</f>
        <v>-50060.09720710582</v>
      </c>
      <c r="AJ82" s="8">
        <f t="shared" ref="AJ82" si="871">IF(OR(AJ81="",AI82=""),"",AJ81+AI82)</f>
        <v>-50068.15825940884</v>
      </c>
      <c r="AK82" s="8">
        <f>IF(OR(AK81="",AJ82=""),"",AK81+AJ82)</f>
        <v>-203825.69328669127</v>
      </c>
      <c r="AL82" s="8">
        <f>IF(OR(AL81="",AK82=""),"",AL81+AK82)</f>
        <v>-203882.51409088072</v>
      </c>
      <c r="AM82" s="8">
        <f t="shared" ref="AM82" si="872">IF(OR(AM81="",AL82=""),"",AM81+AL82)</f>
        <v>-203926.76747017252</v>
      </c>
      <c r="AN82" s="8">
        <f t="shared" ref="AN82" si="873">IF(OR(AN81="",AM82=""),"",AN81+AM82)</f>
        <v>-203966.609662367</v>
      </c>
      <c r="AO82" s="8">
        <f>IF(OR(AO81="",AN82=""),"",AO81+AN82+AO76)</f>
        <v>-182716.09289091302</v>
      </c>
      <c r="AP82" s="8">
        <f t="shared" ref="AP82" si="874">IF(OR(AP81="",AO82=""),"",AP81+AO82)</f>
        <v>-165699.94057979219</v>
      </c>
      <c r="AQ82" s="8">
        <f t="shared" ref="AQ82" si="875">IF(OR(AQ81="",AP82=""),"",AQ81+AP82)</f>
        <v>-151265.25779748042</v>
      </c>
      <c r="AR82" s="8">
        <f t="shared" ref="AR82" si="876">IF(OR(AR81="",AQ82=""),"",AR81+AQ82)</f>
        <v>-137082.30179382022</v>
      </c>
      <c r="AS82" s="8">
        <f t="shared" ref="AS82" si="877">IF(OR(AS81="",AR82=""),"",AS81+AR82)</f>
        <v>-119617.80197758922</v>
      </c>
      <c r="AT82" s="8">
        <f t="shared" ref="AT82" si="878">IF(OR(AT81="",AS82=""),"",AT81+AS82)</f>
        <v>-97391.817027190453</v>
      </c>
      <c r="AU82" s="8">
        <f t="shared" ref="AU82" si="879">IF(OR(AU81="",AT82=""),"",AU81+AT82)</f>
        <v>-76150.962748992082</v>
      </c>
      <c r="AV82" s="8">
        <f t="shared" ref="AV82" si="880">IF(OR(AV81="",AU82=""),"",AV81+AU82)</f>
        <v>-57276.978777714714</v>
      </c>
      <c r="AW82" s="8">
        <f t="shared" ref="AW82:AY82" si="881">IF(OR(AW81="",AV82=""),"",AW81+AV82)</f>
        <v>-42777.003206379486</v>
      </c>
      <c r="AX82" s="8">
        <f t="shared" si="881"/>
        <v>-29142.65296766115</v>
      </c>
      <c r="AY82" s="8">
        <f t="shared" si="881"/>
        <v>-10719.112026735766</v>
      </c>
      <c r="AZ82" s="8">
        <f t="shared" ref="AZ82:BU82" si="882">IF(OR(AZ81="",AY82=""),"",AZ81+AY82)</f>
        <v>10201.754229228543</v>
      </c>
      <c r="BA82" s="8">
        <f t="shared" si="882"/>
        <v>20235.636330979807</v>
      </c>
      <c r="BB82" s="8">
        <f t="shared" si="882"/>
        <v>20479.64494082284</v>
      </c>
      <c r="BC82" s="8">
        <f t="shared" si="882"/>
        <v>20684.3931185816</v>
      </c>
      <c r="BD82" s="8">
        <f t="shared" si="882"/>
        <v>20901.153028586898</v>
      </c>
      <c r="BE82" s="8">
        <f t="shared" si="882"/>
        <v>32705.217330807871</v>
      </c>
      <c r="BF82" s="8">
        <f t="shared" si="882"/>
        <v>32971.315291207276</v>
      </c>
      <c r="BG82" s="8">
        <f t="shared" si="882"/>
        <v>33271.486487597678</v>
      </c>
      <c r="BH82" s="8">
        <f t="shared" si="882"/>
        <v>33613.088542948448</v>
      </c>
      <c r="BI82" s="8">
        <f t="shared" si="882"/>
        <v>33947.7417984247</v>
      </c>
      <c r="BJ82" s="8">
        <f t="shared" si="882"/>
        <v>34268.03983699024</v>
      </c>
      <c r="BK82" s="8">
        <f t="shared" si="882"/>
        <v>34610.075213141441</v>
      </c>
      <c r="BL82" s="8">
        <f t="shared" si="882"/>
        <v>34727.597648196417</v>
      </c>
      <c r="BM82" s="8">
        <f t="shared" si="882"/>
        <v>34251.181699203618</v>
      </c>
      <c r="BN82" s="8">
        <f t="shared" si="882"/>
        <v>33039.504701640108</v>
      </c>
      <c r="BO82" s="8">
        <f t="shared" si="882"/>
        <v>31833.316067799562</v>
      </c>
      <c r="BP82" s="8">
        <f t="shared" si="882"/>
        <v>30633.897884059745</v>
      </c>
      <c r="BQ82" s="8">
        <f t="shared" si="882"/>
        <v>29185.94886851979</v>
      </c>
      <c r="BR82" s="8">
        <f t="shared" si="882"/>
        <v>27463.203593787432</v>
      </c>
      <c r="BS82" s="8">
        <f t="shared" si="882"/>
        <v>25861.60115302787</v>
      </c>
      <c r="BT82" s="8">
        <f t="shared" si="882"/>
        <v>24267.167065385675</v>
      </c>
      <c r="BU82" s="8">
        <f t="shared" si="882"/>
        <v>22894.373247946358</v>
      </c>
      <c r="BV82" s="8">
        <f t="shared" ref="BV82" si="883">IF(OR(BV81="",BU82=""),"",BV81+BU82)</f>
        <v>20588.680483608907</v>
      </c>
      <c r="BW82" s="8">
        <f t="shared" ref="BW82" si="884">IF(OR(BW81="",BV82=""),"",BW81+BV82)</f>
        <v>17837.021957806646</v>
      </c>
      <c r="BX82" s="8">
        <f t="shared" ref="BX82" si="885">IF(OR(BX81="",BW82=""),"",BX81+BW82)</f>
        <v>14741.643504089265</v>
      </c>
    </row>
    <row r="83" spans="1:76" s="4" customFormat="1" ht="8.25" customHeight="1" x14ac:dyDescent="0.25">
      <c r="A83" s="40"/>
      <c r="B83" s="11"/>
      <c r="C83" s="99"/>
      <c r="D83" s="99"/>
      <c r="E83" s="99"/>
      <c r="F83" s="97"/>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row>
    <row r="84" spans="1:76" s="4" customFormat="1" x14ac:dyDescent="0.25">
      <c r="A84" s="123"/>
      <c r="B84" s="52"/>
      <c r="C84" s="124"/>
      <c r="D84" s="124"/>
      <c r="E84" s="124"/>
      <c r="F84" s="125"/>
      <c r="G84" s="7"/>
      <c r="H84" s="7"/>
      <c r="I84" s="7"/>
      <c r="J84" s="7"/>
      <c r="K84" s="7"/>
      <c r="L84" s="7"/>
      <c r="M84" s="7"/>
      <c r="N84" s="7"/>
      <c r="O84" s="7"/>
      <c r="P84" s="7"/>
      <c r="Q84" s="126">
        <v>0</v>
      </c>
      <c r="R84" s="7"/>
      <c r="S84" s="7"/>
      <c r="T84" s="7"/>
      <c r="U84" s="7"/>
      <c r="V84" s="7"/>
      <c r="W84" s="127">
        <f>6583255-343874</f>
        <v>6239381</v>
      </c>
      <c r="X84" s="7"/>
      <c r="Y84" s="7"/>
      <c r="Z84" s="7"/>
      <c r="AA84" s="7"/>
      <c r="AB84" s="7"/>
      <c r="AC84" s="7"/>
      <c r="AD84" s="7"/>
      <c r="AE84" s="7"/>
      <c r="AF84" s="7"/>
      <c r="AG84" s="7"/>
      <c r="AH84" s="7"/>
      <c r="AI84" s="7"/>
      <c r="AJ84" s="113">
        <f>10195155.1942426-100000-613446.594539144</f>
        <v>9481708.5997034572</v>
      </c>
      <c r="AK84" s="7"/>
      <c r="AL84" s="7"/>
      <c r="AM84" s="7"/>
      <c r="AN84" s="7"/>
      <c r="AO84" s="211">
        <v>-171934.79257672251</v>
      </c>
      <c r="AP84" s="7"/>
      <c r="AQ84" s="7"/>
      <c r="AR84" s="7"/>
      <c r="AS84" s="7"/>
      <c r="AT84" s="7"/>
      <c r="AU84" s="113">
        <f>12767185.73-1019499.3</f>
        <v>11747686.43</v>
      </c>
      <c r="AV84" s="7"/>
      <c r="AW84" s="113">
        <v>-197.32</v>
      </c>
      <c r="AX84" s="7"/>
      <c r="AY84" s="113">
        <f>10734309.9</f>
        <v>10734309.9</v>
      </c>
      <c r="AZ84" s="113">
        <f>+'MEEIA 2 adjs'!EC102</f>
        <v>-157.21308605992454</v>
      </c>
      <c r="BA84" s="7"/>
      <c r="BB84" s="113">
        <v>354606.85</v>
      </c>
      <c r="BC84" s="7"/>
      <c r="BD84" s="7"/>
      <c r="BE84" s="113">
        <v>29539.24</v>
      </c>
      <c r="BF84" s="113">
        <v>-997226.51</v>
      </c>
      <c r="BG84" s="7"/>
      <c r="BH84" s="113">
        <f>-28125.73-110893.04</f>
        <v>-139018.76999999999</v>
      </c>
      <c r="BI84" s="7"/>
      <c r="BJ84" s="7"/>
      <c r="BK84" s="113">
        <f>10301.6+11930863.46</f>
        <v>11941165.060000001</v>
      </c>
      <c r="BL84" s="7"/>
      <c r="BM84" s="7"/>
      <c r="BN84" s="113">
        <f>-6228.48-115055.33</f>
        <v>-121283.81</v>
      </c>
      <c r="BO84" s="7"/>
      <c r="BP84" s="7"/>
      <c r="BQ84" s="113">
        <f>-463892.83+59150.91</f>
        <v>-404741.92000000004</v>
      </c>
      <c r="BR84" s="7"/>
      <c r="BS84" s="7"/>
      <c r="BT84" s="113">
        <f>-112664.72</f>
        <v>-112664.72</v>
      </c>
      <c r="BU84" s="7"/>
      <c r="BV84" s="7"/>
      <c r="BW84" s="7"/>
      <c r="BX84" s="7"/>
    </row>
    <row r="85" spans="1:76" x14ac:dyDescent="0.25">
      <c r="A85" s="294" t="s">
        <v>81</v>
      </c>
      <c r="B85" s="52" t="s">
        <v>72</v>
      </c>
      <c r="C85" s="95"/>
      <c r="D85" s="95"/>
      <c r="E85" s="95"/>
      <c r="F85" s="60"/>
      <c r="G85" s="60"/>
      <c r="H85" s="60"/>
      <c r="I85" s="60"/>
      <c r="J85" s="60"/>
      <c r="K85" s="60"/>
      <c r="L85" s="60"/>
      <c r="M85" s="60"/>
      <c r="N85" s="60"/>
      <c r="O85" s="60"/>
      <c r="P85" s="60"/>
      <c r="Q85" s="60"/>
      <c r="R85" s="60"/>
      <c r="S85" s="60"/>
      <c r="T85" s="60"/>
      <c r="U85" s="60"/>
      <c r="V85" s="60"/>
      <c r="W85" s="60"/>
      <c r="X85" s="60"/>
      <c r="Y85" s="60"/>
      <c r="Z85" s="60"/>
      <c r="AA85" s="60"/>
      <c r="AB85" s="60"/>
      <c r="AC85" s="118">
        <f t="shared" ref="AC85:AN85" si="886">6239380.68/12</f>
        <v>519948.38999999996</v>
      </c>
      <c r="AD85" s="60">
        <f t="shared" si="886"/>
        <v>519948.38999999996</v>
      </c>
      <c r="AE85" s="60">
        <f t="shared" si="886"/>
        <v>519948.38999999996</v>
      </c>
      <c r="AF85" s="60">
        <f t="shared" si="886"/>
        <v>519948.38999999996</v>
      </c>
      <c r="AG85" s="60">
        <f t="shared" si="886"/>
        <v>519948.38999999996</v>
      </c>
      <c r="AH85" s="60">
        <f t="shared" si="886"/>
        <v>519948.38999999996</v>
      </c>
      <c r="AI85" s="60">
        <f t="shared" si="886"/>
        <v>519948.38999999996</v>
      </c>
      <c r="AJ85" s="60">
        <f>6239380.68/12</f>
        <v>519948.38999999996</v>
      </c>
      <c r="AK85" s="60">
        <f t="shared" si="886"/>
        <v>519948.38999999996</v>
      </c>
      <c r="AL85" s="60">
        <f t="shared" si="886"/>
        <v>519948.38999999996</v>
      </c>
      <c r="AM85" s="60">
        <f t="shared" si="886"/>
        <v>519948.38999999996</v>
      </c>
      <c r="AN85" s="60">
        <f t="shared" si="886"/>
        <v>519948.38999999996</v>
      </c>
      <c r="AO85" s="60">
        <f t="shared" ref="AO85:AZ85" si="887">(9481709-19830)/12</f>
        <v>788489.91666666663</v>
      </c>
      <c r="AP85" s="60">
        <f t="shared" si="887"/>
        <v>788489.91666666663</v>
      </c>
      <c r="AQ85" s="60">
        <f t="shared" si="887"/>
        <v>788489.91666666663</v>
      </c>
      <c r="AR85" s="60">
        <f t="shared" si="887"/>
        <v>788489.91666666663</v>
      </c>
      <c r="AS85" s="60">
        <f t="shared" si="887"/>
        <v>788489.91666666663</v>
      </c>
      <c r="AT85" s="60">
        <f t="shared" si="887"/>
        <v>788489.91666666663</v>
      </c>
      <c r="AU85" s="60">
        <f t="shared" si="887"/>
        <v>788489.91666666663</v>
      </c>
      <c r="AV85" s="60">
        <f t="shared" si="887"/>
        <v>788489.91666666663</v>
      </c>
      <c r="AW85" s="60">
        <f t="shared" si="887"/>
        <v>788489.91666666663</v>
      </c>
      <c r="AX85" s="60">
        <f t="shared" si="887"/>
        <v>788489.91666666663</v>
      </c>
      <c r="AY85" s="60">
        <f t="shared" si="887"/>
        <v>788489.91666666663</v>
      </c>
      <c r="AZ85" s="60">
        <f t="shared" si="887"/>
        <v>788489.91666666663</v>
      </c>
      <c r="BA85" s="60">
        <f t="shared" ref="BA85:BL85" si="888">11747489/12</f>
        <v>978957.41666666663</v>
      </c>
      <c r="BB85" s="60">
        <f t="shared" si="888"/>
        <v>978957.41666666663</v>
      </c>
      <c r="BC85" s="60">
        <f t="shared" si="888"/>
        <v>978957.41666666663</v>
      </c>
      <c r="BD85" s="60">
        <f t="shared" si="888"/>
        <v>978957.41666666663</v>
      </c>
      <c r="BE85" s="60">
        <f>11747489/12</f>
        <v>978957.41666666663</v>
      </c>
      <c r="BF85" s="60">
        <f t="shared" si="888"/>
        <v>978957.41666666663</v>
      </c>
      <c r="BG85" s="60">
        <f t="shared" si="888"/>
        <v>978957.41666666663</v>
      </c>
      <c r="BH85" s="60">
        <f t="shared" si="888"/>
        <v>978957.41666666663</v>
      </c>
      <c r="BI85" s="60">
        <f t="shared" si="888"/>
        <v>978957.41666666663</v>
      </c>
      <c r="BJ85" s="60">
        <f t="shared" si="888"/>
        <v>978957.41666666663</v>
      </c>
      <c r="BK85" s="60">
        <f t="shared" si="888"/>
        <v>978957.41666666663</v>
      </c>
      <c r="BL85" s="60">
        <f t="shared" si="888"/>
        <v>978957.41666666663</v>
      </c>
      <c r="BM85" s="60">
        <f t="shared" ref="BM85:BX85" si="889">9982211/12</f>
        <v>831850.91666666663</v>
      </c>
      <c r="BN85" s="60">
        <f t="shared" si="889"/>
        <v>831850.91666666663</v>
      </c>
      <c r="BO85" s="60">
        <f t="shared" si="889"/>
        <v>831850.91666666663</v>
      </c>
      <c r="BP85" s="60">
        <f t="shared" si="889"/>
        <v>831850.91666666663</v>
      </c>
      <c r="BQ85" s="60">
        <f t="shared" si="889"/>
        <v>831850.91666666663</v>
      </c>
      <c r="BR85" s="60">
        <f t="shared" si="889"/>
        <v>831850.91666666663</v>
      </c>
      <c r="BS85" s="60">
        <f t="shared" si="889"/>
        <v>831850.91666666663</v>
      </c>
      <c r="BT85" s="60">
        <f t="shared" si="889"/>
        <v>831850.91666666663</v>
      </c>
      <c r="BU85" s="60">
        <f t="shared" si="889"/>
        <v>831850.91666666663</v>
      </c>
      <c r="BV85" s="60">
        <f t="shared" si="889"/>
        <v>831850.91666666663</v>
      </c>
      <c r="BW85" s="60">
        <f t="shared" si="889"/>
        <v>831850.91666666663</v>
      </c>
      <c r="BX85" s="60">
        <f t="shared" si="889"/>
        <v>831850.91666666663</v>
      </c>
    </row>
    <row r="86" spans="1:76" x14ac:dyDescent="0.25">
      <c r="A86" s="294"/>
      <c r="B86" s="52" t="s">
        <v>73</v>
      </c>
      <c r="C86" s="94"/>
      <c r="D86" s="94"/>
      <c r="E86" s="94"/>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285104.73</v>
      </c>
      <c r="AD86" s="22">
        <v>522237.53</v>
      </c>
      <c r="AE86" s="22">
        <v>417802.47</v>
      </c>
      <c r="AF86" s="22">
        <v>410351.7</v>
      </c>
      <c r="AG86" s="22">
        <v>482532.64</v>
      </c>
      <c r="AH86" s="22">
        <v>608996.41</v>
      </c>
      <c r="AI86" s="22">
        <v>606777.69999999995</v>
      </c>
      <c r="AJ86" s="22">
        <v>608116.79</v>
      </c>
      <c r="AK86" s="22">
        <v>477518.56</v>
      </c>
      <c r="AL86" s="22">
        <v>427851.21</v>
      </c>
      <c r="AM86" s="22">
        <v>515247.16</v>
      </c>
      <c r="AN86" s="22">
        <v>600539.75</v>
      </c>
      <c r="AO86" s="22">
        <v>2037727.16</v>
      </c>
      <c r="AP86" s="22">
        <v>795668.03</v>
      </c>
      <c r="AQ86" s="22">
        <v>562116.91</v>
      </c>
      <c r="AR86" s="22">
        <v>655732.05000000005</v>
      </c>
      <c r="AS86" s="22">
        <v>784339.36</v>
      </c>
      <c r="AT86" s="22">
        <v>965777.55</v>
      </c>
      <c r="AU86" s="22">
        <v>941053.79</v>
      </c>
      <c r="AV86" s="22">
        <v>844973.28</v>
      </c>
      <c r="AW86" s="22">
        <v>672120.46</v>
      </c>
      <c r="AX86" s="22">
        <v>651071.71</v>
      </c>
      <c r="AY86" s="22">
        <v>829595.91</v>
      </c>
      <c r="AZ86" s="22">
        <v>917718.34</v>
      </c>
      <c r="BA86" s="22">
        <v>858978.64</v>
      </c>
      <c r="BB86" s="22">
        <v>827967.6</v>
      </c>
      <c r="BC86" s="22">
        <v>759847.63</v>
      </c>
      <c r="BD86" s="22">
        <v>704739.31</v>
      </c>
      <c r="BE86" s="22">
        <v>844017.97</v>
      </c>
      <c r="BF86" s="22">
        <v>990512.63</v>
      </c>
      <c r="BG86" s="22">
        <v>1036497.57</v>
      </c>
      <c r="BH86" s="22">
        <v>995026.87</v>
      </c>
      <c r="BI86" s="22">
        <v>807105.04</v>
      </c>
      <c r="BJ86" s="22">
        <v>734222.77</v>
      </c>
      <c r="BK86" s="22">
        <v>881419.64</v>
      </c>
      <c r="BL86" s="22">
        <v>1047626.42</v>
      </c>
      <c r="BM86" s="22">
        <v>945928.5</v>
      </c>
      <c r="BN86" s="22">
        <v>725283.19</v>
      </c>
      <c r="BO86" s="22">
        <v>692221.78</v>
      </c>
      <c r="BP86" s="22">
        <v>675133.23</v>
      </c>
      <c r="BQ86" s="22">
        <v>821047.96</v>
      </c>
      <c r="BR86" s="22">
        <v>999521.83</v>
      </c>
      <c r="BS86" s="22">
        <v>928737.88</v>
      </c>
      <c r="BT86" s="22">
        <v>897213.47</v>
      </c>
      <c r="BU86" s="22">
        <v>744913.34</v>
      </c>
      <c r="BV86" s="126">
        <f>SUM('[1]EOR (M3)'!$AV$29:$AV$33)</f>
        <v>747147.8234919263</v>
      </c>
      <c r="BW86" s="126">
        <f>SUM('[1]EOR (M3)'!$AW$29:$AW$33)</f>
        <v>873120.92007878737</v>
      </c>
      <c r="BX86" s="126">
        <f>SUM('[1]EOR (M3)'!$AX$29:$AX$33)</f>
        <v>972105.47739708878</v>
      </c>
    </row>
    <row r="87" spans="1:76" x14ac:dyDescent="0.25">
      <c r="A87" s="294"/>
      <c r="B87" s="52" t="s">
        <v>74</v>
      </c>
      <c r="C87" s="94"/>
      <c r="D87" s="94"/>
      <c r="E87" s="94"/>
      <c r="F87" s="8"/>
      <c r="G87" s="8"/>
      <c r="H87" s="8"/>
      <c r="I87" s="8"/>
      <c r="J87" s="8"/>
      <c r="K87" s="8"/>
      <c r="L87" s="8"/>
      <c r="M87" s="8"/>
      <c r="N87" s="8" t="str">
        <f>IF(OR(N85="",N86=""),"",N85-N86)</f>
        <v/>
      </c>
      <c r="O87" s="8" t="str">
        <f>IF(OR(O85="",O86=""),"",O85-O86)</f>
        <v/>
      </c>
      <c r="P87" s="8" t="str">
        <f>IF(OR(P85="",P86=""),"",P85-P86)</f>
        <v/>
      </c>
      <c r="Q87" s="8" t="str">
        <f t="shared" ref="Q87:AA87" si="890">IF(OR(Q85="",Q86=""),"",Q85-Q86)</f>
        <v/>
      </c>
      <c r="R87" s="8" t="str">
        <f t="shared" si="890"/>
        <v/>
      </c>
      <c r="S87" s="8" t="str">
        <f t="shared" si="890"/>
        <v/>
      </c>
      <c r="T87" s="8" t="str">
        <f t="shared" si="890"/>
        <v/>
      </c>
      <c r="U87" s="8" t="str">
        <f t="shared" si="890"/>
        <v/>
      </c>
      <c r="V87" s="8" t="str">
        <f t="shared" si="890"/>
        <v/>
      </c>
      <c r="W87" s="8" t="str">
        <f t="shared" si="890"/>
        <v/>
      </c>
      <c r="X87" s="8" t="str">
        <f t="shared" si="890"/>
        <v/>
      </c>
      <c r="Y87" s="8" t="str">
        <f t="shared" si="890"/>
        <v/>
      </c>
      <c r="Z87" s="8" t="str">
        <f t="shared" si="890"/>
        <v/>
      </c>
      <c r="AA87" s="8" t="str">
        <f t="shared" si="890"/>
        <v/>
      </c>
      <c r="AB87" s="8" t="str">
        <f>IF(OR(AB85="",AB86=""),"",AB85-AB86)</f>
        <v/>
      </c>
      <c r="AC87" s="7">
        <f>IF(OR(AC85="",AC86=""),"",AC85-AC86)</f>
        <v>234843.65999999997</v>
      </c>
      <c r="AD87" s="7">
        <f>IF(OR(AD85="",AD86=""),"",AD85-AD86)</f>
        <v>-2289.1400000000722</v>
      </c>
      <c r="AE87" s="7">
        <f t="shared" ref="AE87:AF87" si="891">IF(OR(AE85="",AE86=""),"",AE85-AE86)</f>
        <v>102145.91999999998</v>
      </c>
      <c r="AF87" s="7">
        <f t="shared" si="891"/>
        <v>109596.68999999994</v>
      </c>
      <c r="AG87" s="7">
        <f t="shared" ref="AG87:AV87" si="892">IF(OR(AG85="",AG86=""),"",AG85-AG86)</f>
        <v>37415.749999999942</v>
      </c>
      <c r="AH87" s="7">
        <f t="shared" si="892"/>
        <v>-89048.020000000077</v>
      </c>
      <c r="AI87" s="7">
        <f t="shared" si="892"/>
        <v>-86829.31</v>
      </c>
      <c r="AJ87" s="7">
        <f>IF(OR(AJ85="",AJ86=""),"",AJ85-AJ86)</f>
        <v>-88168.400000000081</v>
      </c>
      <c r="AK87" s="7">
        <f>IF(OR(AK85="",AK86=""),"",AK85-AK86)</f>
        <v>42429.829999999958</v>
      </c>
      <c r="AL87" s="7">
        <f t="shared" si="892"/>
        <v>92097.179999999935</v>
      </c>
      <c r="AM87" s="7">
        <f t="shared" si="892"/>
        <v>4701.2299999999814</v>
      </c>
      <c r="AN87" s="7">
        <f>IF(OR(AN85="",AN86=""),"",AN85-AN86)</f>
        <v>-80591.360000000044</v>
      </c>
      <c r="AO87" s="7">
        <f>IF(OR(AO85="",AO86=""),"",AO85-AO86)</f>
        <v>-1249237.2433333332</v>
      </c>
      <c r="AP87" s="7">
        <f t="shared" si="892"/>
        <v>-7178.1133333334001</v>
      </c>
      <c r="AQ87" s="7">
        <f t="shared" si="892"/>
        <v>226373.0066666666</v>
      </c>
      <c r="AR87" s="7">
        <f t="shared" si="892"/>
        <v>132757.86666666658</v>
      </c>
      <c r="AS87" s="7">
        <f t="shared" si="892"/>
        <v>4150.5566666666418</v>
      </c>
      <c r="AT87" s="7">
        <f t="shared" si="892"/>
        <v>-177287.63333333342</v>
      </c>
      <c r="AU87" s="7">
        <f>IF(OR(AU85="",AU86=""),"",AU85-AU86)</f>
        <v>-152563.87333333341</v>
      </c>
      <c r="AV87" s="7">
        <f t="shared" si="892"/>
        <v>-56483.3633333334</v>
      </c>
      <c r="AW87" s="7">
        <f>IF(OR(AW85="",AW86=""),"",AW85-AW86)</f>
        <v>116369.45666666667</v>
      </c>
      <c r="AX87" s="7">
        <f t="shared" ref="AX87" si="893">IF(OR(AX85="",AX86=""),"",AX85-AX86)</f>
        <v>137418.20666666667</v>
      </c>
      <c r="AY87" s="7">
        <f>IF(OR(AY85="",AY86=""),"",AY85-AY86)</f>
        <v>-41105.993333333405</v>
      </c>
      <c r="AZ87" s="7">
        <f t="shared" ref="AZ87:BA87" si="894">IF(OR(AZ85="",AZ86=""),"",AZ85-AZ86)</f>
        <v>-129228.42333333334</v>
      </c>
      <c r="BA87" s="7">
        <f t="shared" si="894"/>
        <v>119978.77666666661</v>
      </c>
      <c r="BB87" s="7">
        <f>IF(OR(BB85="",BB86=""),"",BB85-BB86)</f>
        <v>150989.81666666665</v>
      </c>
      <c r="BC87" s="7">
        <f t="shared" ref="BC87:BE87" si="895">IF(OR(BC85="",BC86=""),"",BC85-BC86)</f>
        <v>219109.78666666662</v>
      </c>
      <c r="BD87" s="7">
        <f t="shared" si="895"/>
        <v>274218.10666666657</v>
      </c>
      <c r="BE87" s="7">
        <f t="shared" si="895"/>
        <v>134939.44666666666</v>
      </c>
      <c r="BF87" s="7">
        <f>IF(OR(BF85="",BF86=""),"",BF85-BF86)</f>
        <v>-11555.213333333377</v>
      </c>
      <c r="BG87" s="7">
        <f t="shared" ref="BG87:BI87" si="896">IF(OR(BG85="",BG86=""),"",BG85-BG86)</f>
        <v>-57540.153333333321</v>
      </c>
      <c r="BH87" s="7">
        <f t="shared" si="896"/>
        <v>-16069.453333333367</v>
      </c>
      <c r="BI87" s="7">
        <f t="shared" si="896"/>
        <v>171852.37666666659</v>
      </c>
      <c r="BJ87" s="7">
        <f t="shared" ref="BJ87:BO87" si="897">IF(OR(BJ85="",BJ86=""),"",BJ85-BJ86)</f>
        <v>244734.64666666661</v>
      </c>
      <c r="BK87" s="7">
        <f t="shared" si="897"/>
        <v>97537.776666666614</v>
      </c>
      <c r="BL87" s="7">
        <f t="shared" si="897"/>
        <v>-68669.003333333414</v>
      </c>
      <c r="BM87" s="7">
        <f t="shared" si="897"/>
        <v>-114077.58333333337</v>
      </c>
      <c r="BN87" s="7">
        <f t="shared" si="897"/>
        <v>106567.72666666668</v>
      </c>
      <c r="BO87" s="7">
        <f t="shared" si="897"/>
        <v>139629.1366666666</v>
      </c>
      <c r="BP87" s="7">
        <f t="shared" ref="BP87" si="898">IF(OR(BP85="",BP86=""),"",BP85-BP86)</f>
        <v>156717.68666666665</v>
      </c>
      <c r="BQ87" s="7">
        <f>IF(OR(BQ85="",BQ86=""),"",BQ85-BQ86)</f>
        <v>10802.956666666665</v>
      </c>
      <c r="BR87" s="7">
        <f>IF(OR(BR85="",BR86=""),"",BR85-BR86)</f>
        <v>-167670.91333333333</v>
      </c>
      <c r="BS87" s="7">
        <f>IF(OR(BS85="",BS86=""),"",BS85-BS86)</f>
        <v>-96886.963333333377</v>
      </c>
      <c r="BT87" s="7">
        <f>IF(OR(BT85="",BT86=""),"",BT85-BT86)</f>
        <v>-65362.553333333344</v>
      </c>
      <c r="BU87" s="7">
        <f>IF(OR(BU85="",BU86=""),"",BU85-BU86)</f>
        <v>86937.57666666666</v>
      </c>
      <c r="BV87" s="7">
        <f t="shared" ref="BV87:BX87" si="899">IF(OR(BV85="",BV86=""),"",BV85-BV86)</f>
        <v>84703.093174740323</v>
      </c>
      <c r="BW87" s="7">
        <f t="shared" si="899"/>
        <v>-41270.003412120743</v>
      </c>
      <c r="BX87" s="7">
        <f t="shared" si="899"/>
        <v>-140254.56073042215</v>
      </c>
    </row>
    <row r="88" spans="1:76" x14ac:dyDescent="0.25">
      <c r="A88" s="294"/>
      <c r="B88" s="52" t="s">
        <v>4</v>
      </c>
      <c r="C88" s="96"/>
      <c r="D88" s="96"/>
      <c r="E88" s="96"/>
      <c r="F88" s="61"/>
      <c r="G88" s="61"/>
      <c r="H88" s="61"/>
      <c r="I88" s="61"/>
      <c r="J88" s="61"/>
      <c r="K88" s="108"/>
      <c r="L88" s="61"/>
      <c r="M88" s="61"/>
      <c r="N88" s="61"/>
      <c r="O88" s="61" t="str">
        <f t="shared" ref="O88:AA88" si="900">IF(O87="","",O19)</f>
        <v/>
      </c>
      <c r="P88" s="61" t="str">
        <f t="shared" si="900"/>
        <v/>
      </c>
      <c r="Q88" s="61" t="str">
        <f t="shared" si="900"/>
        <v/>
      </c>
      <c r="R88" s="61" t="str">
        <f t="shared" si="900"/>
        <v/>
      </c>
      <c r="S88" s="61" t="str">
        <f t="shared" si="900"/>
        <v/>
      </c>
      <c r="T88" s="61" t="str">
        <f t="shared" si="900"/>
        <v/>
      </c>
      <c r="U88" s="61" t="str">
        <f t="shared" si="900"/>
        <v/>
      </c>
      <c r="V88" s="61" t="str">
        <f t="shared" si="900"/>
        <v/>
      </c>
      <c r="W88" s="61" t="str">
        <f t="shared" si="900"/>
        <v/>
      </c>
      <c r="X88" s="61" t="str">
        <f t="shared" si="900"/>
        <v/>
      </c>
      <c r="Y88" s="61" t="str">
        <f t="shared" si="900"/>
        <v/>
      </c>
      <c r="Z88" s="61" t="str">
        <f t="shared" si="900"/>
        <v/>
      </c>
      <c r="AA88" s="61" t="str">
        <f t="shared" si="900"/>
        <v/>
      </c>
      <c r="AB88" s="61" t="str">
        <f>IF(AB87="","",AB19)</f>
        <v/>
      </c>
      <c r="AC88" s="61">
        <f>IF(AC87="","",AC9)</f>
        <v>2.3221700000000001E-3</v>
      </c>
      <c r="AD88" s="61">
        <f>IF(AD87="","",AD9)</f>
        <v>2.1367399999999998E-3</v>
      </c>
      <c r="AE88" s="61">
        <f t="shared" ref="AE88:AF88" si="901">IF(AE87="","",AE9)</f>
        <v>2.2512299999999999E-3</v>
      </c>
      <c r="AF88" s="61">
        <f t="shared" si="901"/>
        <v>2.2427200000000001E-3</v>
      </c>
      <c r="AG88" s="61">
        <f t="shared" ref="AG88:AV88" si="902">IF(AG87="","",AG9)</f>
        <v>2.01659E-3</v>
      </c>
      <c r="AH88" s="61">
        <f t="shared" si="902"/>
        <v>1.3954900000000001E-3</v>
      </c>
      <c r="AI88" s="61">
        <f t="shared" si="902"/>
        <v>2.0509899999999999E-3</v>
      </c>
      <c r="AJ88" s="61">
        <f>IF(AJ87="","",AJ9)</f>
        <v>1.9323299999999999E-3</v>
      </c>
      <c r="AK88" s="61">
        <f>IF(AK87="","",AK9)</f>
        <v>1.5E-3</v>
      </c>
      <c r="AL88" s="61">
        <f t="shared" si="902"/>
        <v>1.5320900000000001E-3</v>
      </c>
      <c r="AM88" s="61">
        <f t="shared" si="902"/>
        <v>2.6046400000000001E-3</v>
      </c>
      <c r="AN88" s="61">
        <f t="shared" si="902"/>
        <v>2.3444999999999998E-3</v>
      </c>
      <c r="AO88" s="61">
        <f>IF(AO87="","",AO9)</f>
        <v>2.9584899999999998E-3</v>
      </c>
      <c r="AP88" s="61">
        <f t="shared" si="902"/>
        <v>6.8829599999999996E-3</v>
      </c>
      <c r="AQ88" s="61">
        <f t="shared" si="902"/>
        <v>6.0041599999999997E-3</v>
      </c>
      <c r="AR88" s="61">
        <f t="shared" si="902"/>
        <v>9.4970499999999999E-3</v>
      </c>
      <c r="AS88" s="61">
        <f t="shared" si="902"/>
        <v>1.4858659999999999E-2</v>
      </c>
      <c r="AT88" s="61">
        <f t="shared" si="902"/>
        <v>2.0566899999999999E-2</v>
      </c>
      <c r="AU88" s="61">
        <f>IF(AU87="","",AU9)</f>
        <v>2.564054E-2</v>
      </c>
      <c r="AV88" s="61">
        <f t="shared" si="902"/>
        <v>2.8416960000000002E-2</v>
      </c>
      <c r="AW88" s="61">
        <f>IF(AW87="","",AW9)</f>
        <v>3.4701200000000001E-2</v>
      </c>
      <c r="AX88" s="61">
        <f t="shared" ref="AX88:AY88" si="903">IF(AX87="","",AX9)</f>
        <v>4.286098E-2</v>
      </c>
      <c r="AY88" s="61">
        <f t="shared" si="903"/>
        <v>4.617603E-2</v>
      </c>
      <c r="AZ88" s="61">
        <f t="shared" ref="AZ88:BA88" si="904">IF(AZ87="","",AZ9)</f>
        <v>4.7842519999999999E-2</v>
      </c>
      <c r="BA88" s="61">
        <f t="shared" si="904"/>
        <v>4.847945E-2</v>
      </c>
      <c r="BB88" s="61">
        <f t="shared" ref="BB88:BC88" si="905">IF(BB87="","",BB9)</f>
        <v>4.9894139999999997E-2</v>
      </c>
      <c r="BC88" s="61">
        <f t="shared" si="905"/>
        <v>5.2487209999999999E-2</v>
      </c>
      <c r="BD88" s="61">
        <f t="shared" ref="BD88:BE88" si="906">IF(BD87="","",BD9)</f>
        <v>5.3267839534246943E-2</v>
      </c>
      <c r="BE88" s="61">
        <f t="shared" si="906"/>
        <v>5.3948219999999998E-2</v>
      </c>
      <c r="BF88" s="61">
        <f t="shared" ref="BF88:BJ88" si="907">IF(BF87="","",BF9)</f>
        <v>5.4426639999999998E-2</v>
      </c>
      <c r="BG88" s="61">
        <f t="shared" si="907"/>
        <v>5.5204789999999997E-2</v>
      </c>
      <c r="BH88" s="61">
        <f t="shared" si="907"/>
        <v>5.5351270000000001E-2</v>
      </c>
      <c r="BI88" s="61">
        <f t="shared" si="907"/>
        <v>5.5174559999999997E-2</v>
      </c>
      <c r="BJ88" s="61">
        <f t="shared" si="907"/>
        <v>5.5580579999999997E-2</v>
      </c>
      <c r="BK88" s="61">
        <f>IF(BK87="","",BK9)</f>
        <v>5.5475749999999997E-2</v>
      </c>
      <c r="BL88" s="61">
        <f t="shared" ref="BL88:BM88" si="908">IF(BL87="","",BL9)</f>
        <v>5.3783249999999998E-2</v>
      </c>
      <c r="BM88" s="61">
        <f t="shared" si="908"/>
        <v>5.377171E-2</v>
      </c>
      <c r="BN88" s="61">
        <f t="shared" ref="BN88:BS88" si="909">IF(BN87="","",BN9)</f>
        <v>5.4286330000000001E-2</v>
      </c>
      <c r="BO88" s="61">
        <f t="shared" si="909"/>
        <v>5.5001649999999999E-2</v>
      </c>
      <c r="BP88" s="61">
        <f t="shared" si="909"/>
        <v>5.4899999999999997E-2</v>
      </c>
      <c r="BQ88" s="61">
        <f>IF(BQ87="","",BQ9)</f>
        <v>5.5527970000000003E-2</v>
      </c>
      <c r="BR88" s="61">
        <f t="shared" si="909"/>
        <v>5.581407E-2</v>
      </c>
      <c r="BS88" s="61">
        <f t="shared" si="909"/>
        <v>5.56397E-2</v>
      </c>
      <c r="BT88" s="61">
        <f>IF(BT87="","",BT9)</f>
        <v>5.3053490000000002E-2</v>
      </c>
      <c r="BU88" s="61">
        <f>IF(BU87="","",BU9)</f>
        <v>4.9407439999999997E-2</v>
      </c>
      <c r="BV88" s="61">
        <f t="shared" ref="BV88:BX88" si="910">IF(BV87="","",BV9)</f>
        <v>4.9407439999999997E-2</v>
      </c>
      <c r="BW88" s="61">
        <f t="shared" si="910"/>
        <v>4.9407439999999997E-2</v>
      </c>
      <c r="BX88" s="61">
        <f t="shared" si="910"/>
        <v>4.9407439999999997E-2</v>
      </c>
    </row>
    <row r="89" spans="1:76" x14ac:dyDescent="0.25">
      <c r="A89" s="294"/>
      <c r="B89" s="52" t="s">
        <v>49</v>
      </c>
      <c r="C89" s="94"/>
      <c r="D89" s="94"/>
      <c r="E89" s="94"/>
      <c r="F89" s="8"/>
      <c r="G89" s="8"/>
      <c r="H89" s="8"/>
      <c r="I89" s="8"/>
      <c r="J89" s="8"/>
      <c r="K89" s="8"/>
      <c r="L89" s="8"/>
      <c r="M89" s="8"/>
      <c r="N89" s="8" t="str">
        <f>IF(OR(N88="",N87=""),"",(N87*N88)/12)</f>
        <v/>
      </c>
      <c r="O89" s="8"/>
      <c r="P89" s="8"/>
      <c r="Q89" s="8"/>
      <c r="R89" s="8"/>
      <c r="S89" s="8"/>
      <c r="T89" s="8"/>
      <c r="U89" s="8"/>
      <c r="V89" s="8"/>
      <c r="W89" s="8"/>
      <c r="X89" s="8"/>
      <c r="Y89" s="8"/>
      <c r="Z89" s="8"/>
      <c r="AA89" s="8"/>
      <c r="AB89" s="8"/>
      <c r="AC89" s="8">
        <f>IF(OR(AC88="",AC87=""),"",(AC87*AC88)/12)</f>
        <v>45.445575161850002</v>
      </c>
      <c r="AD89" s="8">
        <f>IF(OR(AD88="",AD87="",AC92=""),"",((AC92+AD87)*AD88)/12)</f>
        <v>41.417137536922588</v>
      </c>
      <c r="AE89" s="8">
        <f t="shared" ref="AE89:AF89" si="911">IF(OR(AE88="",AE87="",AD92=""),"",((AD92+AE87)*AE88)/12)</f>
        <v>62.806934957159051</v>
      </c>
      <c r="AF89" s="8">
        <f t="shared" si="911"/>
        <v>83.064143875482543</v>
      </c>
      <c r="AG89" s="8">
        <f t="shared" ref="AG89" si="912">IF(OR(AG88="",AG87="",AF92=""),"",((AF92+AG87)*AG88)/12)</f>
        <v>80.99055877632199</v>
      </c>
      <c r="AH89" s="8">
        <f t="shared" ref="AH89" si="913">IF(OR(AH88="",AH87="",AG92=""),"",((AG92+AH87)*AH88)/12)</f>
        <v>45.699807056250876</v>
      </c>
      <c r="AI89" s="8">
        <f t="shared" ref="AI89" si="914">IF(OR(AI88="",AI87="",AH92=""),"",((AH92+AI87)*AI88)/12)</f>
        <v>52.333569170584276</v>
      </c>
      <c r="AJ89" s="8">
        <f>IF(OR(AJ88="",AJ87="",AI92=""),"",((AI92+AJ87)*AJ88)/12)</f>
        <v>35.116701313934492</v>
      </c>
      <c r="AK89" s="8">
        <f>IF(OR(AK88="",AK87="",AJ92=""),"",((AJ92+AK87)*AK88)/12)</f>
        <v>32.567981803481018</v>
      </c>
      <c r="AL89" s="8">
        <f t="shared" ref="AL89" si="915">IF(OR(AL88="",AL87="",AK92=""),"",((AK92+AL87)*AL88)/12)</f>
        <v>45.027308292983584</v>
      </c>
      <c r="AM89" s="8">
        <f t="shared" ref="AM89" si="916">IF(OR(AM88="",AM87="",AL92=""),"",((AL92+AM87)*AM88)/12)</f>
        <v>77.579171951312262</v>
      </c>
      <c r="AN89" s="8">
        <f t="shared" ref="AN89" si="917">IF(OR(AN88="",AN87="",AM92=""),"",((AM92+AN87)*AN88)/12)</f>
        <v>54.100525163113389</v>
      </c>
      <c r="AO89" s="8">
        <f>IF(OR(AO88="",AO87="",AN92=""),"",((AN92+AO87+'MEEIA 2 calcs'!BW103)*AO88)/12)</f>
        <v>-277.20628046448553</v>
      </c>
      <c r="AP89" s="8">
        <f t="shared" ref="AP89" si="918">IF(OR(AP88="",AP87="",AO92=""),"",((AO92+AP87)*AP88)/12)</f>
        <v>-649.19972718297527</v>
      </c>
      <c r="AQ89" s="8">
        <f t="shared" ref="AQ89" si="919">IF(OR(AQ88="",AQ87="",AP92=""),"",((AP92+AQ87)*AQ88)/12)</f>
        <v>-453.37129213395292</v>
      </c>
      <c r="AR89" s="8">
        <f t="shared" ref="AR89" si="920">IF(OR(AR88="",AR87="",AQ92=""),"",((AQ92+AR87)*AR88)/12)</f>
        <v>-612.40923602319651</v>
      </c>
      <c r="AS89" s="8">
        <f t="shared" ref="AS89" si="921">IF(OR(AS88="",AS87="",AR92=""),"",((AR92+AS87)*AS88)/12)</f>
        <v>-953.76711086387024</v>
      </c>
      <c r="AT89" s="8">
        <f t="shared" ref="AT89" si="922">IF(OR(AT88="",AT87="",AS92=""),"",((AS92+AT87)*AT88)/12)</f>
        <v>-1625.66451086953</v>
      </c>
      <c r="AU89" s="8">
        <f>IF(OR(AU88="",AU87="",AT92=""),"",((AT92+AU87)*AU88)/12)</f>
        <v>-2356.1575967605281</v>
      </c>
      <c r="AV89" s="8">
        <f t="shared" ref="AV89" si="923">IF(OR(AV88="",AV87="",AU92=""),"",((AU92+AV87)*AV88)/12)</f>
        <v>-2750.6247615729239</v>
      </c>
      <c r="AW89" s="8">
        <f>IF(OR(AW88="",AW87="",AV92=""),"",((AV92+AW87)*AW88)/12)</f>
        <v>-3030.3497534615949</v>
      </c>
      <c r="AX89" s="8">
        <f t="shared" ref="AX89" si="924">IF(OR(AX88="",AX87="",AW92=""),"",((AW92+AX87)*AX88)/12)</f>
        <v>-3262.918801641827</v>
      </c>
      <c r="AY89" s="8">
        <f>IF(OR(AY88="",AY87="",AX92=""),"",((AX92+AY87)*AY88)/12)</f>
        <v>-3686.0184671585507</v>
      </c>
      <c r="AZ89" s="8">
        <f>IF(OR(AZ88="",AZ87="",AY92=""),"",((AY92+AZ87+AZ84)*AZ88)/12)+AZ84</f>
        <v>-4506.8000022545448</v>
      </c>
      <c r="BA89" s="8">
        <f t="shared" ref="BA89:BC89" si="925">IF(OR(BA88="",BA87="",AZ92=""),"",((AZ92+BA87)*BA88)/12)</f>
        <v>-3940.3565700160584</v>
      </c>
      <c r="BB89" s="8">
        <f t="shared" si="925"/>
        <v>-3443.932160518923</v>
      </c>
      <c r="BC89" s="8">
        <f t="shared" si="925"/>
        <v>-2679.6100036161324</v>
      </c>
      <c r="BD89" s="8">
        <f t="shared" ref="BD89:BI89" si="926">IF(OR(BD88="",BD87="",BC92=""),"",((BC92+BD87)*BD88)/12)</f>
        <v>-1514.1074371503601</v>
      </c>
      <c r="BE89" s="8">
        <f t="shared" si="926"/>
        <v>-933.60856099466798</v>
      </c>
      <c r="BF89" s="8">
        <f>IF(OR(BF88="",BF87="",BE92=""),"",((BE92+BF87)*BF88)/12)</f>
        <v>-998.53164382752175</v>
      </c>
      <c r="BG89" s="8">
        <f t="shared" si="926"/>
        <v>-1282.1091944986822</v>
      </c>
      <c r="BH89" s="8">
        <f t="shared" si="926"/>
        <v>-1365.547052516067</v>
      </c>
      <c r="BI89" s="8">
        <f t="shared" si="926"/>
        <v>-577.30953299414352</v>
      </c>
      <c r="BJ89" s="8">
        <f t="shared" ref="BJ89:BP89" si="927">IF(OR(BJ88="",BJ87="",BI92=""),"",((BI92+BJ87)*BJ88)/12)</f>
        <v>549.30934722698692</v>
      </c>
      <c r="BK89" s="8">
        <f t="shared" si="927"/>
        <v>1001.7278552856587</v>
      </c>
      <c r="BL89" s="8">
        <f t="shared" si="927"/>
        <v>667.88581503318017</v>
      </c>
      <c r="BM89" s="8">
        <f t="shared" si="927"/>
        <v>159.55639630583556</v>
      </c>
      <c r="BN89" s="8">
        <f t="shared" si="927"/>
        <v>643.90280011201617</v>
      </c>
      <c r="BO89" s="8">
        <f t="shared" si="927"/>
        <v>1295.3247622855004</v>
      </c>
      <c r="BP89" s="8">
        <f t="shared" si="927"/>
        <v>2015.8403657163751</v>
      </c>
      <c r="BQ89" s="8">
        <f>IF(OR(BQ88="",BQ87="",BP92=""),"",((BP92+BQ87)*BQ88)/12)</f>
        <v>2098.2152364716362</v>
      </c>
      <c r="BR89" s="8">
        <f>IF(OR(BR88="",BR87="",BQ92=""),"",((BQ92+BR87)*BR88)/12)</f>
        <v>1338.9188131306726</v>
      </c>
      <c r="BS89" s="8">
        <f>IF(OR(BS88="",BS87="",BR92=""),"",((BR92+BS87)*BS88)/12)</f>
        <v>891.71382215577989</v>
      </c>
      <c r="BT89" s="8">
        <f>IF(OR(BT88="",BT87="",BS92=""),"",((BS92+BT87)*BT88)/12)</f>
        <v>565.23214715035613</v>
      </c>
      <c r="BU89" s="8">
        <f>IF(OR(BU88="",BU87="",BT92=""),"",((BT92+BU87)*BU88)/12)</f>
        <v>886.66126028477754</v>
      </c>
      <c r="BV89" s="126">
        <f t="shared" ref="BV89:BX89" si="928">IF(OR(BV88="",BV87="",BU92=""),"",((BU92+BV87)*BV88)/12)</f>
        <v>1239.0588150233805</v>
      </c>
      <c r="BW89" s="126">
        <f t="shared" si="928"/>
        <v>1074.2399405796796</v>
      </c>
      <c r="BX89" s="126">
        <f t="shared" si="928"/>
        <v>501.19466152927174</v>
      </c>
    </row>
    <row r="90" spans="1:76" x14ac:dyDescent="0.25">
      <c r="A90" s="294"/>
      <c r="B90" s="53" t="s">
        <v>6</v>
      </c>
      <c r="C90" s="94"/>
      <c r="D90" s="94"/>
      <c r="E90" s="94"/>
      <c r="F90" s="8"/>
      <c r="G90" s="8"/>
      <c r="H90" s="8"/>
      <c r="I90" s="8"/>
      <c r="J90" s="8"/>
      <c r="K90" s="8"/>
      <c r="L90" s="8"/>
      <c r="M90" s="8"/>
      <c r="N90" s="8" t="str">
        <f>N89</f>
        <v/>
      </c>
      <c r="O90" s="8"/>
      <c r="P90" s="8"/>
      <c r="Q90" s="8"/>
      <c r="R90" s="8"/>
      <c r="S90" s="8"/>
      <c r="T90" s="8"/>
      <c r="U90" s="8"/>
      <c r="V90" s="8"/>
      <c r="W90" s="8"/>
      <c r="X90" s="8"/>
      <c r="Y90" s="8"/>
      <c r="Z90" s="8"/>
      <c r="AA90" s="8"/>
      <c r="AB90" s="8"/>
      <c r="AC90" s="8">
        <f>AC89</f>
        <v>45.445575161850002</v>
      </c>
      <c r="AD90" s="8">
        <f>IF(OR(AC90="",AD89=""),"",AC90+AD89)</f>
        <v>86.862712698772583</v>
      </c>
      <c r="AE90" s="8">
        <f t="shared" ref="AE90:AF90" si="929">IF(OR(AD90="",AE89=""),"",AD90+AE89)</f>
        <v>149.66964765593164</v>
      </c>
      <c r="AF90" s="8">
        <f t="shared" si="929"/>
        <v>232.73379153141417</v>
      </c>
      <c r="AG90" s="8">
        <f t="shared" ref="AG90" si="930">IF(OR(AF90="",AG89=""),"",AF90+AG89)</f>
        <v>313.72435030773613</v>
      </c>
      <c r="AH90" s="8">
        <f t="shared" ref="AH90" si="931">IF(OR(AG90="",AH89=""),"",AG90+AH89)</f>
        <v>359.42415736398698</v>
      </c>
      <c r="AI90" s="8">
        <f t="shared" ref="AI90" si="932">IF(OR(AH90="",AI89=""),"",AH90+AI89)</f>
        <v>411.75772653457125</v>
      </c>
      <c r="AJ90" s="8">
        <f>IF(OR(AI90="",AJ89=""),"",AI90+AJ89)</f>
        <v>446.87442784850572</v>
      </c>
      <c r="AK90" s="8">
        <f>IF(OR(AJ90="",AK89=""),"",AJ90+AK89)</f>
        <v>479.44240965198674</v>
      </c>
      <c r="AL90" s="8">
        <f t="shared" ref="AL90" si="933">IF(OR(AK90="",AL89=""),"",AK90+AL89)</f>
        <v>524.46971794497028</v>
      </c>
      <c r="AM90" s="8">
        <f t="shared" ref="AM90" si="934">IF(OR(AL90="",AM89=""),"",AL90+AM89)</f>
        <v>602.0488898962825</v>
      </c>
      <c r="AN90" s="8">
        <f t="shared" ref="AN90" si="935">IF(OR(AM90="",AN89=""),"",AM90+AN89)</f>
        <v>656.14941505939589</v>
      </c>
      <c r="AO90" s="8">
        <f>IF(OR(AN90="",AO89=""),"",AN90+AO89)</f>
        <v>378.94313459491036</v>
      </c>
      <c r="AP90" s="8">
        <f t="shared" ref="AP90" si="936">IF(OR(AO90="",AP89=""),"",AO90+AP89)</f>
        <v>-270.2565925880649</v>
      </c>
      <c r="AQ90" s="8">
        <f t="shared" ref="AQ90" si="937">IF(OR(AP90="",AQ89=""),"",AP90+AQ89)</f>
        <v>-723.62788472201782</v>
      </c>
      <c r="AR90" s="8">
        <f t="shared" ref="AR90" si="938">IF(OR(AQ90="",AR89=""),"",AQ90+AR89)</f>
        <v>-1336.0371207452145</v>
      </c>
      <c r="AS90" s="8">
        <f t="shared" ref="AS90" si="939">IF(OR(AR90="",AS89=""),"",AR90+AS89)</f>
        <v>-2289.8042316090846</v>
      </c>
      <c r="AT90" s="8">
        <f t="shared" ref="AT90" si="940">IF(OR(AS90="",AT89=""),"",AS90+AT89)</f>
        <v>-3915.4687424786143</v>
      </c>
      <c r="AU90" s="8">
        <f>IF(OR(AT90="",AU89=""),"",AT90+AU89)</f>
        <v>-6271.6263392391429</v>
      </c>
      <c r="AV90" s="8">
        <f t="shared" ref="AV90" si="941">IF(OR(AU90="",AV89=""),"",AU90+AV89)</f>
        <v>-9022.2511008120673</v>
      </c>
      <c r="AW90" s="8">
        <f>IF(OR(AV90="",AW89=""),"",AV90+AW89)</f>
        <v>-12052.600854273662</v>
      </c>
      <c r="AX90" s="8">
        <f t="shared" ref="AX90" si="942">IF(OR(AW90="",AX89=""),"",AW90+AX89)</f>
        <v>-15315.519655915488</v>
      </c>
      <c r="AY90" s="8">
        <f t="shared" ref="AY90:BC90" si="943">IF(OR(AX90="",AY89=""),"",AX90+AY89)</f>
        <v>-19001.538123074039</v>
      </c>
      <c r="AZ90" s="8">
        <f t="shared" si="943"/>
        <v>-23508.338125328584</v>
      </c>
      <c r="BA90" s="8">
        <f t="shared" si="943"/>
        <v>-27448.694695344642</v>
      </c>
      <c r="BB90" s="8">
        <f>IF(OR(BA90="",BB89=""),"",BA90+BB89)</f>
        <v>-30892.626855863564</v>
      </c>
      <c r="BC90" s="8">
        <f t="shared" si="943"/>
        <v>-33572.236859479694</v>
      </c>
      <c r="BD90" s="8">
        <f t="shared" ref="BD90:BI90" si="944">IF(OR(BC90="",BD89=""),"",BC90+BD89)</f>
        <v>-35086.34429663005</v>
      </c>
      <c r="BE90" s="8">
        <f t="shared" si="944"/>
        <v>-36019.952857624718</v>
      </c>
      <c r="BF90" s="8">
        <f>IF(OR(BE90="",BF89=""),"",BE90+BF89)</f>
        <v>-37018.484501452236</v>
      </c>
      <c r="BG90" s="8">
        <f t="shared" si="944"/>
        <v>-38300.59369595092</v>
      </c>
      <c r="BH90" s="8">
        <f t="shared" si="944"/>
        <v>-39666.140748466983</v>
      </c>
      <c r="BI90" s="8">
        <f t="shared" si="944"/>
        <v>-40243.450281461126</v>
      </c>
      <c r="BJ90" s="8">
        <f t="shared" ref="BJ90:BP90" si="945">IF(OR(BI90="",BJ89=""),"",BI90+BJ89)</f>
        <v>-39694.140934234136</v>
      </c>
      <c r="BK90" s="8">
        <f t="shared" si="945"/>
        <v>-38692.413078948477</v>
      </c>
      <c r="BL90" s="8">
        <f t="shared" si="945"/>
        <v>-38024.527263915297</v>
      </c>
      <c r="BM90" s="8">
        <f t="shared" si="945"/>
        <v>-37864.97086760946</v>
      </c>
      <c r="BN90" s="8">
        <f t="shared" si="945"/>
        <v>-37221.068067497443</v>
      </c>
      <c r="BO90" s="8">
        <f t="shared" si="945"/>
        <v>-35925.743305211945</v>
      </c>
      <c r="BP90" s="8">
        <f t="shared" si="945"/>
        <v>-33909.902939495572</v>
      </c>
      <c r="BQ90" s="8">
        <f>IF(OR(BP90="",BQ89=""),"",BP90+BQ89)</f>
        <v>-31811.687703023938</v>
      </c>
      <c r="BR90" s="8">
        <f>IF(OR(BQ90="",BR89=""),"",BQ90+BR89)</f>
        <v>-30472.768889893265</v>
      </c>
      <c r="BS90" s="8">
        <f>IF(OR(BR90="",BS89=""),"",BR90+BS89)</f>
        <v>-29581.055067737485</v>
      </c>
      <c r="BT90" s="8">
        <f>IF(OR(BS90="",BT89=""),"",BS90+BT89)</f>
        <v>-29015.822920587128</v>
      </c>
      <c r="BU90" s="8">
        <f>IF(OR(BT90="",BU89=""),"",BT90+BU89)</f>
        <v>-28129.16166030235</v>
      </c>
      <c r="BV90" s="8">
        <f t="shared" ref="BV90:BX90" si="946">IF(OR(BU90="",BV89=""),"",BU90+BV89)</f>
        <v>-26890.102845278969</v>
      </c>
      <c r="BW90" s="8">
        <f t="shared" si="946"/>
        <v>-25815.86290469929</v>
      </c>
      <c r="BX90" s="8">
        <f t="shared" si="946"/>
        <v>-25314.668243170017</v>
      </c>
    </row>
    <row r="91" spans="1:76" x14ac:dyDescent="0.25">
      <c r="A91" s="294"/>
      <c r="B91" s="70" t="s">
        <v>75</v>
      </c>
      <c r="C91" s="94"/>
      <c r="D91" s="94"/>
      <c r="E91" s="94"/>
      <c r="F91" s="8"/>
      <c r="G91" s="8"/>
      <c r="H91" s="8"/>
      <c r="I91" s="8"/>
      <c r="J91" s="8"/>
      <c r="K91" s="8"/>
      <c r="L91" s="8"/>
      <c r="M91" s="8"/>
      <c r="N91" s="8" t="str">
        <f>IF(OR(N89="",N87=""),"",N87+N89)</f>
        <v/>
      </c>
      <c r="O91" s="8"/>
      <c r="P91" s="8"/>
      <c r="Q91" s="8"/>
      <c r="R91" s="8"/>
      <c r="S91" s="8"/>
      <c r="T91" s="8"/>
      <c r="U91" s="8"/>
      <c r="V91" s="8"/>
      <c r="W91" s="8"/>
      <c r="X91" s="8"/>
      <c r="Y91" s="8"/>
      <c r="Z91" s="8"/>
      <c r="AA91" s="8"/>
      <c r="AB91" s="8"/>
      <c r="AC91" s="8">
        <f>IF(OR(AC89="",AC87=""),"",AC87+AC89)</f>
        <v>234889.10557516181</v>
      </c>
      <c r="AD91" s="8">
        <f>IF(OR(AD89="",AD87=""),"",AD87+AD89)</f>
        <v>-2247.7228624631498</v>
      </c>
      <c r="AE91" s="8">
        <f t="shared" ref="AE91:AF91" si="947">IF(OR(AE89="",AE87=""),"",AE87+AE89)</f>
        <v>102208.72693495714</v>
      </c>
      <c r="AF91" s="8">
        <f t="shared" si="947"/>
        <v>109679.75414387543</v>
      </c>
      <c r="AG91" s="8">
        <f>IF(OR(AG89="",AG87=""),"",AG87+AG89)</f>
        <v>37496.740558776262</v>
      </c>
      <c r="AH91" s="8">
        <f t="shared" ref="AH91:AV91" si="948">IF(OR(AH89="",AH87=""),"",AH87+AH89)</f>
        <v>-89002.320192943822</v>
      </c>
      <c r="AI91" s="8">
        <f t="shared" si="948"/>
        <v>-86776.976430829411</v>
      </c>
      <c r="AJ91" s="8">
        <f>IF(OR(AJ89="",AJ87=""),"",AJ87+AJ89)</f>
        <v>-88133.283298686147</v>
      </c>
      <c r="AK91" s="8">
        <f>IF(OR(AK89="",AK87=""),"",AK87+AK89)</f>
        <v>42462.397981803442</v>
      </c>
      <c r="AL91" s="8">
        <f t="shared" si="948"/>
        <v>92142.207308292913</v>
      </c>
      <c r="AM91" s="8">
        <f t="shared" si="948"/>
        <v>4778.809171951294</v>
      </c>
      <c r="AN91" s="8">
        <f>IF(OR(AN89="",AN87=""),"",AN87+AN89)</f>
        <v>-80537.25947483693</v>
      </c>
      <c r="AO91" s="8">
        <f>IF(OR(AO89="",AO87=""),"",AO87+AO89)</f>
        <v>-1249514.4496137977</v>
      </c>
      <c r="AP91" s="8">
        <f t="shared" si="948"/>
        <v>-7827.3130605163751</v>
      </c>
      <c r="AQ91" s="8">
        <f t="shared" si="948"/>
        <v>225919.63537453263</v>
      </c>
      <c r="AR91" s="8">
        <f t="shared" si="948"/>
        <v>132145.45743064338</v>
      </c>
      <c r="AS91" s="8">
        <f t="shared" si="948"/>
        <v>3196.7895558027717</v>
      </c>
      <c r="AT91" s="8">
        <f t="shared" si="948"/>
        <v>-178913.29784420296</v>
      </c>
      <c r="AU91" s="8">
        <f>IF(OR(AU89="",AU87=""),"",AU87+AU89)</f>
        <v>-154920.03093009393</v>
      </c>
      <c r="AV91" s="8">
        <f t="shared" si="948"/>
        <v>-59233.988094906323</v>
      </c>
      <c r="AW91" s="8">
        <f>IF(OR(AW89="",AW87=""),"",AW87+AW89)</f>
        <v>113339.10691320508</v>
      </c>
      <c r="AX91" s="8">
        <f t="shared" ref="AX91" si="949">IF(OR(AX89="",AX87=""),"",AX87+AX89)</f>
        <v>134155.28786502485</v>
      </c>
      <c r="AY91" s="8">
        <f t="shared" ref="AY91:BC91" si="950">IF(OR(AY89="",AY87=""),"",AY87+AY89)</f>
        <v>-44792.011800491957</v>
      </c>
      <c r="AZ91" s="8">
        <f t="shared" si="950"/>
        <v>-133735.22333558789</v>
      </c>
      <c r="BA91" s="8">
        <f t="shared" si="950"/>
        <v>116038.42009665056</v>
      </c>
      <c r="BB91" s="8">
        <f>IF(OR(BB89="",BB87=""),"",BB87+BB89)</f>
        <v>147545.88450614773</v>
      </c>
      <c r="BC91" s="8">
        <f t="shared" si="950"/>
        <v>216430.17666305049</v>
      </c>
      <c r="BD91" s="8">
        <f t="shared" ref="BD91:BI91" si="951">IF(OR(BD89="",BD87=""),"",BD87+BD89)</f>
        <v>272703.99922951619</v>
      </c>
      <c r="BE91" s="8">
        <f>IF(OR(BE89="",BE87=""),"",BE87+BE89)</f>
        <v>134005.83810567198</v>
      </c>
      <c r="BF91" s="8">
        <f>IF(OR(BF89="",BF87=""),"",BF87+BF89)</f>
        <v>-12553.744977160899</v>
      </c>
      <c r="BG91" s="8">
        <f t="shared" si="951"/>
        <v>-58822.262527832005</v>
      </c>
      <c r="BH91" s="8">
        <f t="shared" si="951"/>
        <v>-17435.000385849435</v>
      </c>
      <c r="BI91" s="8">
        <f t="shared" si="951"/>
        <v>171275.06713367245</v>
      </c>
      <c r="BJ91" s="8">
        <f t="shared" ref="BJ91:BO91" si="952">IF(OR(BJ89="",BJ87=""),"",BJ87+BJ89)</f>
        <v>245283.95601389359</v>
      </c>
      <c r="BK91" s="8">
        <f t="shared" si="952"/>
        <v>98539.504521952273</v>
      </c>
      <c r="BL91" s="8">
        <f t="shared" si="952"/>
        <v>-68001.117518300234</v>
      </c>
      <c r="BM91" s="8">
        <f t="shared" si="952"/>
        <v>-113918.02693702753</v>
      </c>
      <c r="BN91" s="8">
        <f t="shared" si="952"/>
        <v>107211.6294667787</v>
      </c>
      <c r="BO91" s="8">
        <f t="shared" si="952"/>
        <v>140924.46142895211</v>
      </c>
      <c r="BP91" s="8">
        <f t="shared" ref="BP91" si="953">IF(OR(BP89="",BP87=""),"",BP87+BP89)</f>
        <v>158733.52703238302</v>
      </c>
      <c r="BQ91" s="8">
        <f>IF(OR(BQ89="",BQ87=""),"",BQ87+BQ89)</f>
        <v>12901.171903138302</v>
      </c>
      <c r="BR91" s="8">
        <f>IF(OR(BR89="",BR87=""),"",BR87+BR89)</f>
        <v>-166331.99452020266</v>
      </c>
      <c r="BS91" s="8">
        <f>IF(OR(BS89="",BS87=""),"",BS87+BS89)</f>
        <v>-95995.249511177593</v>
      </c>
      <c r="BT91" s="8">
        <f>IF(OR(BT89="",BT87=""),"",BT87+BT89)</f>
        <v>-64797.321186182991</v>
      </c>
      <c r="BU91" s="8">
        <f>IF(OR(BU89="",BU87=""),"",BU87+BU89)</f>
        <v>87824.237926951435</v>
      </c>
      <c r="BV91" s="8">
        <f t="shared" ref="BV91:BX91" si="954">IF(OR(BV89="",BV87=""),"",BV87+BV89)</f>
        <v>85942.151989763704</v>
      </c>
      <c r="BW91" s="8">
        <f t="shared" si="954"/>
        <v>-40195.76347154106</v>
      </c>
      <c r="BX91" s="8">
        <f t="shared" si="954"/>
        <v>-139753.36606889288</v>
      </c>
    </row>
    <row r="92" spans="1:76" x14ac:dyDescent="0.25">
      <c r="A92" s="294"/>
      <c r="B92" s="52" t="s">
        <v>76</v>
      </c>
      <c r="C92" s="94"/>
      <c r="D92" s="94"/>
      <c r="E92" s="94"/>
      <c r="F92" s="8"/>
      <c r="G92" s="8"/>
      <c r="H92" s="8"/>
      <c r="I92" s="8"/>
      <c r="J92" s="8"/>
      <c r="K92" s="8"/>
      <c r="L92" s="8"/>
      <c r="M92" s="8"/>
      <c r="N92" s="8"/>
      <c r="O92" s="8"/>
      <c r="P92" s="8"/>
      <c r="Q92" s="8"/>
      <c r="R92" s="8"/>
      <c r="S92" s="8"/>
      <c r="T92" s="8"/>
      <c r="U92" s="8"/>
      <c r="V92" s="8"/>
      <c r="W92" s="8"/>
      <c r="X92" s="8"/>
      <c r="Y92" s="8"/>
      <c r="Z92" s="8"/>
      <c r="AA92" s="8"/>
      <c r="AB92" s="8"/>
      <c r="AC92" s="8">
        <f>AB92+AC91</f>
        <v>234889.10557516181</v>
      </c>
      <c r="AD92" s="8">
        <f>IF(OR(AD91="",AC92=""),"",AC92+AD91)</f>
        <v>232641.38271269866</v>
      </c>
      <c r="AE92" s="8">
        <f t="shared" ref="AE92:AF92" si="955">IF(OR(AE91="",AD92=""),"",AD92+AE91)</f>
        <v>334850.1096476558</v>
      </c>
      <c r="AF92" s="8">
        <f t="shared" si="955"/>
        <v>444529.86379153124</v>
      </c>
      <c r="AG92" s="8">
        <f>IF(OR(AG91="",AF92=""),"",AF92+AG91)</f>
        <v>482026.60435030749</v>
      </c>
      <c r="AH92" s="8">
        <f t="shared" ref="AH92" si="956">IF(OR(AH91="",AG92=""),"",AG92+AH91)</f>
        <v>393024.2841573637</v>
      </c>
      <c r="AI92" s="8">
        <f t="shared" ref="AI92" si="957">IF(OR(AI91="",AH92=""),"",AH92+AI91)</f>
        <v>306247.30772653432</v>
      </c>
      <c r="AJ92" s="8">
        <f>IF(OR(AJ91="",AI92=""),"",AI92+AJ91)</f>
        <v>218114.02442784817</v>
      </c>
      <c r="AK92" s="8">
        <f>IF(OR(AK91="",AJ92=""),"",AJ92+AK91)</f>
        <v>260576.42240965163</v>
      </c>
      <c r="AL92" s="8">
        <f t="shared" ref="AL92" si="958">IF(OR(AL91="",AK92=""),"",AK92+AL91)</f>
        <v>352718.62971794454</v>
      </c>
      <c r="AM92" s="8">
        <f t="shared" ref="AM92" si="959">IF(OR(AM91="",AL92=""),"",AL92+AM91)</f>
        <v>357497.43888989586</v>
      </c>
      <c r="AN92" s="8">
        <f t="shared" ref="AN92" si="960">IF(OR(AN91="",AM92=""),"",AM92+AN91)</f>
        <v>276960.17941505893</v>
      </c>
      <c r="AO92" s="8">
        <f>IF(OR(AO91="",AN92=""),"",AN92+AO91+'MEEIA 2 calcs'!BW103)</f>
        <v>-1124660.0385948638</v>
      </c>
      <c r="AP92" s="8">
        <f>IF(OR(AP91="",AO92=""),"",AO92+AP91)</f>
        <v>-1132487.3516553803</v>
      </c>
      <c r="AQ92" s="8">
        <f t="shared" ref="AQ92" si="961">IF(OR(AQ91="",AP92=""),"",AP92+AQ91)</f>
        <v>-906567.71628084767</v>
      </c>
      <c r="AR92" s="8">
        <f t="shared" ref="AR92" si="962">IF(OR(AR91="",AQ92=""),"",AQ92+AR91)</f>
        <v>-774422.25885020429</v>
      </c>
      <c r="AS92" s="8">
        <f t="shared" ref="AS92" si="963">IF(OR(AS91="",AR92=""),"",AR92+AS91)</f>
        <v>-771225.46929440147</v>
      </c>
      <c r="AT92" s="8">
        <f t="shared" ref="AT92" si="964">IF(OR(AT91="",AS92=""),"",AS92+AT91)</f>
        <v>-950138.76713860442</v>
      </c>
      <c r="AU92" s="8">
        <f>IF(OR(AU91="",AT92=""),"",AT92+AU91)</f>
        <v>-1105058.7980686983</v>
      </c>
      <c r="AV92" s="8">
        <f>IF(OR(AV91="",AU92=""),"",AU92+AV91)</f>
        <v>-1164292.7861636046</v>
      </c>
      <c r="AW92" s="8">
        <f>IF(OR(AW91="",AV92=""),"",AV92+AW91)</f>
        <v>-1050953.6792503996</v>
      </c>
      <c r="AX92" s="8">
        <f t="shared" ref="AX92:AY92" si="965">IF(OR(AX91="",AW92=""),"",AW92+AX91)</f>
        <v>-916798.39138537471</v>
      </c>
      <c r="AY92" s="8">
        <f t="shared" si="965"/>
        <v>-961590.40318586666</v>
      </c>
      <c r="AZ92" s="8">
        <f t="shared" ref="AZ92:BC92" si="966">IF(OR(AZ91="",AY92=""),"",AY92+AZ91)</f>
        <v>-1095325.6265214547</v>
      </c>
      <c r="BA92" s="8">
        <f t="shared" si="966"/>
        <v>-979287.20642480406</v>
      </c>
      <c r="BB92" s="8">
        <f>IF(OR(BB91="",BA92=""),"",BA92+BB91)</f>
        <v>-831741.32191865635</v>
      </c>
      <c r="BC92" s="8">
        <f t="shared" si="966"/>
        <v>-615311.14525560592</v>
      </c>
      <c r="BD92" s="8">
        <f t="shared" ref="BD92:BI92" si="967">IF(OR(BD91="",BC92=""),"",BC92+BD91)</f>
        <v>-342607.14602608973</v>
      </c>
      <c r="BE92" s="8">
        <f t="shared" si="967"/>
        <v>-208601.30792041775</v>
      </c>
      <c r="BF92" s="8">
        <f>IF(OR(BF91="",BE92=""),"",BE92+BF91)</f>
        <v>-221155.05289757866</v>
      </c>
      <c r="BG92" s="8">
        <f t="shared" si="967"/>
        <v>-279977.31542541063</v>
      </c>
      <c r="BH92" s="8">
        <f>IF(OR(BH91="",BG92=""),"",BG92+BH91)</f>
        <v>-297412.31581126008</v>
      </c>
      <c r="BI92" s="8">
        <f t="shared" si="967"/>
        <v>-126137.24867758763</v>
      </c>
      <c r="BJ92" s="8">
        <f t="shared" ref="BJ92:BP92" si="968">IF(OR(BJ91="",BI92=""),"",BI92+BJ91)</f>
        <v>119146.70733630596</v>
      </c>
      <c r="BK92" s="8">
        <f t="shared" si="968"/>
        <v>217686.21185825823</v>
      </c>
      <c r="BL92" s="8">
        <f t="shared" si="968"/>
        <v>149685.09433995798</v>
      </c>
      <c r="BM92" s="8">
        <f t="shared" si="968"/>
        <v>35767.06740293045</v>
      </c>
      <c r="BN92" s="8">
        <f t="shared" si="968"/>
        <v>142978.69686970915</v>
      </c>
      <c r="BO92" s="8">
        <f t="shared" si="968"/>
        <v>283903.15829866123</v>
      </c>
      <c r="BP92" s="8">
        <f t="shared" si="968"/>
        <v>442636.68533104425</v>
      </c>
      <c r="BQ92" s="8">
        <f>IF(OR(BQ91="",BP92=""),"",BP92+BQ91)</f>
        <v>455537.85723418253</v>
      </c>
      <c r="BR92" s="8">
        <f>IF(OR(BR91="",BQ92=""),"",BQ92+BR91)</f>
        <v>289205.86271397991</v>
      </c>
      <c r="BS92" s="8">
        <f>IF(OR(BS91="",BR92=""),"",BR92+BS91)</f>
        <v>193210.61320280231</v>
      </c>
      <c r="BT92" s="8">
        <f>IF(OR(BT91="",BS92=""),"",BS92+BT91)</f>
        <v>128413.29201661932</v>
      </c>
      <c r="BU92" s="8">
        <f>IF(OR(BU91="",BT92=""),"",BT92+BU91)</f>
        <v>216237.52994357076</v>
      </c>
      <c r="BV92" s="8">
        <f t="shared" ref="BV92:BX92" si="969">IF(OR(BV91="",BU92=""),"",BU92+BV91)</f>
        <v>302179.68193333445</v>
      </c>
      <c r="BW92" s="8">
        <f t="shared" si="969"/>
        <v>261983.91846179339</v>
      </c>
      <c r="BX92" s="8">
        <f t="shared" si="969"/>
        <v>122230.55239290051</v>
      </c>
    </row>
    <row r="93" spans="1:76" x14ac:dyDescent="0.25">
      <c r="A93" s="294"/>
      <c r="B93" s="54" t="s">
        <v>77</v>
      </c>
      <c r="C93" s="94"/>
      <c r="D93" s="94"/>
      <c r="E93" s="94"/>
      <c r="F93" s="8"/>
      <c r="G93" s="8"/>
      <c r="H93" s="8"/>
      <c r="I93" s="8"/>
      <c r="J93" s="8"/>
      <c r="K93" s="8"/>
      <c r="L93" s="8"/>
      <c r="M93" s="8"/>
      <c r="N93" s="8"/>
      <c r="O93" s="8">
        <f t="shared" ref="O93:AB93" si="970">IF(O86="","",N93-O86+O89)</f>
        <v>0</v>
      </c>
      <c r="P93" s="8">
        <f t="shared" si="970"/>
        <v>0</v>
      </c>
      <c r="Q93" s="8">
        <f t="shared" si="970"/>
        <v>0</v>
      </c>
      <c r="R93" s="8">
        <f t="shared" si="970"/>
        <v>0</v>
      </c>
      <c r="S93" s="8">
        <f t="shared" si="970"/>
        <v>0</v>
      </c>
      <c r="T93" s="8">
        <f t="shared" si="970"/>
        <v>0</v>
      </c>
      <c r="U93" s="8">
        <f t="shared" si="970"/>
        <v>0</v>
      </c>
      <c r="V93" s="8">
        <f t="shared" si="970"/>
        <v>0</v>
      </c>
      <c r="W93" s="8">
        <f>IF(W86="","",V93-W86+W89+W84)</f>
        <v>6239381</v>
      </c>
      <c r="X93" s="8">
        <f t="shared" si="970"/>
        <v>6239381</v>
      </c>
      <c r="Y93" s="8">
        <f t="shared" si="970"/>
        <v>6239381</v>
      </c>
      <c r="Z93" s="8">
        <f t="shared" si="970"/>
        <v>6239381</v>
      </c>
      <c r="AA93" s="8">
        <f t="shared" si="970"/>
        <v>6239381</v>
      </c>
      <c r="AB93" s="8">
        <f t="shared" si="970"/>
        <v>6239381</v>
      </c>
      <c r="AC93" s="8">
        <f>AB93-AC86+AC89</f>
        <v>5954321.7155751614</v>
      </c>
      <c r="AD93" s="8">
        <f>IF(AD86="","",AC93-AD86+AD89)</f>
        <v>5432125.6027126983</v>
      </c>
      <c r="AE93" s="8">
        <f t="shared" ref="AE93:AF93" si="971">IF(AE86="","",AD93-AE86+AE89)</f>
        <v>5014385.9396476559</v>
      </c>
      <c r="AF93" s="8">
        <f t="shared" si="971"/>
        <v>4604117.3037915314</v>
      </c>
      <c r="AG93" s="8">
        <f t="shared" ref="AG93" si="972">IF(AG86="","",AF93-AG86+AG89)</f>
        <v>4121665.6543503078</v>
      </c>
      <c r="AH93" s="8">
        <f t="shared" ref="AH93" si="973">IF(AH86="","",AG93-AH86+AH89)</f>
        <v>3512714.9441573638</v>
      </c>
      <c r="AI93" s="8">
        <f t="shared" ref="AI93" si="974">IF(AI86="","",AH93-AI86+AI89)</f>
        <v>2905989.5777265341</v>
      </c>
      <c r="AJ93" s="8">
        <f>IF(AJ86="","",AI93-AJ86+AJ89+AJ84)</f>
        <v>11779616.504131306</v>
      </c>
      <c r="AK93" s="8">
        <f>IF(AK86="","",AJ93-AK86+AK89)</f>
        <v>11302130.512113109</v>
      </c>
      <c r="AL93" s="8">
        <f>IF(AL86="","",AK93-AL86+AL89)</f>
        <v>10874324.329421401</v>
      </c>
      <c r="AM93" s="8">
        <f t="shared" ref="AM93" si="975">IF(AM86="","",AL93-AM86+AM89)</f>
        <v>10359154.748593353</v>
      </c>
      <c r="AN93" s="8">
        <f t="shared" ref="AN93" si="976">IF(AN86="","",AM93-AN86+AN89)</f>
        <v>9758669.0991185158</v>
      </c>
      <c r="AO93" s="8">
        <f>IF(AO86="","",AN93-AO86+AO89+AO84)</f>
        <v>7548729.9402613286</v>
      </c>
      <c r="AP93" s="8">
        <f t="shared" ref="AP93" si="977">IF(AP86="","",AO93-AP86+AP89)</f>
        <v>6752412.7105341451</v>
      </c>
      <c r="AQ93" s="8">
        <f t="shared" ref="AQ93" si="978">IF(AQ86="","",AP93-AQ86+AQ89)</f>
        <v>6189842.4292420112</v>
      </c>
      <c r="AR93" s="8">
        <f t="shared" ref="AR93" si="979">IF(AR86="","",AQ93-AR86+AR89)</f>
        <v>5533497.9700059881</v>
      </c>
      <c r="AS93" s="8">
        <f t="shared" ref="AS93" si="980">IF(AS86="","",AR93-AS86+AS89)</f>
        <v>4748204.8428951241</v>
      </c>
      <c r="AT93" s="8">
        <f t="shared" ref="AT93" si="981">IF(AT86="","",AS93-AT86+AT89)</f>
        <v>3780801.6283842549</v>
      </c>
      <c r="AU93" s="8">
        <f>IF(AU86="","",AT93-AU86+AU89+AU84)</f>
        <v>14585078.110787494</v>
      </c>
      <c r="AV93" s="8">
        <f>IF(AV86="","",AU93-AV86+AV89)</f>
        <v>13737354.206025923</v>
      </c>
      <c r="AW93" s="8">
        <f>IF(AW86="","",AV93-AW86+AW89+AW84)</f>
        <v>13062006.076272462</v>
      </c>
      <c r="AX93" s="8">
        <f t="shared" ref="AX93" si="982">IF(AX86="","",AW93-AX86+AX89)</f>
        <v>12407671.44747082</v>
      </c>
      <c r="AY93" s="8">
        <f>IF(AY86="","",AX93-AY86+AY89+AY84)</f>
        <v>22308699.419003662</v>
      </c>
      <c r="AZ93" s="8">
        <f>IF(AZ86="","",AY93-AZ86+AZ89)</f>
        <v>21386474.279001407</v>
      </c>
      <c r="BA93" s="8">
        <f>IF(BA86="","",AZ93-BA86+BA89)</f>
        <v>20523555.28243139</v>
      </c>
      <c r="BB93" s="8">
        <f>IF(BB86="","",BA93-BB86+BB89+BB84)</f>
        <v>20046750.600270871</v>
      </c>
      <c r="BC93" s="8">
        <f>IF(BC86="","",BB93-BC86+BC89)</f>
        <v>19284223.360267255</v>
      </c>
      <c r="BD93" s="8">
        <f>IF(BD86="","",BC93-BD86+BD89)</f>
        <v>18577969.942830108</v>
      </c>
      <c r="BE93" s="8">
        <f>IF(BE86="","",BD93-BE86+BE89+BE84)</f>
        <v>17762557.604269113</v>
      </c>
      <c r="BF93" s="8">
        <f>IF(BF86="","",BE93-BF86+BF89+BF84)</f>
        <v>15773819.932625284</v>
      </c>
      <c r="BG93" s="8">
        <f>IF(BG86="","",BF93-BG86+BG89)</f>
        <v>14736040.253430786</v>
      </c>
      <c r="BH93" s="8">
        <f>IF(BH86="","",BG93-BH86+BH89+BH84)</f>
        <v>13600629.066378271</v>
      </c>
      <c r="BI93" s="8">
        <f>IF(BI86="","",BH93-BI86+BI89)</f>
        <v>12792946.716845276</v>
      </c>
      <c r="BJ93" s="8">
        <f>IF(BJ86="","",BI93-BJ86+BJ89)</f>
        <v>12059273.256192503</v>
      </c>
      <c r="BK93" s="8">
        <f>IF(BK86="","",BJ93-BK86+BK89+BK84)</f>
        <v>23120020.404047787</v>
      </c>
      <c r="BL93" s="8">
        <f>IF(BL86="","",BK93-BL86+BL89)</f>
        <v>22073061.869862817</v>
      </c>
      <c r="BM93" s="8">
        <f>IF(BM86="","",BL93-BM86+BM89)</f>
        <v>21127292.926259123</v>
      </c>
      <c r="BN93" s="8">
        <f>IF(BN86="","",BM93-BN86+BN89+BN84)</f>
        <v>20281369.829059236</v>
      </c>
      <c r="BO93" s="8">
        <f>IF(BO86="","",BN93-BO86+BO89)</f>
        <v>19590443.373821519</v>
      </c>
      <c r="BP93" s="8">
        <f>IF(BP86="","",BO93-BP86+BP89)</f>
        <v>18917325.984187234</v>
      </c>
      <c r="BQ93" s="8">
        <f>IF(BQ86="","",BP93-BQ86+BQ89+BQ84)</f>
        <v>17693634.319423702</v>
      </c>
      <c r="BR93" s="8">
        <f>IF(BR86="","",BQ93-BR86+BR89)</f>
        <v>16695451.408236831</v>
      </c>
      <c r="BS93" s="8">
        <f>IF(BS86="","",BR93-BS86+BS89)</f>
        <v>15767605.242058987</v>
      </c>
      <c r="BT93" s="8">
        <f>IF(BT86="","",BS93-BT86+BT89+BT84)</f>
        <v>14758292.284206135</v>
      </c>
      <c r="BU93" s="8">
        <f>IF(BU86="","",BT93-BU86+BU89)</f>
        <v>14014265.60546642</v>
      </c>
      <c r="BV93" s="8">
        <f t="shared" ref="BV93:BX93" si="983">IF(BV86="","",BU93-BV86+BV89)</f>
        <v>13268356.840789517</v>
      </c>
      <c r="BW93" s="8">
        <f t="shared" si="983"/>
        <v>12396310.160651309</v>
      </c>
      <c r="BX93" s="8">
        <f t="shared" si="983"/>
        <v>11424705.877915751</v>
      </c>
    </row>
    <row r="94" spans="1:76" s="4" customFormat="1" ht="8.25" customHeight="1" x14ac:dyDescent="0.25">
      <c r="A94" s="40"/>
      <c r="B94" s="11"/>
      <c r="C94" s="99"/>
      <c r="D94" s="99"/>
      <c r="E94" s="99"/>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row>
    <row r="95" spans="1:76" x14ac:dyDescent="0.25">
      <c r="A95"/>
      <c r="K95" s="39"/>
      <c r="AN95" s="39"/>
      <c r="AQ95" s="39"/>
    </row>
    <row r="96" spans="1:76" x14ac:dyDescent="0.25">
      <c r="A96"/>
      <c r="K96" s="39"/>
      <c r="AF96" s="39"/>
      <c r="AN96" s="39"/>
    </row>
    <row r="97" spans="1:65" x14ac:dyDescent="0.25">
      <c r="A97"/>
      <c r="K97" s="39"/>
      <c r="AB97" s="39"/>
      <c r="AH97" s="39"/>
      <c r="AV97" s="56"/>
    </row>
    <row r="98" spans="1:65" x14ac:dyDescent="0.25">
      <c r="A98"/>
      <c r="K98" s="39"/>
      <c r="AV98" s="39"/>
    </row>
    <row r="99" spans="1:65" x14ac:dyDescent="0.25">
      <c r="A99"/>
      <c r="K99" s="39"/>
      <c r="AV99" s="56"/>
      <c r="BM99" s="45"/>
    </row>
    <row r="100" spans="1:65" x14ac:dyDescent="0.25">
      <c r="A100"/>
      <c r="K100" s="39"/>
      <c r="BM100" s="56"/>
    </row>
    <row r="101" spans="1:65" x14ac:dyDescent="0.25">
      <c r="A101"/>
      <c r="K101" s="39"/>
    </row>
    <row r="102" spans="1:65" x14ac:dyDescent="0.25">
      <c r="A102"/>
      <c r="K102" s="39"/>
    </row>
    <row r="103" spans="1:65" x14ac:dyDescent="0.25">
      <c r="A103"/>
      <c r="K103" s="39"/>
    </row>
    <row r="104" spans="1:65" x14ac:dyDescent="0.25">
      <c r="A104"/>
      <c r="K104" s="39"/>
    </row>
    <row r="105" spans="1:65" x14ac:dyDescent="0.25">
      <c r="A105"/>
      <c r="K105" s="39"/>
    </row>
    <row r="106" spans="1:65" x14ac:dyDescent="0.25">
      <c r="A106"/>
      <c r="K106" s="39"/>
    </row>
    <row r="107" spans="1:65" x14ac:dyDescent="0.25">
      <c r="A107"/>
      <c r="K107" s="39"/>
    </row>
    <row r="108" spans="1:65" x14ac:dyDescent="0.25">
      <c r="A108"/>
      <c r="K108" s="39"/>
    </row>
    <row r="109" spans="1:65" x14ac:dyDescent="0.25">
      <c r="A109"/>
      <c r="K109" s="39"/>
    </row>
    <row r="110" spans="1:65" x14ac:dyDescent="0.25">
      <c r="A110"/>
      <c r="K110" s="39"/>
    </row>
    <row r="111" spans="1:65" x14ac:dyDescent="0.25">
      <c r="A111"/>
      <c r="K111" s="39"/>
    </row>
    <row r="112" spans="1:65" x14ac:dyDescent="0.25">
      <c r="A112"/>
      <c r="K112" s="39"/>
    </row>
    <row r="113" spans="1:11" x14ac:dyDescent="0.25">
      <c r="A113"/>
      <c r="K113" s="39"/>
    </row>
    <row r="114" spans="1:11" x14ac:dyDescent="0.25">
      <c r="A114"/>
      <c r="K114" s="39"/>
    </row>
    <row r="115" spans="1:11" x14ac:dyDescent="0.25">
      <c r="A115"/>
      <c r="K115" s="39"/>
    </row>
    <row r="116" spans="1:11" x14ac:dyDescent="0.25">
      <c r="A116"/>
      <c r="K116" s="39"/>
    </row>
    <row r="117" spans="1:11" x14ac:dyDescent="0.25">
      <c r="A117"/>
      <c r="K117" s="39"/>
    </row>
    <row r="118" spans="1:11" x14ac:dyDescent="0.25">
      <c r="A118"/>
      <c r="K118" s="39"/>
    </row>
    <row r="119" spans="1:11" x14ac:dyDescent="0.25">
      <c r="A119"/>
      <c r="K119" s="39"/>
    </row>
    <row r="120" spans="1:11" x14ac:dyDescent="0.25">
      <c r="A120"/>
      <c r="K120" s="39"/>
    </row>
    <row r="121" spans="1:11" x14ac:dyDescent="0.25">
      <c r="A121"/>
      <c r="K121" s="39"/>
    </row>
    <row r="122" spans="1:11" x14ac:dyDescent="0.25">
      <c r="A122"/>
      <c r="K122" s="39"/>
    </row>
    <row r="123" spans="1:11" x14ac:dyDescent="0.25">
      <c r="A123"/>
      <c r="K123" s="39"/>
    </row>
    <row r="124" spans="1:11" x14ac:dyDescent="0.25">
      <c r="A124"/>
      <c r="K124" s="39"/>
    </row>
    <row r="125" spans="1:11" x14ac:dyDescent="0.25">
      <c r="A125"/>
      <c r="K125" s="39"/>
    </row>
    <row r="126" spans="1:11" x14ac:dyDescent="0.25">
      <c r="A126"/>
    </row>
    <row r="127" spans="1:11" x14ac:dyDescent="0.25">
      <c r="A127"/>
    </row>
    <row r="128" spans="1: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row r="175" spans="1:1" x14ac:dyDescent="0.25"/>
    <row r="176" spans="1:1" x14ac:dyDescent="0.25"/>
    <row r="177" x14ac:dyDescent="0.25"/>
    <row r="178" x14ac:dyDescent="0.25"/>
    <row r="179" x14ac:dyDescent="0.25"/>
    <row r="180" x14ac:dyDescent="0.25"/>
    <row r="181" x14ac:dyDescent="0.25"/>
    <row r="182" x14ac:dyDescent="0.25"/>
    <row r="183" x14ac:dyDescent="0.25"/>
  </sheetData>
  <mergeCells count="9">
    <mergeCell ref="A66:A74"/>
    <mergeCell ref="A76:A82"/>
    <mergeCell ref="A85:A93"/>
    <mergeCell ref="A5:A13"/>
    <mergeCell ref="A15:A24"/>
    <mergeCell ref="A26:A34"/>
    <mergeCell ref="A36:A44"/>
    <mergeCell ref="A46:A54"/>
    <mergeCell ref="A56:A64"/>
  </mergeCells>
  <printOptions headings="1"/>
  <pageMargins left="0.2" right="0.2" top="0.5" bottom="0.5" header="0.3" footer="0.3"/>
  <pageSetup scale="46" orientation="landscape" cellComments="asDisplayed" r:id="rId1"/>
  <headerFooter>
    <oddHeader>&amp;C&amp;A</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B2:AS25"/>
  <sheetViews>
    <sheetView workbookViewId="0">
      <selection activeCell="C23" sqref="C23"/>
    </sheetView>
  </sheetViews>
  <sheetFormatPr defaultRowHeight="15" x14ac:dyDescent="0.25"/>
  <cols>
    <col min="2" max="2" width="31.28515625" bestFit="1" customWidth="1"/>
    <col min="3" max="7" width="12.28515625" bestFit="1" customWidth="1"/>
    <col min="8" max="12" width="12.5703125" bestFit="1" customWidth="1"/>
    <col min="13" max="13" width="13.42578125" bestFit="1" customWidth="1"/>
    <col min="14" max="17" width="12.5703125" bestFit="1" customWidth="1"/>
    <col min="18" max="30" width="13.42578125" bestFit="1" customWidth="1"/>
    <col min="31" max="40" width="12.5703125" bestFit="1" customWidth="1"/>
    <col min="41" max="45" width="13.42578125" bestFit="1" customWidth="1"/>
  </cols>
  <sheetData>
    <row r="2" spans="2:45" x14ac:dyDescent="0.25">
      <c r="C2" s="121">
        <v>44287</v>
      </c>
      <c r="D2" s="121">
        <v>44317</v>
      </c>
      <c r="E2" s="121">
        <v>44348</v>
      </c>
      <c r="F2" s="121">
        <v>44378</v>
      </c>
      <c r="G2" s="121">
        <v>44409</v>
      </c>
      <c r="H2" s="121">
        <v>44440</v>
      </c>
      <c r="I2" s="121">
        <v>44470</v>
      </c>
      <c r="J2" s="121">
        <v>44501</v>
      </c>
      <c r="K2" s="121">
        <v>44531</v>
      </c>
      <c r="L2" s="121">
        <v>44562</v>
      </c>
      <c r="M2" s="121">
        <v>44593</v>
      </c>
      <c r="N2" s="121">
        <v>44621</v>
      </c>
      <c r="O2" s="121">
        <v>44652</v>
      </c>
      <c r="P2" s="121">
        <v>44682</v>
      </c>
      <c r="Q2" s="121">
        <v>44713</v>
      </c>
      <c r="R2" s="121">
        <v>44743</v>
      </c>
      <c r="S2" s="121">
        <v>44774</v>
      </c>
      <c r="T2" s="121">
        <v>44805</v>
      </c>
      <c r="U2" s="121">
        <v>44835</v>
      </c>
      <c r="V2" s="121">
        <v>44866</v>
      </c>
      <c r="W2" s="121">
        <v>44896</v>
      </c>
      <c r="X2" s="121">
        <v>44927</v>
      </c>
      <c r="Y2" s="121">
        <v>44958</v>
      </c>
      <c r="Z2" s="121">
        <v>44986</v>
      </c>
      <c r="AA2" s="121">
        <v>45017</v>
      </c>
      <c r="AB2" s="121">
        <v>45047</v>
      </c>
      <c r="AC2" s="121">
        <v>45078</v>
      </c>
      <c r="AD2" s="121">
        <v>45108</v>
      </c>
      <c r="AE2" s="121">
        <v>45139</v>
      </c>
      <c r="AF2" s="121">
        <v>45170</v>
      </c>
      <c r="AG2" s="121">
        <v>45200</v>
      </c>
      <c r="AH2" s="121">
        <v>45231</v>
      </c>
      <c r="AI2" s="121">
        <v>45261</v>
      </c>
      <c r="AJ2" s="121">
        <v>45292</v>
      </c>
      <c r="AK2" s="121">
        <v>45323</v>
      </c>
      <c r="AL2" s="121">
        <v>45352</v>
      </c>
      <c r="AM2" s="121">
        <v>45383</v>
      </c>
      <c r="AN2" s="121">
        <v>45413</v>
      </c>
      <c r="AO2" s="121">
        <v>45444</v>
      </c>
      <c r="AP2" s="121">
        <v>45474</v>
      </c>
      <c r="AQ2" s="121">
        <v>45505</v>
      </c>
      <c r="AR2" s="121">
        <v>45536</v>
      </c>
      <c r="AS2" s="121">
        <v>45566</v>
      </c>
    </row>
    <row r="3" spans="2:45" x14ac:dyDescent="0.25">
      <c r="B3" s="58" t="s">
        <v>97</v>
      </c>
      <c r="C3" s="56">
        <v>0</v>
      </c>
      <c r="D3" s="56">
        <v>21888.48</v>
      </c>
      <c r="E3" s="176">
        <v>52914.49</v>
      </c>
      <c r="F3" s="176">
        <v>54673.489087036651</v>
      </c>
      <c r="G3" s="176">
        <v>68952.514240276621</v>
      </c>
      <c r="H3" s="176">
        <v>118293.25199272294</v>
      </c>
      <c r="I3" s="176">
        <v>184805.58830074637</v>
      </c>
      <c r="J3" s="176">
        <v>265351.54824569618</v>
      </c>
      <c r="K3" s="176">
        <f>J9</f>
        <v>316091.86399821442</v>
      </c>
      <c r="L3" s="176">
        <v>331360.76100246538</v>
      </c>
      <c r="M3" s="176">
        <v>369651.67606963508</v>
      </c>
      <c r="N3" s="176">
        <v>183080.60828332443</v>
      </c>
      <c r="O3" s="176">
        <v>215629.36730509758</v>
      </c>
      <c r="P3" s="176">
        <v>320738.29754685785</v>
      </c>
      <c r="Q3" s="176">
        <v>381941.07483278483</v>
      </c>
      <c r="R3" s="176">
        <v>412191.66100534156</v>
      </c>
      <c r="S3" s="176">
        <v>450145.55133221322</v>
      </c>
      <c r="T3" s="176">
        <v>480685.71891578968</v>
      </c>
      <c r="U3" s="176">
        <v>541508.8266178302</v>
      </c>
      <c r="V3" s="176">
        <v>561909.83741499344</v>
      </c>
      <c r="W3" s="176">
        <v>615385.84651561279</v>
      </c>
      <c r="X3" s="176">
        <v>685363.89284558839</v>
      </c>
      <c r="Y3" s="176">
        <v>726160.08575171628</v>
      </c>
      <c r="Z3" s="176">
        <v>770735.85158225882</v>
      </c>
      <c r="AA3" s="176">
        <v>780659.54894832708</v>
      </c>
      <c r="AB3" s="176">
        <v>800698.45677987696</v>
      </c>
      <c r="AC3" s="176">
        <v>814182.7547070767</v>
      </c>
      <c r="AD3" s="176">
        <v>827306.14447455411</v>
      </c>
      <c r="AE3" s="176">
        <v>194342.81553892637</v>
      </c>
      <c r="AF3" s="176">
        <v>252530.28392805366</v>
      </c>
      <c r="AG3" s="176">
        <v>288511.0463102365</v>
      </c>
      <c r="AH3" s="176">
        <v>347181.6005922209</v>
      </c>
      <c r="AI3" s="176">
        <v>362447.20951706241</v>
      </c>
      <c r="AJ3" s="176">
        <v>380797.66670579283</v>
      </c>
      <c r="AK3" s="176">
        <v>392043.39740146772</v>
      </c>
      <c r="AL3" s="176">
        <v>388490.20820130926</v>
      </c>
      <c r="AM3" s="176">
        <v>384832.80295948411</v>
      </c>
      <c r="AN3" s="176">
        <v>381077.23934960342</v>
      </c>
      <c r="AO3" s="176">
        <v>377429.34445500054</v>
      </c>
      <c r="AP3" s="176">
        <v>425715.26344928652</v>
      </c>
      <c r="AQ3" s="176">
        <v>421689.77085567865</v>
      </c>
      <c r="AR3" s="176">
        <v>505144.1951671227</v>
      </c>
      <c r="AS3" s="176">
        <v>531667.97468237102</v>
      </c>
    </row>
    <row r="4" spans="2:45" x14ac:dyDescent="0.25">
      <c r="B4" s="58" t="s">
        <v>98</v>
      </c>
      <c r="C4" s="171">
        <v>21888.48</v>
      </c>
      <c r="D4" s="171">
        <v>31026.01</v>
      </c>
      <c r="E4" s="56">
        <v>1912.94</v>
      </c>
      <c r="F4" s="56">
        <v>14641.79</v>
      </c>
      <c r="G4" s="56">
        <v>49815.66</v>
      </c>
      <c r="H4" s="56">
        <v>67154.759999999995</v>
      </c>
      <c r="I4" s="56">
        <v>81496.11</v>
      </c>
      <c r="J4" s="56">
        <v>52212.07</v>
      </c>
      <c r="K4" s="56">
        <v>17269.25</v>
      </c>
      <c r="L4" s="56">
        <v>40557.550000000003</v>
      </c>
      <c r="M4" s="56">
        <v>0</v>
      </c>
      <c r="N4" s="56">
        <v>42895.09</v>
      </c>
      <c r="O4" s="56">
        <v>107235.82</v>
      </c>
      <c r="P4" s="56">
        <v>63735.03</v>
      </c>
      <c r="Q4" s="56">
        <v>33437.46</v>
      </c>
      <c r="R4" s="56">
        <v>41575.129999999997</v>
      </c>
      <c r="S4" s="56">
        <v>34435.99</v>
      </c>
      <c r="T4" s="56">
        <v>64925.1</v>
      </c>
      <c r="U4" s="56">
        <v>24755.54</v>
      </c>
      <c r="V4" s="56">
        <v>58210.5</v>
      </c>
      <c r="W4" s="56">
        <v>75347.460000000006</v>
      </c>
      <c r="X4" s="56">
        <v>46190.57</v>
      </c>
      <c r="Y4" s="56">
        <v>50361.200000000004</v>
      </c>
      <c r="Z4" s="56">
        <v>16097.5</v>
      </c>
      <c r="AA4" s="56">
        <v>23110.13</v>
      </c>
      <c r="AB4" s="56">
        <v>19987.060000000001</v>
      </c>
      <c r="AC4" s="56">
        <v>19388.829999999998</v>
      </c>
      <c r="AD4" s="56">
        <v>54028.06</v>
      </c>
      <c r="AE4" s="56">
        <v>60059.490000000005</v>
      </c>
      <c r="AF4" s="56">
        <v>38128.49</v>
      </c>
      <c r="AG4" s="56">
        <v>61279.490000000005</v>
      </c>
      <c r="AH4" s="56">
        <v>18097.68</v>
      </c>
      <c r="AI4" s="56">
        <v>21511.949999999997</v>
      </c>
      <c r="AJ4" s="56">
        <v>14538.25</v>
      </c>
      <c r="AK4" s="56">
        <v>0</v>
      </c>
      <c r="AL4" s="56">
        <v>0</v>
      </c>
      <c r="AM4" s="56">
        <v>0</v>
      </c>
      <c r="AN4" s="56">
        <v>0</v>
      </c>
      <c r="AO4" s="56">
        <v>52131.86</v>
      </c>
      <c r="AP4" s="56">
        <v>0</v>
      </c>
      <c r="AQ4" s="56">
        <v>87617.85</v>
      </c>
      <c r="AR4" s="56">
        <v>30929.15</v>
      </c>
      <c r="AS4" s="56">
        <v>49192.97</v>
      </c>
    </row>
    <row r="5" spans="2:45" x14ac:dyDescent="0.25">
      <c r="B5" s="58" t="s">
        <v>126</v>
      </c>
      <c r="C5" s="171"/>
      <c r="D5" s="171"/>
      <c r="E5" s="56"/>
      <c r="F5" s="56"/>
      <c r="G5" s="56"/>
      <c r="H5" s="56"/>
      <c r="I5" s="56"/>
      <c r="J5" s="56"/>
      <c r="K5" s="56"/>
      <c r="L5" s="56"/>
      <c r="M5" s="56">
        <v>-184805.58830074637</v>
      </c>
      <c r="N5" s="56"/>
      <c r="O5" s="56"/>
      <c r="P5" s="56"/>
      <c r="Q5" s="56"/>
      <c r="R5" s="56"/>
      <c r="S5" s="56"/>
      <c r="T5" s="56"/>
      <c r="U5" s="56"/>
      <c r="V5" s="56"/>
      <c r="W5" s="56"/>
      <c r="X5" s="56"/>
      <c r="Y5" s="56"/>
      <c r="Z5" s="56"/>
      <c r="AA5" s="56"/>
      <c r="AB5" s="56"/>
      <c r="AC5" s="56"/>
      <c r="AD5" s="56">
        <v>-685363.89284558839</v>
      </c>
      <c r="AE5" s="56">
        <v>0</v>
      </c>
      <c r="AF5" s="56">
        <v>0</v>
      </c>
      <c r="AG5" s="56">
        <v>0</v>
      </c>
      <c r="AH5" s="56">
        <v>0</v>
      </c>
      <c r="AI5" s="56">
        <v>0</v>
      </c>
      <c r="AJ5" s="56">
        <v>0</v>
      </c>
      <c r="AK5" s="56">
        <v>0</v>
      </c>
      <c r="AL5" s="56">
        <v>0</v>
      </c>
      <c r="AM5" s="56">
        <v>0</v>
      </c>
      <c r="AN5" s="56">
        <v>0</v>
      </c>
      <c r="AO5" s="56">
        <v>0</v>
      </c>
      <c r="AP5" s="56">
        <v>0</v>
      </c>
      <c r="AQ5" s="56">
        <v>0</v>
      </c>
      <c r="AR5" s="56">
        <v>0</v>
      </c>
      <c r="AS5" s="56">
        <v>0</v>
      </c>
    </row>
    <row r="6" spans="2:45" x14ac:dyDescent="0.25">
      <c r="B6" s="58" t="s">
        <v>127</v>
      </c>
      <c r="C6" s="171"/>
      <c r="D6" s="171"/>
      <c r="E6" s="56"/>
      <c r="F6" s="56"/>
      <c r="G6" s="56"/>
      <c r="H6" s="56"/>
      <c r="I6" s="56"/>
      <c r="J6" s="56"/>
      <c r="K6" s="56"/>
      <c r="L6" s="56"/>
      <c r="M6" s="56"/>
      <c r="N6" s="56">
        <v>-8404.8578125000004</v>
      </c>
      <c r="O6" s="56">
        <v>0</v>
      </c>
      <c r="P6" s="56">
        <v>0</v>
      </c>
      <c r="Q6" s="56">
        <v>0</v>
      </c>
      <c r="R6" s="56">
        <v>0</v>
      </c>
      <c r="S6" s="56">
        <v>0</v>
      </c>
      <c r="T6" s="56">
        <v>0</v>
      </c>
      <c r="U6" s="56">
        <v>0</v>
      </c>
      <c r="V6" s="56">
        <v>0</v>
      </c>
      <c r="W6" s="56">
        <v>-692.5532558282822</v>
      </c>
      <c r="X6" s="56">
        <v>0</v>
      </c>
      <c r="Y6" s="56">
        <v>0</v>
      </c>
      <c r="Z6" s="56">
        <v>0</v>
      </c>
      <c r="AA6" s="56">
        <v>0</v>
      </c>
      <c r="AB6" s="56">
        <v>0</v>
      </c>
      <c r="AC6" s="56">
        <v>0</v>
      </c>
      <c r="AD6" s="56">
        <v>0</v>
      </c>
      <c r="AE6" s="56">
        <v>0</v>
      </c>
      <c r="AF6" s="56">
        <v>0</v>
      </c>
      <c r="AG6" s="56">
        <v>0</v>
      </c>
      <c r="AH6" s="56">
        <v>0</v>
      </c>
      <c r="AI6" s="56">
        <v>0</v>
      </c>
      <c r="AJ6" s="56">
        <v>0</v>
      </c>
      <c r="AK6" s="56">
        <v>0</v>
      </c>
      <c r="AL6" s="56">
        <v>0</v>
      </c>
      <c r="AM6" s="56">
        <v>-142.30083333333334</v>
      </c>
      <c r="AN6" s="56">
        <v>0</v>
      </c>
      <c r="AO6" s="56">
        <v>0</v>
      </c>
      <c r="AP6" s="56">
        <v>0</v>
      </c>
      <c r="AQ6" s="56">
        <v>0</v>
      </c>
      <c r="AR6" s="56">
        <v>0</v>
      </c>
      <c r="AS6" s="56">
        <v>0</v>
      </c>
    </row>
    <row r="7" spans="2:45" x14ac:dyDescent="0.25">
      <c r="B7" s="58" t="s">
        <v>128</v>
      </c>
      <c r="C7" s="171"/>
      <c r="D7" s="171"/>
      <c r="E7" s="56"/>
      <c r="F7" s="56"/>
      <c r="G7" s="56"/>
      <c r="H7" s="56"/>
      <c r="I7" s="56"/>
      <c r="J7" s="56"/>
      <c r="K7" s="56"/>
      <c r="L7" s="56"/>
      <c r="M7" s="56"/>
      <c r="N7" s="56"/>
      <c r="O7" s="56"/>
      <c r="P7" s="56"/>
      <c r="Q7" s="56"/>
      <c r="R7" s="56"/>
      <c r="S7" s="56"/>
      <c r="T7" s="56"/>
      <c r="U7" s="56"/>
      <c r="V7" s="56"/>
      <c r="W7" s="56">
        <v>387.15675951366387</v>
      </c>
      <c r="X7" s="56">
        <v>0</v>
      </c>
      <c r="Y7" s="56">
        <v>0</v>
      </c>
      <c r="Z7" s="56">
        <v>0</v>
      </c>
      <c r="AA7" s="56">
        <v>2979.1408147609818</v>
      </c>
      <c r="AB7" s="56">
        <v>0</v>
      </c>
      <c r="AC7" s="56">
        <v>428.90625</v>
      </c>
      <c r="AD7" s="56">
        <v>0</v>
      </c>
      <c r="AE7" s="56">
        <v>0</v>
      </c>
      <c r="AF7" s="56">
        <v>0</v>
      </c>
      <c r="AG7" s="56">
        <v>0</v>
      </c>
      <c r="AH7" s="56">
        <v>0</v>
      </c>
      <c r="AI7" s="56">
        <v>0</v>
      </c>
      <c r="AJ7" s="56">
        <v>0</v>
      </c>
      <c r="AK7" s="56">
        <v>0</v>
      </c>
      <c r="AL7" s="56">
        <v>0</v>
      </c>
      <c r="AM7" s="56">
        <v>0</v>
      </c>
      <c r="AN7" s="56">
        <v>0</v>
      </c>
      <c r="AO7" s="56">
        <v>0</v>
      </c>
      <c r="AP7" s="56">
        <v>0</v>
      </c>
      <c r="AQ7" s="56">
        <v>0</v>
      </c>
      <c r="AR7" s="56">
        <v>0</v>
      </c>
      <c r="AS7" s="56">
        <v>0</v>
      </c>
    </row>
    <row r="8" spans="2:45" x14ac:dyDescent="0.25">
      <c r="B8" s="58" t="s">
        <v>99</v>
      </c>
      <c r="C8" s="170">
        <v>0</v>
      </c>
      <c r="D8" s="170">
        <v>0</v>
      </c>
      <c r="E8" s="170">
        <v>153.94091296334616</v>
      </c>
      <c r="F8" s="170">
        <v>362.76484676002565</v>
      </c>
      <c r="G8" s="170">
        <v>474.92224755367641</v>
      </c>
      <c r="H8" s="170">
        <v>642.42369197655432</v>
      </c>
      <c r="I8" s="170">
        <v>950.150055050226</v>
      </c>
      <c r="J8" s="170">
        <v>1471.7542474817876</v>
      </c>
      <c r="K8" s="170">
        <v>2000.3529957490173</v>
      </c>
      <c r="L8" s="170">
        <v>2266.6349328303177</v>
      </c>
      <c r="M8" s="170">
        <v>1765.4794855642854</v>
      </c>
      <c r="N8" s="170">
        <v>1941.4731657268321</v>
      </c>
      <c r="O8" s="170">
        <v>2126.8897582397071</v>
      </c>
      <c r="P8" s="170">
        <v>2532.2527140730399</v>
      </c>
      <c r="Q8" s="170">
        <v>3186.8738274432799</v>
      </c>
      <c r="R8" s="170">
        <v>3621.2396731283361</v>
      </c>
      <c r="S8" s="170">
        <v>3895.822416423543</v>
      </c>
      <c r="T8" s="170">
        <v>4101.9922979594894</v>
      </c>
      <c r="U8" s="170">
        <v>4354.5292028367503</v>
      </c>
      <c r="V8" s="170">
        <v>4734.4908993806794</v>
      </c>
      <c r="W8" s="170">
        <v>5064.0171737097062</v>
      </c>
      <c r="X8" s="170">
        <v>5394.3770938720654</v>
      </c>
      <c r="Y8" s="170">
        <v>5785.4341694574669</v>
      </c>
      <c r="Z8" s="170">
        <v>6173.8026339317557</v>
      </c>
      <c r="AA8" s="170">
        <v>6050.3629832110209</v>
      </c>
      <c r="AB8" s="170">
        <v>6502.762072800364</v>
      </c>
      <c r="AC8" s="170">
        <v>6694.3464825225892</v>
      </c>
      <c r="AD8" s="170">
        <v>1627.4960900394124</v>
      </c>
      <c r="AE8" s="170">
        <v>1872.0216108727457</v>
      </c>
      <c r="AF8" s="170">
        <v>2147.7276178171905</v>
      </c>
      <c r="AG8" s="170">
        <v>2608.9357180156035</v>
      </c>
      <c r="AH8" s="170">
        <v>2832.0710751584597</v>
      </c>
      <c r="AI8" s="170">
        <v>3161.4928112695702</v>
      </c>
      <c r="AJ8" s="170">
        <v>3292.5193043251256</v>
      </c>
      <c r="AK8" s="170">
        <v>3553.1892001584583</v>
      </c>
      <c r="AL8" s="170">
        <v>3657.4052418251249</v>
      </c>
      <c r="AM8" s="170">
        <v>3613.2627765473471</v>
      </c>
      <c r="AN8" s="170">
        <v>3647.8948946029022</v>
      </c>
      <c r="AO8" s="170">
        <v>3845.9410057140144</v>
      </c>
      <c r="AP8" s="170">
        <v>4025.4925936078771</v>
      </c>
      <c r="AQ8" s="170">
        <v>4163.4256885559789</v>
      </c>
      <c r="AR8" s="170">
        <v>4405.370484751631</v>
      </c>
      <c r="AS8" s="170">
        <v>4704.6022304511071</v>
      </c>
    </row>
    <row r="9" spans="2:45" x14ac:dyDescent="0.25">
      <c r="B9" s="58" t="s">
        <v>100</v>
      </c>
      <c r="C9" s="56">
        <v>21888.48</v>
      </c>
      <c r="D9" s="56">
        <v>52914.49</v>
      </c>
      <c r="E9" s="56">
        <v>54673.489087036651</v>
      </c>
      <c r="F9" s="56">
        <v>68952.514240276621</v>
      </c>
      <c r="G9" s="56">
        <v>118293.25199272294</v>
      </c>
      <c r="H9" s="56">
        <v>184805.58830074637</v>
      </c>
      <c r="I9" s="56">
        <v>265351.54824569618</v>
      </c>
      <c r="J9" s="56">
        <v>316091.86399821442</v>
      </c>
      <c r="K9" s="56">
        <f t="shared" ref="K9" si="0">K3+K4-K8</f>
        <v>331360.76100246538</v>
      </c>
      <c r="L9" s="56">
        <v>369651.67606963508</v>
      </c>
      <c r="M9" s="56">
        <v>183080.60828332443</v>
      </c>
      <c r="N9" s="56">
        <v>215629.36730509758</v>
      </c>
      <c r="O9" s="56">
        <v>320738.29754685785</v>
      </c>
      <c r="P9" s="56">
        <v>381941.07483278483</v>
      </c>
      <c r="Q9" s="56">
        <v>412191.66100534156</v>
      </c>
      <c r="R9" s="56">
        <v>450145.55133221322</v>
      </c>
      <c r="S9" s="56">
        <v>480685.71891578968</v>
      </c>
      <c r="T9" s="56">
        <v>541508.8266178302</v>
      </c>
      <c r="U9" s="56">
        <v>561909.83741499344</v>
      </c>
      <c r="V9" s="56">
        <v>615385.84651561279</v>
      </c>
      <c r="W9" s="56">
        <v>685363.89284558839</v>
      </c>
      <c r="X9" s="56">
        <v>726160.08575171628</v>
      </c>
      <c r="Y9" s="56">
        <v>770735.85158225882</v>
      </c>
      <c r="Z9" s="56">
        <v>780659.54894832708</v>
      </c>
      <c r="AA9" s="56">
        <v>800698.45677987696</v>
      </c>
      <c r="AB9" s="56">
        <v>814182.7547070767</v>
      </c>
      <c r="AC9" s="56">
        <v>827306.14447455411</v>
      </c>
      <c r="AD9" s="56">
        <v>194342.81553892637</v>
      </c>
      <c r="AE9" s="56">
        <v>252530.28392805366</v>
      </c>
      <c r="AF9" s="56">
        <v>288511.0463102365</v>
      </c>
      <c r="AG9" s="56">
        <v>347181.6005922209</v>
      </c>
      <c r="AH9" s="56">
        <v>362447.20951706241</v>
      </c>
      <c r="AI9" s="56">
        <v>380797.66670579283</v>
      </c>
      <c r="AJ9" s="56">
        <v>392043.39740146772</v>
      </c>
      <c r="AK9" s="56">
        <v>388490.20820130926</v>
      </c>
      <c r="AL9" s="56">
        <v>384832.80295948411</v>
      </c>
      <c r="AM9" s="56">
        <v>381077.23934960342</v>
      </c>
      <c r="AN9" s="56">
        <v>377429.34445500054</v>
      </c>
      <c r="AO9" s="56">
        <v>425715.26344928652</v>
      </c>
      <c r="AP9" s="56">
        <v>421689.77085567865</v>
      </c>
      <c r="AQ9" s="56">
        <v>505144.1951671227</v>
      </c>
      <c r="AR9" s="56">
        <v>531667.97468237102</v>
      </c>
      <c r="AS9" s="56">
        <v>576156.34245191992</v>
      </c>
    </row>
    <row r="10" spans="2:45" x14ac:dyDescent="0.25">
      <c r="B10" s="58" t="s">
        <v>101</v>
      </c>
      <c r="C10" s="172">
        <v>-5191.2544667231996</v>
      </c>
      <c r="D10" s="172">
        <v>-12549.641755246599</v>
      </c>
      <c r="E10" s="177">
        <v>-12966.820648780598</v>
      </c>
      <c r="F10" s="170">
        <v>-16353.353341192767</v>
      </c>
      <c r="G10" s="170">
        <v>-28055.414208315793</v>
      </c>
      <c r="H10" s="170">
        <v>-43830.034600011437</v>
      </c>
      <c r="I10" s="177">
        <v>-62932.986213861674</v>
      </c>
      <c r="J10" s="177">
        <v>-74938.110841104688</v>
      </c>
      <c r="K10" s="177">
        <f>-1*(K9*0.237077)</f>
        <v>-78558.015136181493</v>
      </c>
      <c r="L10" s="177">
        <v>-87635.910407560878</v>
      </c>
      <c r="M10" s="177">
        <v>-43404.201369985705</v>
      </c>
      <c r="N10" s="177">
        <v>-51120.763512590624</v>
      </c>
      <c r="O10" s="177">
        <v>-76039.673367516429</v>
      </c>
      <c r="P10" s="177">
        <v>-90549.444198132129</v>
      </c>
      <c r="Q10" s="177">
        <v>-97721.162416163366</v>
      </c>
      <c r="R10" s="177">
        <v>-106719.15687318712</v>
      </c>
      <c r="S10" s="177">
        <v>-113959.52818339868</v>
      </c>
      <c r="T10" s="177">
        <v>-128379.28808807534</v>
      </c>
      <c r="U10" s="177">
        <v>-133215.8985248344</v>
      </c>
      <c r="V10" s="177">
        <v>-145685.82991825967</v>
      </c>
      <c r="W10" s="177">
        <v>-162252.36262837175</v>
      </c>
      <c r="X10" s="177">
        <v>-171910.41254077558</v>
      </c>
      <c r="Y10" s="177">
        <v>-182463.23476773239</v>
      </c>
      <c r="Z10" s="177">
        <v>-185274.57869933208</v>
      </c>
      <c r="AA10" s="177">
        <v>-190030.42932728733</v>
      </c>
      <c r="AB10" s="177">
        <v>-193230.6689463169</v>
      </c>
      <c r="AC10" s="177">
        <v>-196345.25393224583</v>
      </c>
      <c r="AD10" s="177">
        <v>-46123.541716390289</v>
      </c>
      <c r="AE10" s="177">
        <v>-59933.221884780636</v>
      </c>
      <c r="AF10" s="177">
        <v>-68472.566084976861</v>
      </c>
      <c r="AG10" s="177">
        <v>-82396.897429280274</v>
      </c>
      <c r="AH10" s="177">
        <v>-85362.116996620476</v>
      </c>
      <c r="AI10" s="177">
        <v>-89683.943271881508</v>
      </c>
      <c r="AJ10" s="177">
        <v>-92335.033223619233</v>
      </c>
      <c r="AK10" s="177">
        <v>-91498.177291288695</v>
      </c>
      <c r="AL10" s="177">
        <v>-90636.776138369038</v>
      </c>
      <c r="AM10" s="177">
        <v>-89752.256483172183</v>
      </c>
      <c r="AN10" s="177">
        <v>-88893.095230815976</v>
      </c>
      <c r="AO10" s="177">
        <v>-100265.51462142932</v>
      </c>
      <c r="AP10" s="177">
        <v>-99317.420622561156</v>
      </c>
      <c r="AQ10" s="177">
        <v>-118972.81360336476</v>
      </c>
      <c r="AR10" s="177">
        <v>-125219.75993376924</v>
      </c>
      <c r="AS10" s="177">
        <v>-135697.77064200546</v>
      </c>
    </row>
    <row r="11" spans="2:45" x14ac:dyDescent="0.25">
      <c r="B11" s="58" t="s">
        <v>102</v>
      </c>
      <c r="C11" s="56">
        <v>16697.2255332768</v>
      </c>
      <c r="D11" s="56">
        <v>40364.848244753397</v>
      </c>
      <c r="E11" s="178">
        <v>41706.668438256049</v>
      </c>
      <c r="F11" s="178">
        <v>52599.160899083858</v>
      </c>
      <c r="G11" s="178">
        <v>90237.837784407151</v>
      </c>
      <c r="H11" s="178">
        <v>140975.55370073492</v>
      </c>
      <c r="I11" s="178">
        <v>202418.5620318345</v>
      </c>
      <c r="J11" s="178">
        <v>241153.75315710972</v>
      </c>
      <c r="K11" s="178">
        <f t="shared" ref="K11" si="1">K9+K10</f>
        <v>252802.74586628389</v>
      </c>
      <c r="L11" s="178">
        <v>282015.76566207421</v>
      </c>
      <c r="M11" s="178">
        <v>139676.40691333872</v>
      </c>
      <c r="N11" s="178">
        <v>164508.60379250697</v>
      </c>
      <c r="O11" s="178">
        <v>244698.62417934142</v>
      </c>
      <c r="P11" s="178">
        <v>291391.63063465268</v>
      </c>
      <c r="Q11" s="178">
        <v>314470.4985891782</v>
      </c>
      <c r="R11" s="178">
        <v>343426.39445902611</v>
      </c>
      <c r="S11" s="178">
        <v>366726.19073239097</v>
      </c>
      <c r="T11" s="178">
        <v>413129.53852975485</v>
      </c>
      <c r="U11" s="178">
        <v>428693.93889015901</v>
      </c>
      <c r="V11" s="178">
        <v>469700.01659735315</v>
      </c>
      <c r="W11" s="178">
        <v>523111.53021721664</v>
      </c>
      <c r="X11" s="178">
        <v>554249.67321094067</v>
      </c>
      <c r="Y11" s="178">
        <v>588272.6168145265</v>
      </c>
      <c r="Z11" s="178">
        <v>595384.970248995</v>
      </c>
      <c r="AA11" s="178">
        <v>610668.02745258959</v>
      </c>
      <c r="AB11" s="178">
        <v>620952.08576075977</v>
      </c>
      <c r="AC11" s="178">
        <v>630960.89054230833</v>
      </c>
      <c r="AD11" s="178">
        <v>148219.27382253608</v>
      </c>
      <c r="AE11" s="178">
        <v>192597.06204327301</v>
      </c>
      <c r="AF11" s="178">
        <v>220038.48022525964</v>
      </c>
      <c r="AG11" s="178">
        <v>264784.70316294063</v>
      </c>
      <c r="AH11" s="178">
        <v>277085.09252044192</v>
      </c>
      <c r="AI11" s="178">
        <v>291113.72343391133</v>
      </c>
      <c r="AJ11" s="178">
        <v>299708.3641778485</v>
      </c>
      <c r="AK11" s="178">
        <v>296992.03091002058</v>
      </c>
      <c r="AL11" s="178">
        <v>294196.02682111505</v>
      </c>
      <c r="AM11" s="178">
        <v>291324.98286643124</v>
      </c>
      <c r="AN11" s="178">
        <v>288536.24922418455</v>
      </c>
      <c r="AO11" s="178">
        <v>325449.7488278572</v>
      </c>
      <c r="AP11" s="178">
        <v>322372.35023311747</v>
      </c>
      <c r="AQ11" s="178">
        <v>386171.38156375795</v>
      </c>
      <c r="AR11" s="178">
        <v>406448.21474860178</v>
      </c>
      <c r="AS11" s="178">
        <v>440458.57180991443</v>
      </c>
    </row>
    <row r="12" spans="2:45" x14ac:dyDescent="0.25">
      <c r="B12" s="58" t="s">
        <v>103</v>
      </c>
      <c r="C12" s="59">
        <v>9.0399999999999994E-2</v>
      </c>
      <c r="D12" s="59">
        <v>9.0399999999999994E-2</v>
      </c>
      <c r="E12" s="179">
        <v>9.0399999999999994E-2</v>
      </c>
      <c r="F12" s="59">
        <v>9.0399999999999994E-2</v>
      </c>
      <c r="G12" s="59">
        <v>9.0399999999999994E-2</v>
      </c>
      <c r="H12" s="59">
        <v>9.0399999999999994E-2</v>
      </c>
      <c r="I12" s="179">
        <v>9.0399999999999994E-2</v>
      </c>
      <c r="J12" s="179">
        <v>9.0399999999999994E-2</v>
      </c>
      <c r="K12" s="179">
        <v>9.0399999999999994E-2</v>
      </c>
      <c r="L12" s="179">
        <v>9.0399999999999994E-2</v>
      </c>
      <c r="M12" s="179">
        <v>9.0399999999999994E-2</v>
      </c>
      <c r="N12" s="179">
        <v>8.2900000000000001E-2</v>
      </c>
      <c r="O12" s="179">
        <v>8.2900000000000001E-2</v>
      </c>
      <c r="P12" s="214">
        <v>8.2900000000000001E-2</v>
      </c>
      <c r="Q12" s="214">
        <v>8.2900000000000001E-2</v>
      </c>
      <c r="R12" s="214">
        <v>8.2900000000000001E-2</v>
      </c>
      <c r="S12" s="214">
        <v>8.2900000000000001E-2</v>
      </c>
      <c r="T12" s="214">
        <v>8.2900000000000001E-2</v>
      </c>
      <c r="U12" s="214">
        <v>8.2900000000000001E-2</v>
      </c>
      <c r="V12" s="214">
        <v>8.2900000000000001E-2</v>
      </c>
      <c r="W12" s="214">
        <v>8.2900000000000001E-2</v>
      </c>
      <c r="X12" s="214">
        <v>8.2900000000000001E-2</v>
      </c>
      <c r="Y12" s="214">
        <v>8.2900000000000001E-2</v>
      </c>
      <c r="Z12" s="214">
        <v>8.2900000000000001E-2</v>
      </c>
      <c r="AA12" s="214">
        <v>8.2900000000000001E-2</v>
      </c>
      <c r="AB12" s="214">
        <v>8.2900000000000001E-2</v>
      </c>
      <c r="AC12" s="214">
        <v>8.2900000000000001E-2</v>
      </c>
      <c r="AD12" s="214">
        <v>7.6300000000000007E-2</v>
      </c>
      <c r="AE12" s="214">
        <v>7.6300000000000007E-2</v>
      </c>
      <c r="AF12" s="214">
        <v>7.6300000000000007E-2</v>
      </c>
      <c r="AG12" s="214">
        <v>8.3599999999999994E-2</v>
      </c>
      <c r="AH12" s="214">
        <v>8.3599999999999994E-2</v>
      </c>
      <c r="AI12" s="214">
        <v>8.3599999999999994E-2</v>
      </c>
      <c r="AJ12" s="214">
        <v>8.3599999999999994E-2</v>
      </c>
      <c r="AK12" s="214">
        <v>8.3599999999999994E-2</v>
      </c>
      <c r="AL12" s="214">
        <v>8.3599999999999994E-2</v>
      </c>
      <c r="AM12" s="214">
        <v>8.3599999999999994E-2</v>
      </c>
      <c r="AN12" s="214">
        <v>8.3599999999999994E-2</v>
      </c>
      <c r="AO12" s="214">
        <v>8.3599999999999994E-2</v>
      </c>
      <c r="AP12" s="214">
        <v>8.3599999999999994E-2</v>
      </c>
      <c r="AQ12" s="214">
        <v>8.3599999999999994E-2</v>
      </c>
      <c r="AR12" s="214">
        <v>8.3599999999999994E-2</v>
      </c>
      <c r="AS12" s="214">
        <v>8.3599999999999994E-2</v>
      </c>
    </row>
    <row r="13" spans="2:45" x14ac:dyDescent="0.25">
      <c r="B13" s="58" t="s">
        <v>104</v>
      </c>
      <c r="C13" s="173">
        <v>0.04</v>
      </c>
      <c r="D13" s="173">
        <v>0.04</v>
      </c>
      <c r="E13" s="173">
        <v>0.04</v>
      </c>
      <c r="F13" s="173">
        <v>0.04</v>
      </c>
      <c r="G13" s="173">
        <v>0.04</v>
      </c>
      <c r="H13" s="173">
        <v>0.04</v>
      </c>
      <c r="I13" s="173">
        <v>0.04</v>
      </c>
      <c r="J13" s="173">
        <v>0.03</v>
      </c>
      <c r="K13" s="173">
        <v>0.03</v>
      </c>
      <c r="L13" s="173">
        <v>0.03</v>
      </c>
      <c r="M13" s="173">
        <v>0.03</v>
      </c>
      <c r="N13" s="173">
        <v>0.03</v>
      </c>
      <c r="O13" s="173">
        <v>0.03</v>
      </c>
      <c r="P13" s="173">
        <v>0.03</v>
      </c>
      <c r="Q13" s="173">
        <v>0.03</v>
      </c>
      <c r="R13" s="173">
        <v>0.03</v>
      </c>
      <c r="S13" s="173">
        <v>0.03</v>
      </c>
      <c r="T13" s="173">
        <v>0.03</v>
      </c>
      <c r="U13" s="173">
        <v>0.03</v>
      </c>
      <c r="V13" s="173">
        <v>0.03</v>
      </c>
      <c r="W13" s="173">
        <v>0.03</v>
      </c>
      <c r="X13" s="173">
        <v>0.03</v>
      </c>
      <c r="Y13" s="173">
        <v>0.03</v>
      </c>
      <c r="Z13" s="173">
        <v>0.03</v>
      </c>
      <c r="AA13" s="173">
        <v>0.03</v>
      </c>
      <c r="AB13" s="173">
        <v>0.03</v>
      </c>
      <c r="AC13" s="173">
        <v>0.03</v>
      </c>
      <c r="AD13" s="173">
        <v>0.03</v>
      </c>
      <c r="AE13" s="173">
        <v>0.03</v>
      </c>
      <c r="AF13" s="173">
        <v>0.03</v>
      </c>
      <c r="AG13" s="173">
        <v>0.03</v>
      </c>
      <c r="AH13" s="173">
        <v>0.03</v>
      </c>
      <c r="AI13" s="173">
        <v>0.03</v>
      </c>
      <c r="AJ13" s="173">
        <v>0.03</v>
      </c>
      <c r="AK13" s="173">
        <v>0.03</v>
      </c>
      <c r="AL13" s="173">
        <v>0.03</v>
      </c>
      <c r="AM13" s="173">
        <v>0.03</v>
      </c>
      <c r="AN13" s="173">
        <v>0.03</v>
      </c>
      <c r="AO13" s="173">
        <v>0.03</v>
      </c>
      <c r="AP13" s="173">
        <v>0.03</v>
      </c>
      <c r="AQ13" s="173">
        <v>0.03</v>
      </c>
      <c r="AR13" s="173">
        <v>0.03</v>
      </c>
      <c r="AS13" s="173">
        <v>0.03</v>
      </c>
    </row>
    <row r="14" spans="2:45" x14ac:dyDescent="0.25">
      <c r="B14" s="58" t="s">
        <v>95</v>
      </c>
      <c r="C14" s="174">
        <v>5.0399999999999993E-2</v>
      </c>
      <c r="D14" s="174">
        <v>5.0399999999999993E-2</v>
      </c>
      <c r="E14" s="173">
        <v>5.0399999999999993E-2</v>
      </c>
      <c r="F14" s="173">
        <v>5.0399999999999993E-2</v>
      </c>
      <c r="G14" s="173">
        <v>5.0399999999999993E-2</v>
      </c>
      <c r="H14" s="173">
        <v>5.0399999999999993E-2</v>
      </c>
      <c r="I14" s="173">
        <v>5.0399999999999993E-2</v>
      </c>
      <c r="J14" s="173">
        <v>6.0399999999999995E-2</v>
      </c>
      <c r="K14" s="173">
        <f t="shared" ref="K14" si="2">K12-K13</f>
        <v>6.0399999999999995E-2</v>
      </c>
      <c r="L14" s="173">
        <v>6.0399999999999995E-2</v>
      </c>
      <c r="M14" s="173">
        <v>6.0399999999999995E-2</v>
      </c>
      <c r="N14" s="173">
        <v>5.2900000000000003E-2</v>
      </c>
      <c r="O14" s="173">
        <v>5.2900000000000003E-2</v>
      </c>
      <c r="P14" s="173">
        <v>5.2900000000000003E-2</v>
      </c>
      <c r="Q14" s="173">
        <v>5.2900000000000003E-2</v>
      </c>
      <c r="R14" s="173">
        <v>5.2900000000000003E-2</v>
      </c>
      <c r="S14" s="173">
        <v>5.2900000000000003E-2</v>
      </c>
      <c r="T14" s="173">
        <v>5.2900000000000003E-2</v>
      </c>
      <c r="U14" s="173">
        <v>5.2900000000000003E-2</v>
      </c>
      <c r="V14" s="173">
        <v>5.2900000000000003E-2</v>
      </c>
      <c r="W14" s="173">
        <v>5.2900000000000003E-2</v>
      </c>
      <c r="X14" s="173">
        <v>5.2900000000000003E-2</v>
      </c>
      <c r="Y14" s="173">
        <v>5.2900000000000003E-2</v>
      </c>
      <c r="Z14" s="173">
        <v>5.2900000000000003E-2</v>
      </c>
      <c r="AA14" s="173">
        <v>5.2900000000000003E-2</v>
      </c>
      <c r="AB14" s="173">
        <v>5.2900000000000003E-2</v>
      </c>
      <c r="AC14" s="173">
        <v>5.2900000000000003E-2</v>
      </c>
      <c r="AD14" s="173">
        <v>4.6300000000000008E-2</v>
      </c>
      <c r="AE14" s="173">
        <v>4.6300000000000008E-2</v>
      </c>
      <c r="AF14" s="173">
        <v>4.6300000000000008E-2</v>
      </c>
      <c r="AG14" s="173">
        <v>5.3599999999999995E-2</v>
      </c>
      <c r="AH14" s="173">
        <v>5.3599999999999995E-2</v>
      </c>
      <c r="AI14" s="173">
        <v>5.3599999999999995E-2</v>
      </c>
      <c r="AJ14" s="173">
        <v>5.3599999999999995E-2</v>
      </c>
      <c r="AK14" s="173">
        <v>5.3599999999999995E-2</v>
      </c>
      <c r="AL14" s="173">
        <v>5.3599999999999995E-2</v>
      </c>
      <c r="AM14" s="173">
        <v>5.3599999999999995E-2</v>
      </c>
      <c r="AN14" s="173">
        <v>5.3599999999999995E-2</v>
      </c>
      <c r="AO14" s="173">
        <v>5.3599999999999995E-2</v>
      </c>
      <c r="AP14" s="173">
        <v>5.3599999999999995E-2</v>
      </c>
      <c r="AQ14" s="173">
        <v>5.3599999999999995E-2</v>
      </c>
      <c r="AR14" s="173">
        <v>5.3599999999999995E-2</v>
      </c>
      <c r="AS14" s="173">
        <v>5.3599999999999995E-2</v>
      </c>
    </row>
    <row r="15" spans="2:45" x14ac:dyDescent="0.25">
      <c r="B15" s="58" t="s">
        <v>96</v>
      </c>
      <c r="C15" s="56">
        <v>70.128347239762562</v>
      </c>
      <c r="D15" s="56">
        <v>169.53236262796426</v>
      </c>
      <c r="E15" s="176">
        <v>175.16800744067538</v>
      </c>
      <c r="F15" s="176">
        <v>220.9164757761522</v>
      </c>
      <c r="G15" s="176">
        <v>378.99891869451</v>
      </c>
      <c r="H15" s="176">
        <v>592.09732554308664</v>
      </c>
      <c r="I15" s="176">
        <v>850.15796053370491</v>
      </c>
      <c r="J15" s="176">
        <v>1213.807224224119</v>
      </c>
      <c r="K15" s="176">
        <f>K11*(K14/12)</f>
        <v>1272.4404875269622</v>
      </c>
      <c r="L15" s="176">
        <v>1419.4793538324402</v>
      </c>
      <c r="M15" s="176">
        <v>703.03791479713823</v>
      </c>
      <c r="N15" s="176">
        <v>725.20876171863495</v>
      </c>
      <c r="O15" s="176">
        <v>1078.7131015905968</v>
      </c>
      <c r="P15" s="176">
        <v>1284.5514383810939</v>
      </c>
      <c r="Q15" s="176">
        <v>1386.2907812806272</v>
      </c>
      <c r="R15" s="176">
        <v>1513.9380222402069</v>
      </c>
      <c r="S15" s="176">
        <v>1616.6512908119569</v>
      </c>
      <c r="T15" s="176">
        <v>1821.212715685336</v>
      </c>
      <c r="U15" s="176">
        <v>1889.8257806074512</v>
      </c>
      <c r="V15" s="176">
        <v>2070.5942398333318</v>
      </c>
      <c r="W15" s="176">
        <v>2306.0499957075635</v>
      </c>
      <c r="X15" s="176">
        <v>2443.3173094048971</v>
      </c>
      <c r="Y15" s="176">
        <v>2593.3017857907043</v>
      </c>
      <c r="Z15" s="176">
        <v>2624.6554105143196</v>
      </c>
      <c r="AA15" s="176">
        <v>2692.0282210201658</v>
      </c>
      <c r="AB15" s="176">
        <v>2737.3637780620161</v>
      </c>
      <c r="AC15" s="176">
        <v>2781.4859258073425</v>
      </c>
      <c r="AD15" s="176">
        <v>571.87936483195176</v>
      </c>
      <c r="AE15" s="176">
        <v>743.10366438362848</v>
      </c>
      <c r="AF15" s="176">
        <v>848.98180286912691</v>
      </c>
      <c r="AG15" s="176">
        <v>1182.7050074611348</v>
      </c>
      <c r="AH15" s="176">
        <v>1237.6467465913072</v>
      </c>
      <c r="AI15" s="176">
        <v>1300.3079646714707</v>
      </c>
      <c r="AJ15" s="176">
        <v>1338.6973599943899</v>
      </c>
      <c r="AK15" s="176">
        <v>1326.5644047314252</v>
      </c>
      <c r="AL15" s="176">
        <v>1314.0755864676471</v>
      </c>
      <c r="AM15" s="176">
        <v>1301.2515901367262</v>
      </c>
      <c r="AN15" s="176">
        <v>1288.7952465346909</v>
      </c>
      <c r="AO15" s="176">
        <v>1453.6755447644289</v>
      </c>
      <c r="AP15" s="176">
        <v>1439.929831041258</v>
      </c>
      <c r="AQ15" s="176">
        <v>1724.8988376514521</v>
      </c>
      <c r="AR15" s="176">
        <v>1815.4686925437545</v>
      </c>
      <c r="AS15" s="176">
        <v>1967.381620750951</v>
      </c>
    </row>
    <row r="16" spans="2:45" x14ac:dyDescent="0.25">
      <c r="B16" s="47"/>
      <c r="C16" s="56"/>
    </row>
    <row r="19" spans="2:24" x14ac:dyDescent="0.25">
      <c r="B19" s="47"/>
      <c r="C19" s="45"/>
    </row>
    <row r="20" spans="2:24" x14ac:dyDescent="0.25">
      <c r="C20" s="45"/>
    </row>
    <row r="22" spans="2:24" x14ac:dyDescent="0.25">
      <c r="C22" s="47"/>
    </row>
    <row r="23" spans="2:24" x14ac:dyDescent="0.25">
      <c r="C23" s="56"/>
      <c r="W23" s="56"/>
      <c r="X23" s="56"/>
    </row>
    <row r="24" spans="2:24" x14ac:dyDescent="0.25">
      <c r="B24" s="47"/>
      <c r="C24" s="56"/>
      <c r="N24" s="56"/>
    </row>
    <row r="25" spans="2:24" x14ac:dyDescent="0.25">
      <c r="N25" s="56"/>
    </row>
  </sheetData>
  <pageMargins left="0.7" right="0.7" top="0.75" bottom="0.75" header="0.3" footer="0.3"/>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pageSetUpPr fitToPage="1"/>
  </sheetPr>
  <dimension ref="A1:FS267"/>
  <sheetViews>
    <sheetView topLeftCell="EY1" zoomScale="85" zoomScaleNormal="85" zoomScaleSheetLayoutView="80" workbookViewId="0">
      <selection activeCell="CX1" sqref="CX1:CX3"/>
    </sheetView>
  </sheetViews>
  <sheetFormatPr defaultColWidth="9.140625" defaultRowHeight="0" customHeight="1" zeroHeight="1" outlineLevelRow="1" x14ac:dyDescent="0.25"/>
  <cols>
    <col min="1" max="1" width="3.140625" style="1" customWidth="1"/>
    <col min="2" max="2" width="50" customWidth="1"/>
    <col min="3" max="10" width="15.28515625" bestFit="1" customWidth="1"/>
    <col min="11" max="11" width="14" bestFit="1" customWidth="1"/>
    <col min="12" max="12" width="18.5703125" bestFit="1" customWidth="1"/>
    <col min="13" max="14" width="9.140625" style="149"/>
    <col min="16" max="16" width="52.5703125" bestFit="1" customWidth="1"/>
    <col min="17" max="17" width="14.140625" bestFit="1" customWidth="1"/>
    <col min="18" max="19" width="12.7109375" bestFit="1" customWidth="1"/>
    <col min="20" max="20" width="14.140625" bestFit="1" customWidth="1"/>
    <col min="21" max="25" width="13.5703125" bestFit="1" customWidth="1"/>
    <col min="26" max="26" width="11.42578125" bestFit="1" customWidth="1"/>
    <col min="28" max="28" width="9.140625" style="156"/>
    <col min="30" max="30" width="48.140625" bestFit="1" customWidth="1"/>
    <col min="31" max="33" width="12.7109375" bestFit="1" customWidth="1"/>
    <col min="34" max="39" width="13.5703125" bestFit="1" customWidth="1"/>
    <col min="40" max="41" width="13.85546875" bestFit="1" customWidth="1"/>
    <col min="42" max="47" width="13.5703125" bestFit="1" customWidth="1"/>
    <col min="48" max="48" width="14.5703125" bestFit="1" customWidth="1"/>
    <col min="49" max="51" width="13.5703125" bestFit="1" customWidth="1"/>
    <col min="52" max="53" width="13.85546875" bestFit="1" customWidth="1"/>
    <col min="54" max="54" width="16.28515625" bestFit="1" customWidth="1"/>
    <col min="55" max="55" width="12.7109375" bestFit="1" customWidth="1"/>
    <col min="56" max="56" width="14.7109375" bestFit="1" customWidth="1"/>
    <col min="58" max="58" width="9.140625" style="149"/>
    <col min="59" max="59" width="31.85546875" bestFit="1" customWidth="1"/>
    <col min="60" max="60" width="24.85546875" bestFit="1" customWidth="1"/>
    <col min="61" max="61" width="15" bestFit="1" customWidth="1"/>
    <col min="62" max="62" width="28.5703125" bestFit="1" customWidth="1"/>
    <col min="63" max="63" width="15.28515625" bestFit="1" customWidth="1"/>
    <col min="64" max="69" width="14.28515625" bestFit="1" customWidth="1"/>
    <col min="70" max="73" width="14.5703125" bestFit="1" customWidth="1"/>
    <col min="74" max="74" width="11.28515625" bestFit="1" customWidth="1"/>
    <col min="75" max="75" width="13.85546875" bestFit="1" customWidth="1"/>
    <col min="77" max="77" width="9.140625" style="149"/>
    <col min="78" max="78" width="35.140625" bestFit="1" customWidth="1"/>
    <col min="79" max="79" width="52.5703125" bestFit="1" customWidth="1"/>
    <col min="80" max="86" width="14.28515625" bestFit="1" customWidth="1"/>
    <col min="89" max="89" width="35.140625" bestFit="1" customWidth="1"/>
    <col min="90" max="90" width="52.5703125" bestFit="1" customWidth="1"/>
    <col min="91" max="97" width="14.28515625" bestFit="1" customWidth="1"/>
    <col min="98" max="100" width="13.42578125" bestFit="1" customWidth="1"/>
    <col min="101" max="101" width="9.140625" style="149"/>
    <col min="103" max="103" width="52.5703125" bestFit="1" customWidth="1"/>
    <col min="104" max="104" width="13.85546875" bestFit="1" customWidth="1"/>
    <col min="105" max="110" width="13.5703125" bestFit="1" customWidth="1"/>
    <col min="111" max="115" width="14.5703125" bestFit="1" customWidth="1"/>
    <col min="116" max="116" width="13.85546875" bestFit="1" customWidth="1"/>
    <col min="117" max="117" width="13.5703125" bestFit="1" customWidth="1"/>
    <col min="118" max="127" width="14.5703125" bestFit="1" customWidth="1"/>
    <col min="128" max="128" width="13.85546875" bestFit="1" customWidth="1"/>
    <col min="129" max="129" width="15" style="45" bestFit="1" customWidth="1"/>
    <col min="130" max="130" width="10.28515625" style="45" bestFit="1" customWidth="1"/>
    <col min="131" max="131" width="9.140625" style="149"/>
    <col min="133" max="133" width="48.140625" bestFit="1" customWidth="1"/>
    <col min="134" max="134" width="14.5703125" bestFit="1" customWidth="1"/>
    <col min="135" max="135" width="13.85546875" bestFit="1" customWidth="1"/>
    <col min="136" max="136" width="13.5703125" bestFit="1" customWidth="1"/>
    <col min="137" max="146" width="14.5703125" bestFit="1" customWidth="1"/>
    <col min="147" max="147" width="13.85546875" bestFit="1" customWidth="1"/>
    <col min="148" max="148" width="13.5703125" bestFit="1" customWidth="1"/>
    <col min="149" max="158" width="14.5703125" bestFit="1" customWidth="1"/>
    <col min="159" max="159" width="13.85546875" bestFit="1" customWidth="1"/>
    <col min="160" max="160" width="13.5703125" bestFit="1" customWidth="1"/>
    <col min="161" max="161" width="14.5703125" bestFit="1" customWidth="1"/>
    <col min="162" max="162" width="13.42578125" bestFit="1" customWidth="1"/>
    <col min="164" max="164" width="9.140625" style="149"/>
    <col min="166" max="166" width="48.140625" bestFit="1" customWidth="1"/>
    <col min="167" max="172" width="14.5703125" bestFit="1" customWidth="1"/>
    <col min="173" max="173" width="15.28515625" bestFit="1" customWidth="1"/>
    <col min="175" max="175" width="15.85546875" customWidth="1"/>
  </cols>
  <sheetData>
    <row r="1" spans="1:175" ht="15" x14ac:dyDescent="0.25">
      <c r="A1" s="218" t="s">
        <v>122</v>
      </c>
      <c r="O1" s="218" t="s">
        <v>122</v>
      </c>
      <c r="AC1" s="218" t="s">
        <v>122</v>
      </c>
      <c r="AE1" s="47" t="s">
        <v>94</v>
      </c>
      <c r="AO1" s="39"/>
      <c r="AQ1" s="39"/>
      <c r="AU1" s="39"/>
      <c r="BA1" s="165">
        <f>BA2-BA3</f>
        <v>-21490.439999997616</v>
      </c>
      <c r="BB1" s="168" t="s">
        <v>89</v>
      </c>
      <c r="BG1" s="218" t="s">
        <v>122</v>
      </c>
      <c r="BZ1" t="s">
        <v>121</v>
      </c>
      <c r="CX1" s="55" t="s">
        <v>144</v>
      </c>
      <c r="DY1" s="176"/>
      <c r="DZ1" s="176"/>
      <c r="EB1" s="55" t="s">
        <v>145</v>
      </c>
      <c r="FI1" s="55" t="s">
        <v>147</v>
      </c>
    </row>
    <row r="2" spans="1:175" ht="16.5" thickBot="1" x14ac:dyDescent="0.3">
      <c r="A2" s="46" t="s">
        <v>80</v>
      </c>
      <c r="B2" s="33"/>
      <c r="O2" s="219" t="s">
        <v>123</v>
      </c>
      <c r="AC2" s="46" t="s">
        <v>80</v>
      </c>
      <c r="AD2" s="33"/>
      <c r="AE2" s="47" t="s">
        <v>93</v>
      </c>
      <c r="AF2" s="50"/>
      <c r="AG2" s="50"/>
      <c r="AH2" s="50"/>
      <c r="AI2" s="50"/>
      <c r="AJ2" s="50"/>
      <c r="AN2" s="39"/>
      <c r="AO2" s="39"/>
      <c r="AQ2" s="39"/>
      <c r="AR2" s="39"/>
      <c r="AT2" s="39"/>
      <c r="AU2" s="39"/>
      <c r="AV2" s="39"/>
      <c r="AW2" s="39"/>
      <c r="AZ2" s="39"/>
      <c r="BA2" s="39">
        <f>SUM(AE6:AW6)</f>
        <v>89531221.039999992</v>
      </c>
      <c r="BB2" t="s">
        <v>91</v>
      </c>
      <c r="BG2" s="220" t="s">
        <v>124</v>
      </c>
      <c r="BZ2" t="s">
        <v>116</v>
      </c>
      <c r="CB2" s="10">
        <v>44501</v>
      </c>
      <c r="CC2" s="10">
        <v>44531</v>
      </c>
      <c r="CD2" s="10">
        <v>44562</v>
      </c>
      <c r="CE2" s="10">
        <v>44593</v>
      </c>
      <c r="CF2" s="10">
        <v>44621</v>
      </c>
      <c r="CG2" s="10">
        <v>44652</v>
      </c>
      <c r="CH2" s="10">
        <v>44682</v>
      </c>
      <c r="CK2" t="s">
        <v>120</v>
      </c>
      <c r="CM2" s="10">
        <v>44501</v>
      </c>
      <c r="CN2" s="10">
        <v>44531</v>
      </c>
      <c r="CO2" s="10">
        <v>44562</v>
      </c>
      <c r="CP2" s="10">
        <v>44593</v>
      </c>
      <c r="CQ2" s="10">
        <v>44621</v>
      </c>
      <c r="CR2" s="10">
        <v>44652</v>
      </c>
      <c r="CS2" s="10">
        <v>44682</v>
      </c>
      <c r="CX2" s="47" t="s">
        <v>132</v>
      </c>
      <c r="EB2" s="47" t="s">
        <v>146</v>
      </c>
      <c r="FI2" s="47" t="s">
        <v>148</v>
      </c>
    </row>
    <row r="3" spans="1:175" ht="15" customHeight="1" thickBot="1" x14ac:dyDescent="0.3">
      <c r="A3" s="46" t="s">
        <v>64</v>
      </c>
      <c r="P3" s="55"/>
      <c r="AC3" s="46" t="s">
        <v>7</v>
      </c>
      <c r="AO3" s="39"/>
      <c r="BA3" s="39">
        <f>SUM('MEEIA 3 calcs'!F6:X6)</f>
        <v>89552711.479999989</v>
      </c>
      <c r="BB3" t="s">
        <v>92</v>
      </c>
      <c r="BG3" s="196" t="s">
        <v>105</v>
      </c>
      <c r="BH3" s="196" t="s">
        <v>106</v>
      </c>
      <c r="BI3" s="196"/>
      <c r="BJ3" s="196"/>
      <c r="BL3" s="302" t="s">
        <v>42</v>
      </c>
      <c r="BM3" s="296" t="s">
        <v>112</v>
      </c>
      <c r="BN3" s="296"/>
      <c r="BO3" s="296"/>
      <c r="BP3" s="296"/>
      <c r="BQ3" s="296"/>
      <c r="BR3" s="296"/>
      <c r="BS3" s="297"/>
      <c r="BT3" s="197"/>
      <c r="BZ3" s="40"/>
      <c r="CA3" s="11"/>
      <c r="CK3" s="40"/>
      <c r="CL3" s="11"/>
      <c r="CX3" s="47" t="s">
        <v>93</v>
      </c>
      <c r="EB3" s="230"/>
      <c r="EC3" s="231" t="s">
        <v>133</v>
      </c>
      <c r="ED3" s="240"/>
      <c r="EE3" s="240"/>
      <c r="EF3" s="240"/>
      <c r="EG3" s="232"/>
      <c r="EH3" s="233"/>
      <c r="FI3" s="230"/>
      <c r="FJ3" s="231" t="s">
        <v>133</v>
      </c>
      <c r="FK3" s="240"/>
      <c r="FL3" s="240"/>
      <c r="FM3" s="240"/>
      <c r="FN3" s="232"/>
      <c r="FO3" s="233"/>
    </row>
    <row r="4" spans="1:175" ht="16.5" thickBot="1" x14ac:dyDescent="0.3">
      <c r="A4" s="47" t="s">
        <v>88</v>
      </c>
      <c r="O4" s="46"/>
      <c r="P4" s="55"/>
      <c r="Q4" s="50"/>
      <c r="R4" s="50"/>
      <c r="S4" s="50"/>
      <c r="T4" s="50"/>
      <c r="U4" s="50"/>
      <c r="V4" s="50"/>
      <c r="AC4" s="1"/>
      <c r="AE4" s="10">
        <v>43525</v>
      </c>
      <c r="AF4" s="10">
        <v>43556</v>
      </c>
      <c r="AG4" s="10">
        <v>43586</v>
      </c>
      <c r="AH4" s="10">
        <v>43617</v>
      </c>
      <c r="AI4" s="10">
        <v>43647</v>
      </c>
      <c r="AJ4" s="10">
        <v>43678</v>
      </c>
      <c r="AK4" s="10">
        <v>43709</v>
      </c>
      <c r="AL4" s="10">
        <v>43739</v>
      </c>
      <c r="AM4" s="10">
        <v>43770</v>
      </c>
      <c r="AN4" s="10">
        <v>43800</v>
      </c>
      <c r="AO4" s="10">
        <v>43831</v>
      </c>
      <c r="AP4" s="10">
        <v>43862</v>
      </c>
      <c r="AQ4" s="10">
        <v>43891</v>
      </c>
      <c r="AR4" s="10">
        <v>43922</v>
      </c>
      <c r="AS4" s="10">
        <v>43952</v>
      </c>
      <c r="AT4" s="10">
        <v>43983</v>
      </c>
      <c r="AU4" s="10">
        <v>44013</v>
      </c>
      <c r="AV4" s="10">
        <v>44044</v>
      </c>
      <c r="AW4" s="10">
        <v>44075</v>
      </c>
      <c r="AX4" s="10">
        <v>44105</v>
      </c>
      <c r="AY4" s="10">
        <v>44136</v>
      </c>
      <c r="AZ4" s="10">
        <v>44166</v>
      </c>
      <c r="BA4" s="10">
        <v>44197</v>
      </c>
      <c r="BB4" s="10">
        <v>44228</v>
      </c>
      <c r="BC4" s="10">
        <v>44256</v>
      </c>
      <c r="BG4" s="196" t="s">
        <v>43</v>
      </c>
      <c r="BH4" s="196">
        <v>202011</v>
      </c>
      <c r="BI4" s="196">
        <v>202102</v>
      </c>
      <c r="BJ4" s="196" t="s">
        <v>44</v>
      </c>
      <c r="BL4" s="303"/>
      <c r="BM4" s="298"/>
      <c r="BN4" s="298"/>
      <c r="BO4" s="298"/>
      <c r="BP4" s="298"/>
      <c r="BQ4" s="298"/>
      <c r="BR4" s="298"/>
      <c r="BS4" s="299"/>
      <c r="BT4" s="197"/>
      <c r="BZ4" s="292" t="s">
        <v>25</v>
      </c>
      <c r="CA4" s="15"/>
      <c r="CK4" s="292" t="s">
        <v>25</v>
      </c>
      <c r="CL4" s="15"/>
      <c r="CX4" s="1"/>
      <c r="CZ4" s="10">
        <v>44166</v>
      </c>
      <c r="DA4" s="10">
        <v>44197</v>
      </c>
      <c r="DB4" s="10">
        <v>44228</v>
      </c>
      <c r="DC4" s="10">
        <v>44256</v>
      </c>
      <c r="DD4" s="10">
        <v>44287</v>
      </c>
      <c r="DE4" s="10">
        <v>44317</v>
      </c>
      <c r="DF4" s="10">
        <v>44348</v>
      </c>
      <c r="DG4" s="10">
        <v>44378</v>
      </c>
      <c r="DH4" s="10">
        <v>44409</v>
      </c>
      <c r="DI4" s="10">
        <v>44440</v>
      </c>
      <c r="DJ4" s="10">
        <v>44470</v>
      </c>
      <c r="DK4" s="10">
        <v>44501</v>
      </c>
      <c r="DL4" s="10">
        <v>44531</v>
      </c>
      <c r="DM4" s="10">
        <v>44562</v>
      </c>
      <c r="DN4" s="10">
        <v>44593</v>
      </c>
      <c r="DO4" s="10">
        <v>44621</v>
      </c>
      <c r="DP4" s="10">
        <v>44652</v>
      </c>
      <c r="DQ4" s="10">
        <v>44682</v>
      </c>
      <c r="DR4" s="10">
        <v>44713</v>
      </c>
      <c r="DS4" s="10">
        <v>44743</v>
      </c>
      <c r="DT4" s="10">
        <v>44774</v>
      </c>
      <c r="DU4" s="10">
        <v>44805</v>
      </c>
      <c r="DV4" s="10">
        <v>44835</v>
      </c>
      <c r="DW4" s="10">
        <v>44866</v>
      </c>
      <c r="DX4" s="10">
        <v>44896</v>
      </c>
      <c r="DY4" s="45" t="s">
        <v>130</v>
      </c>
      <c r="DZ4" s="45" t="s">
        <v>89</v>
      </c>
      <c r="EB4" s="1"/>
      <c r="ED4" s="237">
        <v>44136</v>
      </c>
      <c r="EE4" s="237">
        <v>44166</v>
      </c>
      <c r="EF4" s="241">
        <v>44197</v>
      </c>
      <c r="EG4" s="239">
        <v>44228</v>
      </c>
      <c r="EH4" s="10">
        <v>44256</v>
      </c>
      <c r="EI4" s="10">
        <v>44287</v>
      </c>
      <c r="EJ4" s="238">
        <v>44317</v>
      </c>
      <c r="EK4" s="237">
        <v>44348</v>
      </c>
      <c r="EL4" s="239">
        <v>44378</v>
      </c>
      <c r="EM4" s="10">
        <v>44409</v>
      </c>
      <c r="EN4" s="10">
        <v>44440</v>
      </c>
      <c r="EO4" s="238">
        <v>44470</v>
      </c>
      <c r="EP4" s="237">
        <v>44501</v>
      </c>
      <c r="EQ4" s="247">
        <v>44531</v>
      </c>
      <c r="ER4" s="237">
        <v>44562</v>
      </c>
      <c r="ES4" s="239">
        <v>44593</v>
      </c>
      <c r="ET4" s="10">
        <v>44621</v>
      </c>
      <c r="EU4" s="10">
        <v>44652</v>
      </c>
      <c r="EV4" s="10">
        <v>44682</v>
      </c>
      <c r="EW4" s="10">
        <v>44713</v>
      </c>
      <c r="EX4" s="10">
        <v>44743</v>
      </c>
      <c r="EY4" s="238">
        <v>44774</v>
      </c>
      <c r="EZ4" s="237">
        <v>44805</v>
      </c>
      <c r="FA4" s="239">
        <v>44835</v>
      </c>
      <c r="FB4" s="10">
        <v>44866</v>
      </c>
      <c r="FC4" s="10">
        <v>44896</v>
      </c>
      <c r="FD4" s="238">
        <v>44927</v>
      </c>
      <c r="FE4" s="237">
        <v>44958</v>
      </c>
      <c r="FI4" s="1"/>
      <c r="FK4" s="239">
        <v>45017</v>
      </c>
      <c r="FL4" s="239">
        <v>45047</v>
      </c>
      <c r="FM4" s="239">
        <v>45078</v>
      </c>
      <c r="FN4" s="248">
        <v>45108</v>
      </c>
      <c r="FO4" s="249">
        <v>45139</v>
      </c>
      <c r="FP4" s="249">
        <v>45170</v>
      </c>
    </row>
    <row r="5" spans="1:175" ht="15" customHeight="1" thickBot="1" x14ac:dyDescent="0.3">
      <c r="C5" s="10">
        <v>43525</v>
      </c>
      <c r="D5" s="10">
        <v>43556</v>
      </c>
      <c r="E5" s="10">
        <v>43586</v>
      </c>
      <c r="F5" s="10">
        <v>43617</v>
      </c>
      <c r="G5" s="10">
        <v>43677</v>
      </c>
      <c r="H5" s="10">
        <v>43708</v>
      </c>
      <c r="I5" s="10">
        <v>43738</v>
      </c>
      <c r="J5" s="10">
        <v>43769</v>
      </c>
      <c r="O5" s="55"/>
      <c r="AC5" s="295" t="s">
        <v>0</v>
      </c>
      <c r="AD5" s="5"/>
      <c r="AE5" s="29"/>
      <c r="AF5" s="29"/>
      <c r="AG5" s="29"/>
      <c r="AH5" s="29"/>
      <c r="AI5" s="29"/>
      <c r="AJ5" s="29"/>
      <c r="AK5" s="29"/>
      <c r="AL5" s="29"/>
      <c r="AM5" s="29"/>
      <c r="AN5" s="7"/>
      <c r="AO5" s="29"/>
      <c r="AP5" s="29"/>
      <c r="AQ5" s="29"/>
      <c r="AR5" s="29"/>
      <c r="AS5" s="29"/>
      <c r="AT5" s="29"/>
      <c r="AU5" s="29"/>
      <c r="AV5" s="29"/>
      <c r="AW5" s="29"/>
      <c r="AX5" s="29"/>
      <c r="AY5" s="29"/>
      <c r="AZ5" s="29"/>
      <c r="BA5" s="29"/>
      <c r="BB5" s="29"/>
      <c r="BC5" s="29"/>
      <c r="BG5" s="184" t="s">
        <v>107</v>
      </c>
      <c r="BH5" s="56">
        <v>55359.71</v>
      </c>
      <c r="BI5" s="56">
        <v>5108</v>
      </c>
      <c r="BJ5" s="56">
        <v>60467.71</v>
      </c>
      <c r="BL5" s="304"/>
      <c r="BM5" s="300"/>
      <c r="BN5" s="300"/>
      <c r="BO5" s="300"/>
      <c r="BP5" s="300"/>
      <c r="BQ5" s="300"/>
      <c r="BR5" s="300"/>
      <c r="BS5" s="301"/>
      <c r="BT5" s="197"/>
      <c r="BZ5" s="292"/>
      <c r="CA5" s="15" t="s">
        <v>28</v>
      </c>
      <c r="CB5" s="215">
        <v>1693340.1593012405</v>
      </c>
      <c r="CC5" s="215">
        <v>2043834.5150522972</v>
      </c>
      <c r="CD5" s="215">
        <v>2546894.0685010902</v>
      </c>
      <c r="CE5" s="215">
        <v>2089616.4766016018</v>
      </c>
      <c r="CF5" s="215">
        <v>912247.85076541686</v>
      </c>
      <c r="CG5" s="215">
        <v>846334.21711913729</v>
      </c>
      <c r="CH5" s="215">
        <v>1066637.678205363</v>
      </c>
      <c r="CK5" s="292"/>
      <c r="CL5" s="15" t="s">
        <v>28</v>
      </c>
      <c r="CM5" s="215">
        <v>1693340.1593012405</v>
      </c>
      <c r="CN5" s="215">
        <v>2043834.5150522967</v>
      </c>
      <c r="CO5" s="215">
        <v>2546894.0685010906</v>
      </c>
      <c r="CP5" s="215">
        <v>2089616.4766016016</v>
      </c>
      <c r="CQ5" s="215">
        <v>912247.85076541686</v>
      </c>
      <c r="CR5" s="215">
        <v>846334.21711913729</v>
      </c>
      <c r="CS5" s="215">
        <v>1066637.678205363</v>
      </c>
      <c r="CX5" s="295" t="s">
        <v>0</v>
      </c>
      <c r="CY5" s="5"/>
      <c r="CZ5" s="29"/>
      <c r="DA5" s="29"/>
      <c r="DB5" s="29"/>
      <c r="DC5" s="152">
        <v>-21982.399999997611</v>
      </c>
      <c r="DD5" s="29"/>
      <c r="DE5" s="29"/>
      <c r="DF5" s="29"/>
      <c r="DG5" s="29"/>
      <c r="DH5" s="29"/>
      <c r="DI5" s="29"/>
      <c r="DJ5" s="29"/>
      <c r="DK5" s="208">
        <v>-60592.04</v>
      </c>
      <c r="DL5" s="29"/>
      <c r="DM5" s="29"/>
      <c r="DN5" s="211">
        <v>-696108.1955235654</v>
      </c>
      <c r="DO5" s="29"/>
      <c r="DP5" s="29"/>
      <c r="DQ5" s="29"/>
      <c r="DR5" s="29"/>
      <c r="DS5" s="29"/>
      <c r="DT5" s="29"/>
      <c r="DU5" s="29"/>
      <c r="DV5" s="29"/>
      <c r="DW5" s="29"/>
      <c r="DX5" s="29"/>
      <c r="EB5" s="295" t="s">
        <v>0</v>
      </c>
      <c r="EC5" s="5"/>
      <c r="ED5" s="29"/>
      <c r="EE5" s="29"/>
      <c r="EF5" s="29"/>
      <c r="EG5" s="29"/>
      <c r="EH5" s="152">
        <v>-21982.399999997611</v>
      </c>
      <c r="EI5" s="29"/>
      <c r="EJ5" s="29"/>
      <c r="EK5" s="29"/>
      <c r="EL5" s="29"/>
      <c r="EM5" s="29"/>
      <c r="EN5" s="29"/>
      <c r="EO5" s="29"/>
      <c r="EP5" s="208">
        <v>-60592.04</v>
      </c>
      <c r="EQ5" s="29"/>
      <c r="ER5" s="29"/>
      <c r="ES5" s="211">
        <v>-696083.55703392881</v>
      </c>
      <c r="ET5" s="29"/>
      <c r="EU5" s="29"/>
      <c r="EV5" s="29"/>
      <c r="EW5" s="29"/>
      <c r="EX5" s="29"/>
      <c r="EY5" s="29"/>
      <c r="EZ5" s="29"/>
      <c r="FA5" s="29"/>
      <c r="FB5" s="29"/>
      <c r="FC5" s="29"/>
      <c r="FD5" s="208">
        <v>-558.33848963666242</v>
      </c>
      <c r="FE5" s="229"/>
      <c r="FI5" s="295" t="s">
        <v>0</v>
      </c>
      <c r="FJ5" s="5"/>
      <c r="FK5" s="29"/>
      <c r="FL5" s="29"/>
      <c r="FM5" s="29"/>
      <c r="FN5" s="29"/>
      <c r="FO5" s="153"/>
      <c r="FP5" s="29"/>
      <c r="FQ5" s="4" t="s">
        <v>130</v>
      </c>
      <c r="FR5" s="4" t="s">
        <v>89</v>
      </c>
    </row>
    <row r="6" spans="1:175" s="4" customFormat="1" ht="15" customHeight="1" outlineLevel="1" thickBot="1" x14ac:dyDescent="0.3">
      <c r="A6" s="292" t="s">
        <v>20</v>
      </c>
      <c r="B6" s="15"/>
      <c r="C6" s="7"/>
      <c r="D6" s="7"/>
      <c r="E6" s="7"/>
      <c r="F6" s="7"/>
      <c r="G6" s="7"/>
      <c r="H6" s="7"/>
      <c r="I6" s="7"/>
      <c r="J6" s="7"/>
      <c r="M6" s="150"/>
      <c r="N6" s="150"/>
      <c r="O6" s="1"/>
      <c r="P6"/>
      <c r="Q6" s="29"/>
      <c r="R6" s="29"/>
      <c r="S6" s="29"/>
      <c r="T6" s="29"/>
      <c r="U6" s="29"/>
      <c r="V6" s="29"/>
      <c r="W6" s="29"/>
      <c r="X6" s="29"/>
      <c r="Y6" s="29"/>
      <c r="Z6" s="29"/>
      <c r="AA6" s="29"/>
      <c r="AB6" s="157"/>
      <c r="AC6" s="295"/>
      <c r="AD6" s="5" t="s">
        <v>9</v>
      </c>
      <c r="AE6" s="118">
        <v>3252815.75</v>
      </c>
      <c r="AF6" s="118">
        <v>1422986.87</v>
      </c>
      <c r="AG6" s="118">
        <v>2645551.35</v>
      </c>
      <c r="AH6" s="118">
        <v>3088690.25</v>
      </c>
      <c r="AI6" s="118">
        <v>3806682.5</v>
      </c>
      <c r="AJ6" s="21">
        <v>5667444.0099999998</v>
      </c>
      <c r="AK6" s="126">
        <v>4672438.71</v>
      </c>
      <c r="AL6" s="22">
        <v>4693766.1500000032</v>
      </c>
      <c r="AM6" s="118">
        <v>7981786.4500000002</v>
      </c>
      <c r="AN6" s="126">
        <v>14291134.550000001</v>
      </c>
      <c r="AO6" s="126">
        <v>2300283.0099999998</v>
      </c>
      <c r="AP6" s="118">
        <v>3259237</v>
      </c>
      <c r="AQ6" s="21">
        <v>4668387.1399999997</v>
      </c>
      <c r="AR6" s="118">
        <v>3350399.73</v>
      </c>
      <c r="AS6" s="118">
        <v>3508689.71</v>
      </c>
      <c r="AT6" s="21">
        <v>4570550.08</v>
      </c>
      <c r="AU6" s="118">
        <v>4337315.05</v>
      </c>
      <c r="AV6" s="118">
        <v>5131582.76</v>
      </c>
      <c r="AW6" s="118">
        <v>6881479.9699999997</v>
      </c>
      <c r="AX6" s="21">
        <v>5075926.8299999991</v>
      </c>
      <c r="AY6" s="21">
        <v>8226323.5899999999</v>
      </c>
      <c r="AZ6" s="21">
        <v>17050986.669999998</v>
      </c>
      <c r="BA6" s="21">
        <v>3390691.4000000004</v>
      </c>
      <c r="BB6" s="21">
        <v>3040542.4899999993</v>
      </c>
      <c r="BC6" s="21">
        <v>6776151.4500000002</v>
      </c>
      <c r="BF6" s="150"/>
      <c r="BG6" s="194" t="s">
        <v>44</v>
      </c>
      <c r="BH6" s="195">
        <v>55359.71</v>
      </c>
      <c r="BI6" s="195">
        <v>5108</v>
      </c>
      <c r="BJ6" s="195">
        <v>60467.71</v>
      </c>
      <c r="BK6" s="55" t="s">
        <v>42</v>
      </c>
      <c r="BL6" s="198"/>
      <c r="BM6" s="197"/>
      <c r="BN6" s="197"/>
      <c r="BO6" s="197"/>
      <c r="BP6" s="197"/>
      <c r="BQ6" s="197"/>
      <c r="BR6" s="197"/>
      <c r="BS6" s="197"/>
      <c r="BT6" s="197"/>
      <c r="BY6" s="150"/>
      <c r="BZ6" s="292"/>
      <c r="CA6" s="16" t="s">
        <v>26</v>
      </c>
      <c r="CB6" s="215">
        <v>2313567.6800000002</v>
      </c>
      <c r="CC6" s="215">
        <v>2791286.27</v>
      </c>
      <c r="CD6" s="215">
        <v>3345196.33</v>
      </c>
      <c r="CE6" s="215">
        <v>2693584.13</v>
      </c>
      <c r="CF6" s="215">
        <v>1313029.4300000002</v>
      </c>
      <c r="CG6" s="215">
        <v>1059088.8899999999</v>
      </c>
      <c r="CH6" s="215">
        <v>1067990.67</v>
      </c>
      <c r="CK6" s="292"/>
      <c r="CL6" s="16" t="s">
        <v>26</v>
      </c>
      <c r="CM6" s="215">
        <v>2313567.6799999997</v>
      </c>
      <c r="CN6" s="215">
        <v>2791286.27</v>
      </c>
      <c r="CO6" s="215">
        <v>3345196.33</v>
      </c>
      <c r="CP6" s="215">
        <v>2693584.13</v>
      </c>
      <c r="CQ6" s="215">
        <v>1313029.43</v>
      </c>
      <c r="CR6" s="215">
        <v>1059088.8899999999</v>
      </c>
      <c r="CS6" s="215">
        <v>1067990.67</v>
      </c>
      <c r="CW6" s="150"/>
      <c r="CX6" s="295"/>
      <c r="CY6" s="5" t="s">
        <v>9</v>
      </c>
      <c r="CZ6" s="21">
        <v>17050986.669999998</v>
      </c>
      <c r="DA6" s="21">
        <v>3390691.4000000004</v>
      </c>
      <c r="DB6" s="21">
        <v>3040542.4899999993</v>
      </c>
      <c r="DC6" s="21">
        <v>6776151.4500000002</v>
      </c>
      <c r="DD6" s="169">
        <v>3593096.5983472401</v>
      </c>
      <c r="DE6" s="169">
        <v>3249816.752362628</v>
      </c>
      <c r="DF6" s="180">
        <v>6101138.4180074409</v>
      </c>
      <c r="DG6" s="180">
        <v>5074049.6564757768</v>
      </c>
      <c r="DH6" s="169">
        <v>6150752.0389186945</v>
      </c>
      <c r="DI6" s="169">
        <v>4538886.177325543</v>
      </c>
      <c r="DJ6" s="169">
        <v>5908069.5179605344</v>
      </c>
      <c r="DK6" s="169">
        <v>11097280.277224224</v>
      </c>
      <c r="DL6" s="169">
        <v>21856497.240487527</v>
      </c>
      <c r="DM6" s="169">
        <v>-1206005.0706461675</v>
      </c>
      <c r="DN6" s="169">
        <v>3292003.067914797</v>
      </c>
      <c r="DO6" s="180">
        <v>3848947.3665742185</v>
      </c>
      <c r="DP6" s="180">
        <v>4452149.213101591</v>
      </c>
      <c r="DQ6" s="180">
        <v>3309739.301438381</v>
      </c>
      <c r="DR6" s="180">
        <v>6747915.2307812814</v>
      </c>
      <c r="DS6" s="180">
        <v>3534427.1880222401</v>
      </c>
      <c r="DT6" s="180">
        <v>5677135.2112908112</v>
      </c>
      <c r="DU6" s="180">
        <v>6241030.1127156857</v>
      </c>
      <c r="DV6" s="180">
        <v>4203952.8957806081</v>
      </c>
      <c r="DW6" s="180">
        <v>6030542.0242398335</v>
      </c>
      <c r="DX6" s="180">
        <v>20772311.523251541</v>
      </c>
      <c r="DY6" s="209"/>
      <c r="DZ6" s="209"/>
      <c r="EA6" s="150"/>
      <c r="EB6" s="295"/>
      <c r="EC6" s="5" t="s">
        <v>9</v>
      </c>
      <c r="ED6" s="236">
        <f>8226323.59-600</f>
        <v>8225723.5899999999</v>
      </c>
      <c r="EE6" s="236">
        <f>17050986.67-700</f>
        <v>17050286.670000002</v>
      </c>
      <c r="EF6" s="236">
        <f>3390691.4-200</f>
        <v>3390491.4</v>
      </c>
      <c r="EG6" s="234">
        <v>3040542.4899999993</v>
      </c>
      <c r="EH6" s="21">
        <v>6776151.4500000002</v>
      </c>
      <c r="EI6" s="169">
        <v>3593096.5983472401</v>
      </c>
      <c r="EJ6" s="242">
        <v>3249816.752362628</v>
      </c>
      <c r="EK6" s="236">
        <f>6101138.41800744-50</f>
        <v>6101088.4180074399</v>
      </c>
      <c r="EL6" s="243">
        <v>5074049.6564757768</v>
      </c>
      <c r="EM6" s="169">
        <v>6150752.0389186945</v>
      </c>
      <c r="EN6" s="169">
        <v>4538886.177325543</v>
      </c>
      <c r="EO6" s="242">
        <v>5908069.5179605344</v>
      </c>
      <c r="EP6" s="236">
        <f>11097280.2772242-34998.7</f>
        <v>11062281.577224201</v>
      </c>
      <c r="EQ6" s="246">
        <v>21856497.240487527</v>
      </c>
      <c r="ER6" s="236">
        <f>-1206005.07064617-50+562.24</f>
        <v>-1205492.8306461701</v>
      </c>
      <c r="ES6" s="245">
        <v>3292003.067914797</v>
      </c>
      <c r="ET6" s="180">
        <v>3848947.3665742185</v>
      </c>
      <c r="EU6" s="180">
        <v>4452149.213101591</v>
      </c>
      <c r="EV6" s="180">
        <v>3309739.301438381</v>
      </c>
      <c r="EW6" s="180">
        <v>6747915.2307812814</v>
      </c>
      <c r="EX6" s="180">
        <v>3534427.1880222401</v>
      </c>
      <c r="EY6" s="244">
        <v>5677135.2112908112</v>
      </c>
      <c r="EZ6" s="236">
        <f>6241030.11271569-50</f>
        <v>6240980.1127156904</v>
      </c>
      <c r="FA6" s="243">
        <v>4203952.8957806081</v>
      </c>
      <c r="FB6" s="180">
        <v>6030542.0242398335</v>
      </c>
      <c r="FC6" s="180">
        <v>20772311.523251541</v>
      </c>
      <c r="FD6" s="244">
        <v>2818085.4973094049</v>
      </c>
      <c r="FE6" s="236">
        <f>4550893.02178579+1650+34998.7-562.24</f>
        <v>4586979.4817857901</v>
      </c>
      <c r="FH6" s="150"/>
      <c r="FI6" s="295"/>
      <c r="FJ6" s="5" t="s">
        <v>9</v>
      </c>
      <c r="FK6" s="169">
        <v>3635955.4282210199</v>
      </c>
      <c r="FL6" s="169">
        <v>5940478.5337780621</v>
      </c>
      <c r="FM6" s="169">
        <v>4864955.095925808</v>
      </c>
      <c r="FN6" s="250">
        <v>6176070.0560897402</v>
      </c>
      <c r="FO6" s="250">
        <v>4736206.0668771267</v>
      </c>
      <c r="FP6" s="250">
        <v>4816670.9585450059</v>
      </c>
      <c r="FQ6" s="209">
        <f>SUM('MEEIA 3 calcs'!BF6:BH6)</f>
        <v>15728605.894832086</v>
      </c>
      <c r="FR6" s="207">
        <f>SUM(FN6:FP6)-FQ6</f>
        <v>341.18667978793383</v>
      </c>
      <c r="FS6" s="4" t="s">
        <v>138</v>
      </c>
    </row>
    <row r="7" spans="1:175" s="2" customFormat="1" ht="15" customHeight="1" outlineLevel="1" thickBot="1" x14ac:dyDescent="0.3">
      <c r="A7" s="292"/>
      <c r="B7" s="15" t="s">
        <v>28</v>
      </c>
      <c r="C7" s="20">
        <f>C87</f>
        <v>0</v>
      </c>
      <c r="D7" s="20">
        <f t="shared" ref="D7:J7" si="0">D87</f>
        <v>3542.7066619947968</v>
      </c>
      <c r="E7" s="20">
        <f t="shared" si="0"/>
        <v>26593.748856903429</v>
      </c>
      <c r="F7" s="20">
        <f t="shared" si="0"/>
        <v>243363.92907678595</v>
      </c>
      <c r="G7" s="20">
        <f t="shared" si="0"/>
        <v>441129.8099540461</v>
      </c>
      <c r="H7" s="20">
        <f t="shared" si="0"/>
        <v>538094.32023088727</v>
      </c>
      <c r="I7" s="20">
        <f t="shared" si="0"/>
        <v>374963.26089269412</v>
      </c>
      <c r="J7" s="20">
        <f t="shared" si="0"/>
        <v>137835.66546242539</v>
      </c>
      <c r="M7" s="151"/>
      <c r="N7" s="151"/>
      <c r="O7" s="145" t="s">
        <v>0</v>
      </c>
      <c r="P7" s="138"/>
      <c r="Q7" s="29"/>
      <c r="R7" s="29"/>
      <c r="S7" s="29"/>
      <c r="T7" s="29"/>
      <c r="U7" s="29"/>
      <c r="V7" s="29"/>
      <c r="W7" s="29"/>
      <c r="X7" s="29"/>
      <c r="Y7" s="29"/>
      <c r="Z7" s="124"/>
      <c r="AA7" s="29"/>
      <c r="AB7" s="157"/>
      <c r="AC7" s="295"/>
      <c r="AD7" s="5" t="s">
        <v>10</v>
      </c>
      <c r="AE7" s="22">
        <v>0</v>
      </c>
      <c r="AF7" s="22">
        <v>0</v>
      </c>
      <c r="AG7" s="22">
        <v>453008.63</v>
      </c>
      <c r="AH7" s="22">
        <v>6131398.7699999996</v>
      </c>
      <c r="AI7" s="22">
        <v>7440020.2300000004</v>
      </c>
      <c r="AJ7" s="22">
        <v>7787637.1200000001</v>
      </c>
      <c r="AK7" s="21">
        <v>7415530.5499999998</v>
      </c>
      <c r="AL7" s="22">
        <v>6393806.0300000003</v>
      </c>
      <c r="AM7" s="22">
        <v>5729648.6699999999</v>
      </c>
      <c r="AN7" s="21">
        <v>7016994.2000000002</v>
      </c>
      <c r="AO7" s="22">
        <v>7580344.1500000004</v>
      </c>
      <c r="AP7" s="22">
        <v>6780583.4199999999</v>
      </c>
      <c r="AQ7" s="22">
        <v>5258818.8899999997</v>
      </c>
      <c r="AR7" s="22">
        <v>4379338.6900000004</v>
      </c>
      <c r="AS7" s="22">
        <v>4010923.17</v>
      </c>
      <c r="AT7" s="22">
        <v>4897738.25</v>
      </c>
      <c r="AU7" s="22">
        <v>6248757.4000000004</v>
      </c>
      <c r="AV7" s="22">
        <v>6053644.0300000003</v>
      </c>
      <c r="AW7" s="22">
        <v>5708518.8099999996</v>
      </c>
      <c r="AX7" s="22">
        <v>4362797.6900000004</v>
      </c>
      <c r="AY7" s="22">
        <v>4453895.6900000004</v>
      </c>
      <c r="AZ7" s="22">
        <v>5320333.05</v>
      </c>
      <c r="BA7" s="22">
        <v>6316759.2699999996</v>
      </c>
      <c r="BB7" s="22">
        <v>7583892.4100000001</v>
      </c>
      <c r="BC7" s="22">
        <v>7418563.8899999997</v>
      </c>
      <c r="BF7" s="151"/>
      <c r="BG7"/>
      <c r="BH7"/>
      <c r="BI7"/>
      <c r="BJ7"/>
      <c r="BK7"/>
      <c r="BL7" s="198"/>
      <c r="BM7" s="197"/>
      <c r="BN7" s="197"/>
      <c r="BO7" s="197"/>
      <c r="BP7" s="197"/>
      <c r="BQ7" s="197"/>
      <c r="BR7" s="197"/>
      <c r="BS7" s="197"/>
      <c r="BT7" s="197"/>
      <c r="BY7" s="151"/>
      <c r="BZ7" s="292"/>
      <c r="CA7" s="16" t="s">
        <v>51</v>
      </c>
      <c r="CB7" s="215">
        <v>-281268.86</v>
      </c>
      <c r="CC7" s="215">
        <v>-341119.99</v>
      </c>
      <c r="CD7" s="215">
        <v>-424246.17</v>
      </c>
      <c r="CE7" s="215">
        <v>-37488.600000000006</v>
      </c>
      <c r="CF7" s="215">
        <v>-16454.500000000015</v>
      </c>
      <c r="CG7" s="215">
        <v>-60641.26999999999</v>
      </c>
      <c r="CH7" s="215">
        <v>8124.2599999999948</v>
      </c>
      <c r="CK7" s="292"/>
      <c r="CL7" s="16" t="s">
        <v>51</v>
      </c>
      <c r="CM7" s="215">
        <v>-281268.86</v>
      </c>
      <c r="CN7" s="215">
        <v>-341119.99</v>
      </c>
      <c r="CO7" s="215">
        <v>-424246.17</v>
      </c>
      <c r="CP7" s="215">
        <v>-37488.600000000006</v>
      </c>
      <c r="CQ7" s="215">
        <v>-16454.500000000015</v>
      </c>
      <c r="CR7" s="215">
        <v>-60641.26999999999</v>
      </c>
      <c r="CS7" s="215">
        <v>8124.2599999999948</v>
      </c>
      <c r="CW7" s="151"/>
      <c r="CX7" s="295"/>
      <c r="CY7" s="5" t="s">
        <v>10</v>
      </c>
      <c r="CZ7" s="22">
        <v>5320333.05</v>
      </c>
      <c r="DA7" s="22">
        <v>6316759.2699999996</v>
      </c>
      <c r="DB7" s="22">
        <v>7583892.4100000001</v>
      </c>
      <c r="DC7" s="22">
        <v>7418563.8899999997</v>
      </c>
      <c r="DD7" s="22">
        <v>5953301.3499999996</v>
      </c>
      <c r="DE7" s="22">
        <v>5846801.6900000004</v>
      </c>
      <c r="DF7" s="22">
        <v>6866409.0999999996</v>
      </c>
      <c r="DG7" s="22">
        <v>8666483.5800000001</v>
      </c>
      <c r="DH7" s="22">
        <v>8626819.1899999995</v>
      </c>
      <c r="DI7" s="22">
        <v>8648916.9199999999</v>
      </c>
      <c r="DJ7" s="22">
        <v>6801979.5499999998</v>
      </c>
      <c r="DK7" s="22">
        <v>6087767.6399999997</v>
      </c>
      <c r="DL7" s="22">
        <v>7335343.4299999997</v>
      </c>
      <c r="DM7" s="22">
        <v>8532489.0299999993</v>
      </c>
      <c r="DN7" s="22">
        <v>8009630.25</v>
      </c>
      <c r="DO7" s="22">
        <v>5791599.6900000004</v>
      </c>
      <c r="DP7" s="22">
        <v>4647344.92</v>
      </c>
      <c r="DQ7" s="22">
        <v>4780045.8499999996</v>
      </c>
      <c r="DR7" s="22">
        <v>5750871.1299999999</v>
      </c>
      <c r="DS7" s="22">
        <v>7180666.5599999996</v>
      </c>
      <c r="DT7" s="22">
        <v>6958397.0999999996</v>
      </c>
      <c r="DU7" s="22">
        <v>6191523.1299999999</v>
      </c>
      <c r="DV7" s="22">
        <v>4873657.1900000004</v>
      </c>
      <c r="DW7" s="22">
        <v>4698871.1399999997</v>
      </c>
      <c r="DX7" s="22">
        <v>6121032.0199999996</v>
      </c>
      <c r="DY7" s="222"/>
      <c r="DZ7" s="222"/>
      <c r="EA7" s="151"/>
      <c r="EB7" s="295"/>
      <c r="EC7" s="5" t="s">
        <v>10</v>
      </c>
      <c r="ED7" s="235">
        <v>4453895.6900000004</v>
      </c>
      <c r="EE7" s="235">
        <v>5320333.05</v>
      </c>
      <c r="EF7" s="235">
        <v>6316759.2699999996</v>
      </c>
      <c r="EG7" s="22">
        <v>7583892.4100000001</v>
      </c>
      <c r="EH7" s="22">
        <v>7418563.8899999997</v>
      </c>
      <c r="EI7" s="22">
        <v>5953301.3499999996</v>
      </c>
      <c r="EJ7" s="22">
        <v>5846801.6900000004</v>
      </c>
      <c r="EK7" s="235">
        <v>6866409.0999999996</v>
      </c>
      <c r="EL7" s="22">
        <v>8666483.5800000001</v>
      </c>
      <c r="EM7" s="22">
        <v>8626819.1899999995</v>
      </c>
      <c r="EN7" s="22">
        <v>8648916.9199999999</v>
      </c>
      <c r="EO7" s="22">
        <v>6801979.5499999998</v>
      </c>
      <c r="EP7" s="235">
        <v>6087767.6399999997</v>
      </c>
      <c r="EQ7" s="22">
        <v>7335343.4299999997</v>
      </c>
      <c r="ER7" s="235">
        <v>8532489.0299999993</v>
      </c>
      <c r="ES7" s="22">
        <v>8009630.25</v>
      </c>
      <c r="ET7" s="22">
        <v>5791599.6900000004</v>
      </c>
      <c r="EU7" s="22">
        <v>4647344.92</v>
      </c>
      <c r="EV7" s="22">
        <v>4780045.8499999996</v>
      </c>
      <c r="EW7" s="22">
        <v>5750871.1299999999</v>
      </c>
      <c r="EX7" s="22">
        <v>7180666.5599999996</v>
      </c>
      <c r="EY7" s="22">
        <v>6958397.0999999996</v>
      </c>
      <c r="EZ7" s="235">
        <v>6191523.1299999999</v>
      </c>
      <c r="FA7" s="22">
        <v>4873657.1900000004</v>
      </c>
      <c r="FB7" s="22">
        <v>4698871.1399999997</v>
      </c>
      <c r="FC7" s="22">
        <v>6121032.0199999996</v>
      </c>
      <c r="FD7" s="22">
        <v>6865628.9100000001</v>
      </c>
      <c r="FE7" s="235">
        <v>5890167.4000000004</v>
      </c>
      <c r="FH7" s="151"/>
      <c r="FI7" s="295"/>
      <c r="FJ7" s="5" t="s">
        <v>10</v>
      </c>
      <c r="FK7" s="22">
        <v>4647331.4400000004</v>
      </c>
      <c r="FL7" s="22">
        <v>4309653.22</v>
      </c>
      <c r="FM7" s="22">
        <v>5155063.0199999996</v>
      </c>
      <c r="FN7" s="22">
        <v>6058263.3600000003</v>
      </c>
      <c r="FO7" s="22">
        <v>6335389.6200000001</v>
      </c>
      <c r="FP7" s="22">
        <v>6078515.6699999999</v>
      </c>
    </row>
    <row r="8" spans="1:175" s="4" customFormat="1" ht="15" customHeight="1" outlineLevel="1" x14ac:dyDescent="0.25">
      <c r="A8" s="292"/>
      <c r="B8" s="16" t="s">
        <v>26</v>
      </c>
      <c r="C8" s="20">
        <f>IF('M3 Allocations - TD'!D51="","",'M3 Allocations - TD'!D69)</f>
        <v>0</v>
      </c>
      <c r="D8" s="20">
        <f>IF('M3 Allocations - TD'!E51="","",'M3 Allocations - TD'!E69)</f>
        <v>0</v>
      </c>
      <c r="E8" s="20">
        <f>IF('M3 Allocations - TD'!F51="","",'M3 Allocations - TD'!F69)</f>
        <v>28636.335868779192</v>
      </c>
      <c r="F8" s="20">
        <f>IF('M3 Allocations - TD'!G51="","",'M3 Allocations - TD'!G69)</f>
        <v>344669.92129031231</v>
      </c>
      <c r="G8" s="20">
        <f>IF('M3 Allocations - TD'!H51="","",'M3 Allocations - TD'!H69)</f>
        <v>437739.69493695599</v>
      </c>
      <c r="H8" s="20">
        <f>IF('M3 Allocations - TD'!I51="","",'M3 Allocations - TD'!I69)</f>
        <v>461093.89388914994</v>
      </c>
      <c r="I8" s="20">
        <f>IF('M3 Allocations - TD'!J51="","",'M3 Allocations - TD'!J69)</f>
        <v>425531.99443758972</v>
      </c>
      <c r="J8" s="20">
        <f>IF('M3 Allocations - TD'!K51="","",'M3 Allocations - TD'!K69)</f>
        <v>350101.97926152864</v>
      </c>
      <c r="M8" s="150"/>
      <c r="N8" s="150"/>
      <c r="O8" s="145"/>
      <c r="P8" s="138"/>
      <c r="Q8" s="133"/>
      <c r="R8" s="133"/>
      <c r="S8" s="133"/>
      <c r="T8" s="133"/>
      <c r="U8" s="133"/>
      <c r="V8" s="133"/>
      <c r="W8" s="124"/>
      <c r="X8" s="124"/>
      <c r="Y8" s="133"/>
      <c r="Z8" s="124"/>
      <c r="AA8" s="124"/>
      <c r="AB8" s="158"/>
      <c r="AC8" s="295"/>
      <c r="AD8" s="5" t="s">
        <v>11</v>
      </c>
      <c r="AE8" s="7">
        <v>3252815.75</v>
      </c>
      <c r="AF8" s="7">
        <v>1422986.87</v>
      </c>
      <c r="AG8" s="7">
        <v>2192542.7200000002</v>
      </c>
      <c r="AH8" s="8">
        <v>-3042708.5199999996</v>
      </c>
      <c r="AI8" s="8">
        <v>-3633337.7300000004</v>
      </c>
      <c r="AJ8" s="8">
        <v>-2120193.1100000003</v>
      </c>
      <c r="AK8" s="8">
        <v>-2743091.84</v>
      </c>
      <c r="AL8" s="8">
        <v>-1700039.8799999971</v>
      </c>
      <c r="AM8" s="8">
        <v>2252137.7800000003</v>
      </c>
      <c r="AN8" s="8">
        <v>7274140.3500000006</v>
      </c>
      <c r="AO8" s="8">
        <v>-5280061.1400000006</v>
      </c>
      <c r="AP8" s="8">
        <v>-3521346.42</v>
      </c>
      <c r="AQ8" s="8">
        <v>-590431.75</v>
      </c>
      <c r="AR8" s="8">
        <v>-1028938.9600000004</v>
      </c>
      <c r="AS8" s="8">
        <v>-502233.45999999996</v>
      </c>
      <c r="AT8" s="8">
        <v>-327188.16999999993</v>
      </c>
      <c r="AU8" s="8">
        <v>-1911442.3500000006</v>
      </c>
      <c r="AV8" s="8">
        <v>-922061.27000000048</v>
      </c>
      <c r="AW8" s="8">
        <v>1172961.1600000001</v>
      </c>
      <c r="AX8" s="8">
        <v>713129.13999999873</v>
      </c>
      <c r="AY8" s="8">
        <v>3772427.8999999994</v>
      </c>
      <c r="AZ8" s="8">
        <v>11730653.619999997</v>
      </c>
      <c r="BA8" s="8">
        <v>-2926067.8699999992</v>
      </c>
      <c r="BB8" s="8">
        <v>-4543349.9200000009</v>
      </c>
      <c r="BC8" s="8">
        <v>-642412.43999999948</v>
      </c>
      <c r="BF8" s="150"/>
      <c r="BG8" s="185" t="s">
        <v>108</v>
      </c>
      <c r="BH8" s="186" t="s">
        <v>109</v>
      </c>
      <c r="BI8" s="186" t="s">
        <v>110</v>
      </c>
      <c r="BJ8" s="187" t="s">
        <v>111</v>
      </c>
      <c r="BK8"/>
      <c r="BL8" s="198"/>
      <c r="BM8" s="197"/>
      <c r="BN8" s="197"/>
      <c r="BO8" s="197"/>
      <c r="BP8" s="197"/>
      <c r="BQ8" s="197"/>
      <c r="BR8" s="197"/>
      <c r="BS8" s="197"/>
      <c r="BT8" s="197"/>
      <c r="BY8" s="150"/>
      <c r="BZ8" s="292"/>
      <c r="CA8" s="16" t="s">
        <v>52</v>
      </c>
      <c r="CB8" s="215">
        <v>2032298.8200000003</v>
      </c>
      <c r="CC8" s="215">
        <v>2450166.2800000003</v>
      </c>
      <c r="CD8" s="215">
        <v>2920950.16</v>
      </c>
      <c r="CE8" s="215">
        <v>2656095.5300000003</v>
      </c>
      <c r="CF8" s="215">
        <v>1296574.93</v>
      </c>
      <c r="CG8" s="215">
        <v>998447.61999999988</v>
      </c>
      <c r="CH8" s="215">
        <v>1076114.93</v>
      </c>
      <c r="CK8" s="292"/>
      <c r="CL8" s="16" t="s">
        <v>52</v>
      </c>
      <c r="CM8" s="215">
        <v>2032298.82</v>
      </c>
      <c r="CN8" s="215">
        <v>2450166.2800000003</v>
      </c>
      <c r="CO8" s="215">
        <v>2920950.16</v>
      </c>
      <c r="CP8" s="215">
        <v>2656095.5300000003</v>
      </c>
      <c r="CQ8" s="215">
        <v>1296574.9300000002</v>
      </c>
      <c r="CR8" s="215">
        <v>998447.61999999988</v>
      </c>
      <c r="CS8" s="215">
        <v>1076114.93</v>
      </c>
      <c r="CW8" s="150"/>
      <c r="CX8" s="295"/>
      <c r="CY8" s="5" t="s">
        <v>11</v>
      </c>
      <c r="CZ8" s="8">
        <v>11730653.619999997</v>
      </c>
      <c r="DA8" s="8">
        <v>-2926067.8699999992</v>
      </c>
      <c r="DB8" s="8">
        <v>-4543349.9200000009</v>
      </c>
      <c r="DC8" s="8">
        <v>-642412.43999999948</v>
      </c>
      <c r="DD8" s="8">
        <v>-2360204.7516527595</v>
      </c>
      <c r="DE8" s="8">
        <v>-2596984.9376373724</v>
      </c>
      <c r="DF8" s="8">
        <v>-765270.68199255876</v>
      </c>
      <c r="DG8" s="8">
        <v>-3592433.9235242233</v>
      </c>
      <c r="DH8" s="8">
        <v>-2476067.151081305</v>
      </c>
      <c r="DI8" s="8">
        <v>-4110030.7426744569</v>
      </c>
      <c r="DJ8" s="8">
        <v>-893910.03203946538</v>
      </c>
      <c r="DK8" s="8">
        <v>5009512.6372242244</v>
      </c>
      <c r="DL8" s="8">
        <v>14521153.810487527</v>
      </c>
      <c r="DM8" s="8">
        <v>-9738494.1006461661</v>
      </c>
      <c r="DN8" s="8">
        <v>-4717627.182085203</v>
      </c>
      <c r="DO8" s="8">
        <v>-1942652.3234257819</v>
      </c>
      <c r="DP8" s="8">
        <v>-195195.70689840894</v>
      </c>
      <c r="DQ8" s="8">
        <v>-1470306.5485616187</v>
      </c>
      <c r="DR8" s="8">
        <v>997044.10078128148</v>
      </c>
      <c r="DS8" s="8">
        <v>-3646239.3719777595</v>
      </c>
      <c r="DT8" s="8">
        <v>-1281261.8887091884</v>
      </c>
      <c r="DU8" s="8">
        <v>49506.982715685852</v>
      </c>
      <c r="DV8" s="8">
        <v>-669704.29421939235</v>
      </c>
      <c r="DW8" s="8">
        <v>1331670.8842398338</v>
      </c>
      <c r="DX8" s="8">
        <v>14651279.503251541</v>
      </c>
      <c r="DY8" s="209"/>
      <c r="DZ8" s="209"/>
      <c r="EA8" s="150"/>
      <c r="EB8" s="295"/>
      <c r="EC8" s="5" t="s">
        <v>11</v>
      </c>
      <c r="ED8" s="8">
        <v>3771827.8999999994</v>
      </c>
      <c r="EE8" s="8">
        <v>11729953.620000001</v>
      </c>
      <c r="EF8" s="8">
        <v>-2926267.8699999996</v>
      </c>
      <c r="EG8" s="8">
        <v>-4543349.9200000009</v>
      </c>
      <c r="EH8" s="8">
        <v>-642412.43999999948</v>
      </c>
      <c r="EI8" s="8">
        <v>-2360204.7516527595</v>
      </c>
      <c r="EJ8" s="8">
        <v>-2596984.9376373724</v>
      </c>
      <c r="EK8" s="8">
        <v>-765320.68199255876</v>
      </c>
      <c r="EL8" s="8">
        <v>-3592433.9235242233</v>
      </c>
      <c r="EM8" s="8">
        <v>-2476067.151081305</v>
      </c>
      <c r="EN8" s="8">
        <v>-4110030.7426744569</v>
      </c>
      <c r="EO8" s="8">
        <v>-893910.03203946538</v>
      </c>
      <c r="EP8" s="8">
        <v>4974513.9372242251</v>
      </c>
      <c r="EQ8" s="8">
        <v>14521153.810487527</v>
      </c>
      <c r="ER8" s="8">
        <v>-9737981.8606461659</v>
      </c>
      <c r="ES8" s="8">
        <v>-4717627.182085203</v>
      </c>
      <c r="ET8" s="8">
        <v>-1942652.3234257819</v>
      </c>
      <c r="EU8" s="8">
        <v>-195195.70689840894</v>
      </c>
      <c r="EV8" s="8">
        <v>-1470306.5485616187</v>
      </c>
      <c r="EW8" s="8">
        <v>997044.10078128148</v>
      </c>
      <c r="EX8" s="8">
        <v>-3646239.3719777595</v>
      </c>
      <c r="EY8" s="8">
        <v>-1281261.8887091884</v>
      </c>
      <c r="EZ8" s="8">
        <v>49456.982715685852</v>
      </c>
      <c r="FA8" s="8">
        <v>-669704.29421939235</v>
      </c>
      <c r="FB8" s="8">
        <v>1331670.8842398338</v>
      </c>
      <c r="FC8" s="8">
        <v>14651279.503251541</v>
      </c>
      <c r="FD8" s="8">
        <v>-4047543.4126905953</v>
      </c>
      <c r="FE8" s="8">
        <v>-1303187.9182142103</v>
      </c>
      <c r="FH8" s="150"/>
      <c r="FI8" s="295"/>
      <c r="FJ8" s="5" t="s">
        <v>11</v>
      </c>
      <c r="FK8" s="8">
        <v>-1011376.0117789805</v>
      </c>
      <c r="FL8" s="8">
        <v>1630825.3137780624</v>
      </c>
      <c r="FM8" s="8">
        <v>-290107.9240741916</v>
      </c>
      <c r="FN8" s="8">
        <v>117806.69608973991</v>
      </c>
      <c r="FO8" s="8">
        <v>-1599183.5531228734</v>
      </c>
      <c r="FP8" s="8">
        <v>-1261844.711454994</v>
      </c>
    </row>
    <row r="9" spans="1:175" s="4" customFormat="1" ht="15" customHeight="1" outlineLevel="1" thickBot="1" x14ac:dyDescent="0.3">
      <c r="A9" s="292"/>
      <c r="B9" s="16" t="s">
        <v>51</v>
      </c>
      <c r="C9" s="20">
        <f>IF(C8="","",0)</f>
        <v>0</v>
      </c>
      <c r="D9" s="20">
        <f t="shared" ref="D9:J9" si="1">IF(D8="","",0)</f>
        <v>0</v>
      </c>
      <c r="E9" s="20">
        <f t="shared" si="1"/>
        <v>0</v>
      </c>
      <c r="F9" s="20">
        <f t="shared" si="1"/>
        <v>0</v>
      </c>
      <c r="G9" s="20">
        <f t="shared" si="1"/>
        <v>0</v>
      </c>
      <c r="H9" s="20">
        <f t="shared" si="1"/>
        <v>0</v>
      </c>
      <c r="I9" s="20">
        <f t="shared" si="1"/>
        <v>0</v>
      </c>
      <c r="J9" s="20">
        <f t="shared" si="1"/>
        <v>0</v>
      </c>
      <c r="M9" s="150"/>
      <c r="N9" s="150"/>
      <c r="O9" s="145"/>
      <c r="P9" s="138"/>
      <c r="Q9" s="124"/>
      <c r="R9" s="124"/>
      <c r="S9" s="124"/>
      <c r="T9" s="124"/>
      <c r="U9" s="124"/>
      <c r="V9" s="124"/>
      <c r="W9" s="133"/>
      <c r="X9" s="124"/>
      <c r="Y9" s="124"/>
      <c r="Z9" s="133"/>
      <c r="AA9" s="124"/>
      <c r="AB9" s="159"/>
      <c r="AC9" s="295"/>
      <c r="AD9" s="5" t="s">
        <v>4</v>
      </c>
      <c r="AE9" s="23">
        <v>2.7878150000000001E-2</v>
      </c>
      <c r="AF9" s="23">
        <v>2.6622739999999999E-2</v>
      </c>
      <c r="AG9" s="23">
        <v>2.677361E-2</v>
      </c>
      <c r="AH9" s="23">
        <v>2.6500570000000001E-2</v>
      </c>
      <c r="AI9" s="23">
        <v>2.594869E-2</v>
      </c>
      <c r="AJ9" s="23">
        <v>2.3511899999999999E-2</v>
      </c>
      <c r="AK9" s="23">
        <v>2.21687E-2</v>
      </c>
      <c r="AL9" s="23">
        <v>2.113932E-2</v>
      </c>
      <c r="AM9" s="23">
        <v>1.8159890000000001E-2</v>
      </c>
      <c r="AN9" s="23">
        <v>1.9151990000000001E-2</v>
      </c>
      <c r="AO9" s="23">
        <v>1.8890779999999999E-2</v>
      </c>
      <c r="AP9" s="23">
        <v>1.8035829999999999E-2</v>
      </c>
      <c r="AQ9" s="23">
        <v>1.888592E-2</v>
      </c>
      <c r="AR9" s="23">
        <v>9.3845999999999999E-3</v>
      </c>
      <c r="AS9" s="23">
        <v>1.2906700000000001E-3</v>
      </c>
      <c r="AT9" s="23">
        <v>1.2563100000000001E-3</v>
      </c>
      <c r="AU9" s="23">
        <v>1.9366299999999999E-3</v>
      </c>
      <c r="AV9" s="23">
        <v>1.3658500000000001E-3</v>
      </c>
      <c r="AW9" s="23">
        <v>1.23916E-3</v>
      </c>
      <c r="AX9" s="23">
        <v>2E-3</v>
      </c>
      <c r="AY9" s="23">
        <v>2.5244400000000002E-3</v>
      </c>
      <c r="AZ9" s="23">
        <v>2.8469900000000002E-3</v>
      </c>
      <c r="BA9" s="23">
        <v>2.0613900000000002E-3</v>
      </c>
      <c r="BB9" s="23">
        <v>2.3221700000000001E-3</v>
      </c>
      <c r="BC9" s="23">
        <v>2.1367399999999998E-3</v>
      </c>
      <c r="BF9" s="150"/>
      <c r="BG9" s="188" t="s">
        <v>41</v>
      </c>
      <c r="BH9" s="189">
        <v>-60467.71</v>
      </c>
      <c r="BI9" s="190">
        <v>1</v>
      </c>
      <c r="BJ9" s="191">
        <v>-124.32999999999993</v>
      </c>
      <c r="BK9"/>
      <c r="BL9" s="198"/>
      <c r="BM9" s="197"/>
      <c r="BN9" s="197"/>
      <c r="BO9" s="197"/>
      <c r="BP9" s="197"/>
      <c r="BQ9" s="197"/>
      <c r="BR9" s="197"/>
      <c r="BS9" s="197"/>
      <c r="BT9" s="197"/>
      <c r="BY9" s="150"/>
      <c r="BZ9" s="292"/>
      <c r="CA9" s="16" t="s">
        <v>13</v>
      </c>
      <c r="CB9" s="215">
        <v>-338958.66069875972</v>
      </c>
      <c r="CC9" s="215">
        <v>-406331.76494770299</v>
      </c>
      <c r="CD9" s="215">
        <v>-374056.09149891004</v>
      </c>
      <c r="CE9" s="215">
        <v>-566479.05339839845</v>
      </c>
      <c r="CF9" s="215">
        <v>-384327.07923458319</v>
      </c>
      <c r="CG9" s="215">
        <v>-152113.4028808627</v>
      </c>
      <c r="CH9" s="215">
        <v>-9477.251794636868</v>
      </c>
      <c r="CK9" s="292"/>
      <c r="CL9" s="16" t="s">
        <v>13</v>
      </c>
      <c r="CM9" s="215">
        <v>-338958.6606987596</v>
      </c>
      <c r="CN9" s="215">
        <v>-406331.76494770328</v>
      </c>
      <c r="CO9" s="215">
        <v>-374056.09149890981</v>
      </c>
      <c r="CP9" s="215">
        <v>-566479.05339839868</v>
      </c>
      <c r="CQ9" s="215">
        <v>-384327.07923458319</v>
      </c>
      <c r="CR9" s="215">
        <v>-152113.40288086259</v>
      </c>
      <c r="CS9" s="215">
        <v>-9477.2517946368826</v>
      </c>
      <c r="CW9" s="150"/>
      <c r="CX9" s="295"/>
      <c r="CY9" s="5" t="s">
        <v>4</v>
      </c>
      <c r="CZ9" s="221">
        <v>2E-3</v>
      </c>
      <c r="DA9" s="23">
        <v>2.0613900000000002E-3</v>
      </c>
      <c r="DB9" s="23">
        <v>2.3221700000000001E-3</v>
      </c>
      <c r="DC9" s="23">
        <v>2.1367399999999998E-3</v>
      </c>
      <c r="DD9" s="23">
        <v>2.2512299999999999E-3</v>
      </c>
      <c r="DE9" s="23">
        <v>2.2427200000000001E-3</v>
      </c>
      <c r="DF9" s="23">
        <v>2.01659E-3</v>
      </c>
      <c r="DG9" s="23">
        <v>1.3954900000000001E-3</v>
      </c>
      <c r="DH9" s="23">
        <v>2.0509899999999999E-3</v>
      </c>
      <c r="DI9" s="23">
        <v>1.9323299999999999E-3</v>
      </c>
      <c r="DJ9" s="23">
        <v>1.5E-3</v>
      </c>
      <c r="DK9" s="23">
        <v>1.5320900000000001E-3</v>
      </c>
      <c r="DL9" s="23">
        <v>2.6046400000000001E-3</v>
      </c>
      <c r="DM9" s="23">
        <v>2.3444999999999998E-3</v>
      </c>
      <c r="DN9" s="23">
        <v>2.9584899999999998E-3</v>
      </c>
      <c r="DO9" s="23">
        <v>6.8829599999999996E-3</v>
      </c>
      <c r="DP9" s="23">
        <v>6.0041599999999997E-3</v>
      </c>
      <c r="DQ9" s="23">
        <v>9.4970499999999999E-3</v>
      </c>
      <c r="DR9" s="23">
        <v>1.4858659999999999E-2</v>
      </c>
      <c r="DS9" s="23">
        <v>2.0566899999999999E-2</v>
      </c>
      <c r="DT9" s="23">
        <v>2.564054E-2</v>
      </c>
      <c r="DU9" s="23">
        <v>2.8416960000000002E-2</v>
      </c>
      <c r="DV9" s="23">
        <v>3.4701200000000001E-2</v>
      </c>
      <c r="DW9" s="23">
        <v>4.286098E-2</v>
      </c>
      <c r="DX9" s="23">
        <v>4.617603E-2</v>
      </c>
      <c r="DY9" s="209"/>
      <c r="DZ9" s="209"/>
      <c r="EA9" s="150"/>
      <c r="EB9" s="295"/>
      <c r="EC9" s="5" t="s">
        <v>4</v>
      </c>
      <c r="ED9" s="23">
        <v>2.5244400000000002E-3</v>
      </c>
      <c r="EE9" s="23">
        <v>2.8469900000000002E-3</v>
      </c>
      <c r="EF9" s="23">
        <v>2.0613900000000002E-3</v>
      </c>
      <c r="EG9" s="23">
        <v>2.3221700000000001E-3</v>
      </c>
      <c r="EH9" s="23">
        <v>2.1367399999999998E-3</v>
      </c>
      <c r="EI9" s="23">
        <v>2.2512299999999999E-3</v>
      </c>
      <c r="EJ9" s="23">
        <v>2.2427200000000001E-3</v>
      </c>
      <c r="EK9" s="23">
        <v>2.01659E-3</v>
      </c>
      <c r="EL9" s="23">
        <v>1.3954900000000001E-3</v>
      </c>
      <c r="EM9" s="23">
        <v>2.0509899999999999E-3</v>
      </c>
      <c r="EN9" s="23">
        <v>1.9323299999999999E-3</v>
      </c>
      <c r="EO9" s="23">
        <v>1.5E-3</v>
      </c>
      <c r="EP9" s="23">
        <v>1.5320900000000001E-3</v>
      </c>
      <c r="EQ9" s="23">
        <v>2.6046400000000001E-3</v>
      </c>
      <c r="ER9" s="23">
        <v>2.3444999999999998E-3</v>
      </c>
      <c r="ES9" s="23">
        <v>2.9584899999999998E-3</v>
      </c>
      <c r="ET9" s="23">
        <v>6.8829599999999996E-3</v>
      </c>
      <c r="EU9" s="23">
        <v>6.0041599999999997E-3</v>
      </c>
      <c r="EV9" s="23">
        <v>9.4970499999999999E-3</v>
      </c>
      <c r="EW9" s="23">
        <v>1.4858659999999999E-2</v>
      </c>
      <c r="EX9" s="23">
        <v>2.0566899999999999E-2</v>
      </c>
      <c r="EY9" s="23">
        <v>2.564054E-2</v>
      </c>
      <c r="EZ9" s="23">
        <v>2.8416960000000002E-2</v>
      </c>
      <c r="FA9" s="23">
        <v>3.4701200000000001E-2</v>
      </c>
      <c r="FB9" s="23">
        <v>4.286098E-2</v>
      </c>
      <c r="FC9" s="23">
        <v>4.617603E-2</v>
      </c>
      <c r="FD9" s="23">
        <v>4.7842519999999999E-2</v>
      </c>
      <c r="FE9" s="23">
        <v>4.847945E-2</v>
      </c>
      <c r="FH9" s="150"/>
      <c r="FI9" s="295"/>
      <c r="FJ9" s="5" t="s">
        <v>4</v>
      </c>
      <c r="FK9" s="23">
        <v>5.2487209999999999E-2</v>
      </c>
      <c r="FL9" s="23">
        <v>5.3267839534246943E-2</v>
      </c>
      <c r="FM9" s="23">
        <v>5.3948219999999998E-2</v>
      </c>
      <c r="FN9" s="23">
        <v>5.4426639999999998E-2</v>
      </c>
      <c r="FO9" s="23">
        <v>5.5204789999999997E-2</v>
      </c>
      <c r="FP9" s="23">
        <v>5.5351270000000001E-2</v>
      </c>
    </row>
    <row r="10" spans="1:175" s="4" customFormat="1" ht="15" customHeight="1" outlineLevel="1" x14ac:dyDescent="0.25">
      <c r="A10" s="292"/>
      <c r="B10" s="16" t="s">
        <v>52</v>
      </c>
      <c r="C10" s="7">
        <f>IF(OR(C9="",C8=""),"",C8+C9)</f>
        <v>0</v>
      </c>
      <c r="D10" s="7">
        <f t="shared" ref="D10:I10" si="2">IF(OR(D9="",D8=""),"",D8+D9)</f>
        <v>0</v>
      </c>
      <c r="E10" s="7">
        <f t="shared" si="2"/>
        <v>28636.335868779192</v>
      </c>
      <c r="F10" s="7">
        <f t="shared" si="2"/>
        <v>344669.92129031231</v>
      </c>
      <c r="G10" s="7">
        <f t="shared" si="2"/>
        <v>437739.69493695599</v>
      </c>
      <c r="H10" s="7">
        <f t="shared" si="2"/>
        <v>461093.89388914994</v>
      </c>
      <c r="I10" s="7">
        <f t="shared" si="2"/>
        <v>425531.99443758972</v>
      </c>
      <c r="J10" s="7">
        <f>IF(OR(J9="",J8=""),"",J8+J9)</f>
        <v>350101.97926152864</v>
      </c>
      <c r="M10" s="150"/>
      <c r="N10" s="150"/>
      <c r="O10" s="145"/>
      <c r="P10" s="138"/>
      <c r="Q10" s="124"/>
      <c r="R10" s="124"/>
      <c r="S10" s="124"/>
      <c r="T10" s="124"/>
      <c r="U10" s="124"/>
      <c r="V10" s="124"/>
      <c r="W10" s="124"/>
      <c r="X10" s="124"/>
      <c r="Y10" s="124"/>
      <c r="Z10" s="124"/>
      <c r="AA10" s="124"/>
      <c r="AB10" s="159"/>
      <c r="AC10" s="295"/>
      <c r="AD10" s="5" t="s">
        <v>5</v>
      </c>
      <c r="AE10" s="8">
        <v>9649.86</v>
      </c>
      <c r="AF10" s="8">
        <v>12393.7</v>
      </c>
      <c r="AG10" s="8">
        <v>17383.439999999999</v>
      </c>
      <c r="AH10" s="8">
        <v>10525.09</v>
      </c>
      <c r="AI10" s="8">
        <v>2471.9699999999998</v>
      </c>
      <c r="AJ10" s="8">
        <v>-1909.47</v>
      </c>
      <c r="AK10" s="8">
        <v>-6871.48</v>
      </c>
      <c r="AL10" s="8">
        <v>-9559.32</v>
      </c>
      <c r="AM10" s="8">
        <v>-4818.26</v>
      </c>
      <c r="AN10" s="8">
        <v>6520.35</v>
      </c>
      <c r="AO10" s="8">
        <v>-1870.36</v>
      </c>
      <c r="AP10" s="8">
        <v>-7081.06</v>
      </c>
      <c r="AQ10" s="8">
        <v>-8355.19</v>
      </c>
      <c r="AR10" s="8">
        <v>-4962.99</v>
      </c>
      <c r="AS10" s="8">
        <v>-737.12</v>
      </c>
      <c r="AT10" s="8">
        <v>-751.82</v>
      </c>
      <c r="AU10" s="8">
        <v>-1467.55</v>
      </c>
      <c r="AV10" s="8">
        <v>-1140.1400000000001</v>
      </c>
      <c r="AW10" s="8">
        <v>-913.38</v>
      </c>
      <c r="AX10" s="8">
        <v>-1355.49</v>
      </c>
      <c r="AY10" s="8">
        <v>-917.61</v>
      </c>
      <c r="AZ10" s="8">
        <v>1748.02</v>
      </c>
      <c r="BA10" s="8">
        <v>763.32</v>
      </c>
      <c r="BB10" s="8">
        <v>-19.170000000000002</v>
      </c>
      <c r="BC10" s="8">
        <v>-132.03</v>
      </c>
      <c r="BD10" s="103" t="s">
        <v>90</v>
      </c>
      <c r="BE10" s="103" t="s">
        <v>89</v>
      </c>
      <c r="BF10" s="150"/>
      <c r="BG10" s="192"/>
      <c r="BH10" s="49" t="s">
        <v>42</v>
      </c>
      <c r="BI10" s="193"/>
      <c r="BJ10" s="49" t="s">
        <v>42</v>
      </c>
      <c r="BK10"/>
      <c r="BY10" s="150"/>
      <c r="BZ10" s="292"/>
      <c r="CA10" s="17" t="s">
        <v>8</v>
      </c>
      <c r="CB10" s="215">
        <v>227.64</v>
      </c>
      <c r="CC10" s="215">
        <v>224.82999999999998</v>
      </c>
      <c r="CD10" s="215">
        <v>46.440000000000026</v>
      </c>
      <c r="CE10" s="215">
        <v>-90.289999999999992</v>
      </c>
      <c r="CF10" s="215">
        <v>-440.00000000000011</v>
      </c>
      <c r="CG10" s="215">
        <v>-490.49</v>
      </c>
      <c r="CH10" s="215">
        <v>-777.29</v>
      </c>
      <c r="CK10" s="292"/>
      <c r="CL10" s="17" t="s">
        <v>8</v>
      </c>
      <c r="CM10" s="215">
        <v>227.64</v>
      </c>
      <c r="CN10" s="215">
        <v>224.82</v>
      </c>
      <c r="CO10" s="215">
        <v>46.430000000000007</v>
      </c>
      <c r="CP10" s="215">
        <v>-90.289999999999964</v>
      </c>
      <c r="CQ10" s="215">
        <v>-440.00000000000006</v>
      </c>
      <c r="CR10" s="215">
        <v>-490.50000000000006</v>
      </c>
      <c r="CS10" s="215">
        <v>-777.29</v>
      </c>
      <c r="CW10" s="150"/>
      <c r="CX10" s="295"/>
      <c r="CY10" s="5" t="s">
        <v>5</v>
      </c>
      <c r="CZ10" s="8">
        <v>1231.6400000000001</v>
      </c>
      <c r="DA10" s="8">
        <v>767.01</v>
      </c>
      <c r="DB10" s="8">
        <v>-15.01</v>
      </c>
      <c r="DC10" s="8">
        <v>-624.07999999999549</v>
      </c>
      <c r="DD10" s="8">
        <v>-582</v>
      </c>
      <c r="DE10" s="8">
        <v>-1065.27</v>
      </c>
      <c r="DF10" s="8">
        <v>-1086.6400000000001</v>
      </c>
      <c r="DG10" s="8">
        <v>-1169.8599999999999</v>
      </c>
      <c r="DH10" s="8">
        <v>-2142.77</v>
      </c>
      <c r="DI10" s="8">
        <v>-2680.97</v>
      </c>
      <c r="DJ10" s="8">
        <v>-2193.2199999999998</v>
      </c>
      <c r="DK10" s="8">
        <v>-1732.8999999999999</v>
      </c>
      <c r="DL10" s="8">
        <v>416.86</v>
      </c>
      <c r="DM10" s="8">
        <v>-1527.36</v>
      </c>
      <c r="DN10" s="8">
        <v>-3262.43</v>
      </c>
      <c r="DO10" s="8">
        <v>-8706.2199999999993</v>
      </c>
      <c r="DP10" s="8">
        <v>-7696.65</v>
      </c>
      <c r="DQ10" s="8">
        <v>-13343.86</v>
      </c>
      <c r="DR10" s="8">
        <v>-19659.169999999998</v>
      </c>
      <c r="DS10" s="8">
        <v>-33494.629999999997</v>
      </c>
      <c r="DT10" s="8">
        <v>-44566.67</v>
      </c>
      <c r="DU10" s="8">
        <v>-49380.76</v>
      </c>
      <c r="DV10" s="8">
        <v>-62380.44</v>
      </c>
      <c r="DW10" s="8">
        <v>-72515.240000000005</v>
      </c>
      <c r="DX10" s="8">
        <v>-22024.76</v>
      </c>
      <c r="DY10" s="209"/>
      <c r="DZ10" s="209"/>
      <c r="EA10" s="150"/>
      <c r="EB10" s="295"/>
      <c r="EC10" s="5" t="s">
        <v>5</v>
      </c>
      <c r="ED10" s="8">
        <v>-913.11</v>
      </c>
      <c r="EE10" s="8">
        <v>1752.92</v>
      </c>
      <c r="EF10" s="8">
        <v>766.84</v>
      </c>
      <c r="EG10" s="8">
        <v>-15.2</v>
      </c>
      <c r="EH10" s="8">
        <v>-624.24999999999545</v>
      </c>
      <c r="EI10" s="8">
        <v>-582.19000000000005</v>
      </c>
      <c r="EJ10" s="8">
        <v>-1065.46</v>
      </c>
      <c r="EK10" s="8">
        <v>-1086.82</v>
      </c>
      <c r="EL10" s="8">
        <v>-1169.98</v>
      </c>
      <c r="EM10" s="8">
        <v>-2142.9499999999998</v>
      </c>
      <c r="EN10" s="8">
        <v>-2681.14</v>
      </c>
      <c r="EO10" s="8">
        <v>-2193.35</v>
      </c>
      <c r="EP10" s="8">
        <v>-1737.5</v>
      </c>
      <c r="EQ10" s="8">
        <v>409.03</v>
      </c>
      <c r="ER10" s="8">
        <v>-1534.3</v>
      </c>
      <c r="ES10" s="8">
        <v>-3271.19</v>
      </c>
      <c r="ET10" s="8">
        <v>-8726.59</v>
      </c>
      <c r="EU10" s="8">
        <v>-7714.43</v>
      </c>
      <c r="EV10" s="8">
        <v>-13372</v>
      </c>
      <c r="EW10" s="8">
        <v>-19703.240000000002</v>
      </c>
      <c r="EX10" s="8">
        <v>-33555.699999999997</v>
      </c>
      <c r="EY10" s="8">
        <v>-44642.93</v>
      </c>
      <c r="EZ10" s="8">
        <v>-49465.58</v>
      </c>
      <c r="FA10" s="8">
        <v>-62484.26</v>
      </c>
      <c r="FB10" s="8">
        <v>-72643.850000000006</v>
      </c>
      <c r="FC10" s="8">
        <v>-22163.81</v>
      </c>
      <c r="FD10" s="8">
        <v>-39749.678489636659</v>
      </c>
      <c r="FE10" s="8">
        <v>-45136.25</v>
      </c>
      <c r="FF10" s="4" t="s">
        <v>130</v>
      </c>
      <c r="FG10" s="4" t="s">
        <v>89</v>
      </c>
      <c r="FH10" s="150"/>
      <c r="FI10" s="295"/>
      <c r="FJ10" s="5" t="s">
        <v>5</v>
      </c>
      <c r="FK10" s="8">
        <v>-56364.87</v>
      </c>
      <c r="FL10" s="8">
        <v>-50214.16</v>
      </c>
      <c r="FM10" s="8">
        <v>-52385.52</v>
      </c>
      <c r="FN10" s="8">
        <v>-52553.36</v>
      </c>
      <c r="FO10" s="8">
        <v>-60903.37</v>
      </c>
      <c r="FP10" s="8">
        <v>-67166.289999999994</v>
      </c>
      <c r="FQ10" s="4" t="s">
        <v>130</v>
      </c>
      <c r="FR10" s="4" t="s">
        <v>89</v>
      </c>
    </row>
    <row r="11" spans="1:175" s="4" customFormat="1" ht="15" outlineLevel="1" x14ac:dyDescent="0.25">
      <c r="A11" s="292"/>
      <c r="B11" s="16" t="s">
        <v>13</v>
      </c>
      <c r="C11" s="7">
        <f>IF(OR(C8="",C7=""),"",C7-C8)</f>
        <v>0</v>
      </c>
      <c r="D11" s="7">
        <f>IF(OR(D8="",D7=""),"",D7-D8)</f>
        <v>3542.7066619947968</v>
      </c>
      <c r="E11" s="7">
        <f t="shared" ref="E11:I11" si="3">IF(OR(E8="",E7=""),"",E7-E8)</f>
        <v>-2042.587011875763</v>
      </c>
      <c r="F11" s="7">
        <f t="shared" si="3"/>
        <v>-101305.99221352636</v>
      </c>
      <c r="G11" s="7">
        <f t="shared" si="3"/>
        <v>3390.1150170901092</v>
      </c>
      <c r="H11" s="7">
        <f t="shared" si="3"/>
        <v>77000.426341737329</v>
      </c>
      <c r="I11" s="7">
        <f t="shared" si="3"/>
        <v>-50568.7335448956</v>
      </c>
      <c r="J11" s="7">
        <f>IF(OR(J8="",J7=""),"",J7-J8)</f>
        <v>-212266.31379910326</v>
      </c>
      <c r="K11" s="103" t="s">
        <v>84</v>
      </c>
      <c r="L11" s="103" t="s">
        <v>85</v>
      </c>
      <c r="M11" s="150"/>
      <c r="N11" s="150"/>
      <c r="O11" s="145"/>
      <c r="P11" s="138"/>
      <c r="Q11" s="134"/>
      <c r="R11" s="134"/>
      <c r="S11" s="134"/>
      <c r="T11" s="134"/>
      <c r="U11" s="134"/>
      <c r="V11" s="134"/>
      <c r="W11" s="134"/>
      <c r="X11" s="134"/>
      <c r="Y11" s="134"/>
      <c r="Z11" s="134"/>
      <c r="AA11" s="134"/>
      <c r="AB11" s="160"/>
      <c r="AC11" s="295"/>
      <c r="AD11" s="6" t="s">
        <v>6</v>
      </c>
      <c r="AE11" s="8">
        <v>9649.86</v>
      </c>
      <c r="AF11" s="8">
        <v>22043.56</v>
      </c>
      <c r="AG11" s="8">
        <v>39427</v>
      </c>
      <c r="AH11" s="8">
        <v>49952.09</v>
      </c>
      <c r="AI11" s="8">
        <v>52424.06</v>
      </c>
      <c r="AJ11" s="8">
        <v>50514.59</v>
      </c>
      <c r="AK11" s="8">
        <v>43643.11</v>
      </c>
      <c r="AL11" s="8">
        <v>34083.79</v>
      </c>
      <c r="AM11" s="8">
        <v>29265.53</v>
      </c>
      <c r="AN11" s="8">
        <v>35785.879999999997</v>
      </c>
      <c r="AO11" s="8">
        <v>33915.519999999997</v>
      </c>
      <c r="AP11" s="8">
        <v>26834.459999999995</v>
      </c>
      <c r="AQ11" s="8">
        <v>18479.269999999997</v>
      </c>
      <c r="AR11" s="8">
        <v>13516.279999999997</v>
      </c>
      <c r="AS11" s="8">
        <v>12779.159999999996</v>
      </c>
      <c r="AT11" s="8">
        <v>12027.339999999997</v>
      </c>
      <c r="AU11" s="8">
        <v>10559.789999999997</v>
      </c>
      <c r="AV11" s="8">
        <v>9419.6499999999978</v>
      </c>
      <c r="AW11" s="8">
        <v>8506.2699999999986</v>
      </c>
      <c r="AX11" s="8">
        <v>7150.7799999999988</v>
      </c>
      <c r="AY11" s="8">
        <v>6233.1699999999992</v>
      </c>
      <c r="AZ11" s="8">
        <v>7981.1899999999987</v>
      </c>
      <c r="BA11" s="8">
        <v>8744.5099999999984</v>
      </c>
      <c r="BB11" s="8">
        <v>8725.3399999999983</v>
      </c>
      <c r="BC11" s="8">
        <v>8593.3099999999977</v>
      </c>
      <c r="BD11" s="166">
        <f>'MEEIA 3 calcs'!AC11</f>
        <v>9217.2999999999938</v>
      </c>
      <c r="BE11" s="167">
        <f>BB11-BD11</f>
        <v>-491.95999999999549</v>
      </c>
      <c r="BF11" s="150"/>
      <c r="BY11" s="150"/>
      <c r="BZ11" s="292"/>
      <c r="CA11" s="17" t="s">
        <v>27</v>
      </c>
      <c r="CB11" s="215">
        <v>-4668.5399999999981</v>
      </c>
      <c r="CC11" s="215">
        <v>-4443.7099999999982</v>
      </c>
      <c r="CD11" s="215">
        <v>-4397.2699999999986</v>
      </c>
      <c r="CE11" s="215">
        <v>-4487.5599999999986</v>
      </c>
      <c r="CF11" s="215">
        <v>-4927.5599999999986</v>
      </c>
      <c r="CG11" s="215">
        <v>-5418.0499999999984</v>
      </c>
      <c r="CH11" s="215">
        <v>-6195.3399999999983</v>
      </c>
      <c r="CK11" s="292"/>
      <c r="CL11" s="17" t="s">
        <v>27</v>
      </c>
      <c r="CM11" s="215">
        <v>-4668.5399999999981</v>
      </c>
      <c r="CN11" s="215">
        <v>-4443.7199999999984</v>
      </c>
      <c r="CO11" s="215">
        <v>-4397.2899999999981</v>
      </c>
      <c r="CP11" s="215">
        <v>-4487.5799999999981</v>
      </c>
      <c r="CQ11" s="215">
        <v>-4927.5799999999981</v>
      </c>
      <c r="CR11" s="215">
        <v>-5418.0799999999981</v>
      </c>
      <c r="CS11" s="215">
        <v>-6195.3699999999981</v>
      </c>
      <c r="CW11" s="150"/>
      <c r="CX11" s="295"/>
      <c r="CY11" s="6" t="s">
        <v>6</v>
      </c>
      <c r="CZ11" s="8">
        <v>7943.5199999999941</v>
      </c>
      <c r="DA11" s="8">
        <v>8710.5299999999934</v>
      </c>
      <c r="DB11" s="8">
        <v>8695.5199999999932</v>
      </c>
      <c r="DC11" s="8">
        <v>8071.4399999999978</v>
      </c>
      <c r="DD11" s="8">
        <v>7489.4399999999978</v>
      </c>
      <c r="DE11" s="8">
        <v>6424.1699999999983</v>
      </c>
      <c r="DF11" s="8">
        <v>5337.5299999999979</v>
      </c>
      <c r="DG11" s="8">
        <v>4167.6699999999983</v>
      </c>
      <c r="DH11" s="8">
        <v>2024.8999999999983</v>
      </c>
      <c r="DI11" s="8">
        <v>-656.07000000000153</v>
      </c>
      <c r="DJ11" s="8">
        <v>-2849.2900000000013</v>
      </c>
      <c r="DK11" s="8">
        <v>-4582.1900000000014</v>
      </c>
      <c r="DL11" s="8">
        <v>-4165.3300000000017</v>
      </c>
      <c r="DM11" s="8">
        <v>-5692.6900000000014</v>
      </c>
      <c r="DN11" s="8">
        <v>-8955.1200000000008</v>
      </c>
      <c r="DO11" s="8">
        <v>-17661.34</v>
      </c>
      <c r="DP11" s="8">
        <v>-25357.989999999998</v>
      </c>
      <c r="DQ11" s="8">
        <v>-38701.85</v>
      </c>
      <c r="DR11" s="8">
        <v>-58361.02</v>
      </c>
      <c r="DS11" s="8">
        <v>-91855.65</v>
      </c>
      <c r="DT11" s="8">
        <v>-136422.32</v>
      </c>
      <c r="DU11" s="8">
        <v>-185803.08000000002</v>
      </c>
      <c r="DV11" s="8">
        <v>-248183.52000000002</v>
      </c>
      <c r="DW11" s="8">
        <v>-320698.76</v>
      </c>
      <c r="DX11" s="8">
        <v>-342723.52</v>
      </c>
      <c r="DY11" s="209">
        <f>'MEEIA 3 calcs'!AY11</f>
        <v>-342189.81999999995</v>
      </c>
      <c r="DZ11" s="224">
        <f>DX11-DY11</f>
        <v>-533.70000000006985</v>
      </c>
      <c r="EA11" s="150"/>
      <c r="EB11" s="295"/>
      <c r="EC11" s="6" t="s">
        <v>6</v>
      </c>
      <c r="ED11" s="8">
        <v>6711.7599999999939</v>
      </c>
      <c r="EE11" s="8">
        <v>8464.679999999993</v>
      </c>
      <c r="EF11" s="8">
        <v>9231.5199999999932</v>
      </c>
      <c r="EG11" s="8">
        <v>9216.3199999999924</v>
      </c>
      <c r="EH11" s="8">
        <v>8592.0699999999961</v>
      </c>
      <c r="EI11" s="8">
        <v>8009.8799999999956</v>
      </c>
      <c r="EJ11" s="8">
        <v>6944.4199999999955</v>
      </c>
      <c r="EK11" s="8">
        <v>5857.5999999999958</v>
      </c>
      <c r="EL11" s="8">
        <v>4687.6199999999953</v>
      </c>
      <c r="EM11" s="8">
        <v>2544.6699999999955</v>
      </c>
      <c r="EN11" s="8">
        <v>-136.47000000000435</v>
      </c>
      <c r="EO11" s="8">
        <v>-2329.8200000000043</v>
      </c>
      <c r="EP11" s="8">
        <v>-4067.3200000000043</v>
      </c>
      <c r="EQ11" s="8">
        <v>-3658.2900000000045</v>
      </c>
      <c r="ER11" s="8">
        <v>-5192.5900000000047</v>
      </c>
      <c r="ES11" s="8">
        <v>-8463.7800000000043</v>
      </c>
      <c r="ET11" s="8">
        <v>-17190.370000000003</v>
      </c>
      <c r="EU11" s="8">
        <v>-24904.800000000003</v>
      </c>
      <c r="EV11" s="8">
        <v>-38276.800000000003</v>
      </c>
      <c r="EW11" s="8">
        <v>-57980.040000000008</v>
      </c>
      <c r="EX11" s="8">
        <v>-91535.74</v>
      </c>
      <c r="EY11" s="8">
        <v>-136178.67000000001</v>
      </c>
      <c r="EZ11" s="8">
        <v>-185644.25</v>
      </c>
      <c r="FA11" s="8">
        <v>-248128.51</v>
      </c>
      <c r="FB11" s="8">
        <v>-320772.36</v>
      </c>
      <c r="FC11" s="8">
        <v>-342936.17</v>
      </c>
      <c r="FD11" s="8">
        <v>-382685.84848963667</v>
      </c>
      <c r="FE11" s="8">
        <v>-427822.09848963667</v>
      </c>
      <c r="FF11" s="209">
        <f>'MEEIA 3 calcs'!BA11</f>
        <v>-426925.29848963663</v>
      </c>
      <c r="FG11" s="207">
        <f>FE11-FF11</f>
        <v>-896.80000000004657</v>
      </c>
      <c r="FH11" s="150"/>
      <c r="FI11" s="295"/>
      <c r="FJ11" s="6" t="s">
        <v>6</v>
      </c>
      <c r="FK11" s="8">
        <v>-533357.60848963668</v>
      </c>
      <c r="FL11" s="8">
        <v>-583571.76848963671</v>
      </c>
      <c r="FM11" s="8">
        <v>-635957.28848963673</v>
      </c>
      <c r="FN11" s="116">
        <v>-688510.64848963672</v>
      </c>
      <c r="FO11" s="116">
        <v>-749414.01848963671</v>
      </c>
      <c r="FP11" s="116">
        <v>-816580.30848963675</v>
      </c>
      <c r="FQ11" s="209">
        <f>SUM('MEEIA 3 calcs'!BF11:BH11)</f>
        <v>-2254509.7054689103</v>
      </c>
      <c r="FR11" s="207">
        <f>SUM(FN11:FP11)-FQ11</f>
        <v>4.7299999999813735</v>
      </c>
      <c r="FS11" s="4" t="s">
        <v>139</v>
      </c>
    </row>
    <row r="12" spans="1:175" s="4" customFormat="1" ht="15" outlineLevel="1" x14ac:dyDescent="0.25">
      <c r="A12" s="292"/>
      <c r="B12" s="17" t="s">
        <v>8</v>
      </c>
      <c r="C12" s="7">
        <f>ROUND((C11+0)*'MEEIA 3 calcs'!F9/12,2)</f>
        <v>0</v>
      </c>
      <c r="D12" s="7">
        <f>ROUND((D11+C14)*'MEEIA 3 calcs'!G9/12,2)</f>
        <v>7.86</v>
      </c>
      <c r="E12" s="7">
        <f>ROUND((E11+D14)*'MEEIA 3 calcs'!H9/12,2)</f>
        <v>3.36</v>
      </c>
      <c r="F12" s="7">
        <f>ROUND((F11+E14)*'MEEIA 3 calcs'!I9/12,2)</f>
        <v>-220.38</v>
      </c>
      <c r="G12" s="7">
        <f>ROUND((G11+F14)*'MEEIA 3 calcs'!J9/12,2)</f>
        <v>-208.94</v>
      </c>
      <c r="H12" s="7">
        <f>ROUND((H11+G14)*'MEEIA 3 calcs'!K9/12,2)</f>
        <v>-38.86</v>
      </c>
      <c r="I12" s="7">
        <f>ROUND((I11+H14)*'MEEIA 3 calcs'!L9/12,2)</f>
        <v>-130.13</v>
      </c>
      <c r="J12" s="7">
        <f>ROUND((J11+I14)*'MEEIA 3 calcs'!M9/12,2)</f>
        <v>-498.25</v>
      </c>
      <c r="K12" s="104">
        <f>SUM('MEEIA 3 calcs'!F32:M32)</f>
        <v>-1085.43</v>
      </c>
      <c r="L12" s="112">
        <f>SUM(C12:J12)-K12</f>
        <v>8.9999999999918145E-2</v>
      </c>
      <c r="M12" s="150"/>
      <c r="N12" s="150"/>
      <c r="O12" s="145"/>
      <c r="P12" s="138"/>
      <c r="Q12" s="124"/>
      <c r="R12" s="124"/>
      <c r="S12" s="124"/>
      <c r="T12" s="124"/>
      <c r="U12" s="124"/>
      <c r="V12" s="124"/>
      <c r="W12" s="124"/>
      <c r="X12" s="124"/>
      <c r="Y12" s="124"/>
      <c r="Z12" s="124"/>
      <c r="AA12" s="124"/>
      <c r="AB12" s="159"/>
      <c r="AC12" s="295"/>
      <c r="AD12" s="5" t="s">
        <v>12</v>
      </c>
      <c r="AE12" s="8">
        <v>3262465.61</v>
      </c>
      <c r="AF12" s="8">
        <v>1435380.57</v>
      </c>
      <c r="AG12" s="8">
        <v>2209926.16</v>
      </c>
      <c r="AH12" s="8">
        <v>-3032183.4299999997</v>
      </c>
      <c r="AI12" s="8">
        <v>-3630865.7600000002</v>
      </c>
      <c r="AJ12" s="8">
        <v>-2122102.5800000005</v>
      </c>
      <c r="AK12" s="8">
        <v>-2749963.32</v>
      </c>
      <c r="AL12" s="8">
        <v>-1709599.1999999972</v>
      </c>
      <c r="AM12" s="8">
        <v>2247319.5200000005</v>
      </c>
      <c r="AN12" s="8">
        <v>7280660.7000000002</v>
      </c>
      <c r="AO12" s="8">
        <v>-5281931.5000000009</v>
      </c>
      <c r="AP12" s="8">
        <v>-3528427.48</v>
      </c>
      <c r="AQ12" s="8">
        <v>-598786.93999999994</v>
      </c>
      <c r="AR12" s="8">
        <v>-1033901.9500000004</v>
      </c>
      <c r="AS12" s="8">
        <v>-502970.57999999996</v>
      </c>
      <c r="AT12" s="8">
        <v>-327939.98999999993</v>
      </c>
      <c r="AU12" s="8">
        <v>-1912909.9000000006</v>
      </c>
      <c r="AV12" s="8">
        <v>-923201.4100000005</v>
      </c>
      <c r="AW12" s="8">
        <v>1172047.7800000003</v>
      </c>
      <c r="AX12" s="8">
        <v>711773.64999999874</v>
      </c>
      <c r="AY12" s="8">
        <v>3771510.2899999996</v>
      </c>
      <c r="AZ12" s="8">
        <v>11732401.639999997</v>
      </c>
      <c r="BA12" s="8">
        <v>-2925304.5499999993</v>
      </c>
      <c r="BB12" s="8">
        <v>-4543369.0900000008</v>
      </c>
      <c r="BC12" s="8">
        <v>-642544.46999999951</v>
      </c>
      <c r="BF12" s="150"/>
      <c r="BG12" s="47" t="s">
        <v>113</v>
      </c>
      <c r="BH12"/>
      <c r="BI12"/>
      <c r="BJ12"/>
      <c r="BK12"/>
      <c r="BL12"/>
      <c r="BM12"/>
      <c r="BN12"/>
      <c r="BO12"/>
      <c r="BP12"/>
      <c r="BQ12"/>
      <c r="BR12"/>
      <c r="BS12"/>
      <c r="BT12"/>
      <c r="BU12"/>
      <c r="BY12" s="150"/>
      <c r="BZ12" s="292"/>
      <c r="CA12" s="16" t="s">
        <v>14</v>
      </c>
      <c r="CB12" s="215">
        <v>-338731.02069875965</v>
      </c>
      <c r="CC12" s="215">
        <v>-406106.93494770303</v>
      </c>
      <c r="CD12" s="215">
        <v>-374009.65149891004</v>
      </c>
      <c r="CE12" s="215">
        <v>-566569.34339839849</v>
      </c>
      <c r="CF12" s="215">
        <v>-384767.07923458319</v>
      </c>
      <c r="CG12" s="215">
        <v>-152603.89288086267</v>
      </c>
      <c r="CH12" s="215">
        <v>-10254.541794636869</v>
      </c>
      <c r="CK12" s="292"/>
      <c r="CL12" s="16" t="s">
        <v>14</v>
      </c>
      <c r="CM12" s="215">
        <v>-338731.02069875965</v>
      </c>
      <c r="CN12" s="215">
        <v>-406106.94494770333</v>
      </c>
      <c r="CO12" s="215">
        <v>-374009.66149890982</v>
      </c>
      <c r="CP12" s="215">
        <v>-566569.34339839872</v>
      </c>
      <c r="CQ12" s="215">
        <v>-384767.07923458319</v>
      </c>
      <c r="CR12" s="215">
        <v>-152603.90288086259</v>
      </c>
      <c r="CS12" s="215">
        <v>-10254.54179463688</v>
      </c>
      <c r="CW12" s="150"/>
      <c r="CX12" s="295"/>
      <c r="CY12" s="5" t="s">
        <v>12</v>
      </c>
      <c r="CZ12" s="8">
        <v>11731885.259999998</v>
      </c>
      <c r="DA12" s="8">
        <v>-2925300.8599999994</v>
      </c>
      <c r="DB12" s="8">
        <v>-4543364.9300000006</v>
      </c>
      <c r="DC12" s="8">
        <v>-664526.95999999705</v>
      </c>
      <c r="DD12" s="8">
        <v>-2360786.7516527595</v>
      </c>
      <c r="DE12" s="8">
        <v>-2598050.2076373724</v>
      </c>
      <c r="DF12" s="8">
        <v>-766357.32199255878</v>
      </c>
      <c r="DG12" s="8">
        <v>-3593603.7835242231</v>
      </c>
      <c r="DH12" s="8">
        <v>-2478209.921081305</v>
      </c>
      <c r="DI12" s="8">
        <v>-4112711.7126744571</v>
      </c>
      <c r="DJ12" s="8">
        <v>-896103.25203946535</v>
      </c>
      <c r="DK12" s="8">
        <v>4947312.0272242241</v>
      </c>
      <c r="DL12" s="8">
        <v>14521570.670487527</v>
      </c>
      <c r="DM12" s="8">
        <v>-9740021.4606461655</v>
      </c>
      <c r="DN12" s="8">
        <v>-4720889.6120852027</v>
      </c>
      <c r="DO12" s="8">
        <v>-1951358.5434257819</v>
      </c>
      <c r="DP12" s="8">
        <v>-202892.35689840894</v>
      </c>
      <c r="DQ12" s="8">
        <v>-1483650.4085616188</v>
      </c>
      <c r="DR12" s="8">
        <v>977384.93078128144</v>
      </c>
      <c r="DS12" s="8">
        <v>-3679734.0019777594</v>
      </c>
      <c r="DT12" s="8">
        <v>-1325828.5587091884</v>
      </c>
      <c r="DU12" s="8">
        <v>126.22271568584983</v>
      </c>
      <c r="DV12" s="8">
        <v>-732084.7342193923</v>
      </c>
      <c r="DW12" s="8">
        <v>1259155.6442398338</v>
      </c>
      <c r="DX12" s="8">
        <v>14629254.743251542</v>
      </c>
      <c r="DY12" s="209"/>
      <c r="DZ12" s="209"/>
      <c r="EA12" s="150"/>
      <c r="EB12" s="295"/>
      <c r="EC12" s="5" t="s">
        <v>12</v>
      </c>
      <c r="ED12" s="8">
        <v>3770914.7899999996</v>
      </c>
      <c r="EE12" s="8">
        <v>11731706.540000001</v>
      </c>
      <c r="EF12" s="8">
        <v>-2925501.03</v>
      </c>
      <c r="EG12" s="8">
        <v>-4543365.120000001</v>
      </c>
      <c r="EH12" s="8">
        <v>-664527.12999999709</v>
      </c>
      <c r="EI12" s="8">
        <v>-2360786.9416527594</v>
      </c>
      <c r="EJ12" s="8">
        <v>-2598050.3976373724</v>
      </c>
      <c r="EK12" s="8">
        <v>-766407.50199255871</v>
      </c>
      <c r="EL12" s="8">
        <v>-3593603.9035242232</v>
      </c>
      <c r="EM12" s="8">
        <v>-2478210.1010813052</v>
      </c>
      <c r="EN12" s="8">
        <v>-4112711.882674457</v>
      </c>
      <c r="EO12" s="8">
        <v>-896103.38203946536</v>
      </c>
      <c r="EP12" s="8">
        <v>4912308.7272242252</v>
      </c>
      <c r="EQ12" s="8">
        <v>14521562.840487527</v>
      </c>
      <c r="ER12" s="8">
        <v>-9739516.1606461667</v>
      </c>
      <c r="ES12" s="8">
        <v>-4720898.3720852034</v>
      </c>
      <c r="ET12" s="8">
        <v>-1951378.913425782</v>
      </c>
      <c r="EU12" s="8">
        <v>-202910.13689840893</v>
      </c>
      <c r="EV12" s="8">
        <v>-1483678.5485616187</v>
      </c>
      <c r="EW12" s="8">
        <v>977340.86078128149</v>
      </c>
      <c r="EX12" s="8">
        <v>-3679795.0719777597</v>
      </c>
      <c r="EY12" s="8">
        <v>-1325904.8187091884</v>
      </c>
      <c r="EZ12" s="8">
        <v>-8.5972843141498743</v>
      </c>
      <c r="FA12" s="8">
        <v>-732188.55421939236</v>
      </c>
      <c r="FB12" s="8">
        <v>1259027.0342398337</v>
      </c>
      <c r="FC12" s="8">
        <v>14629115.693251541</v>
      </c>
      <c r="FD12" s="8">
        <v>-4087293.0911802319</v>
      </c>
      <c r="FE12" s="8">
        <v>-1348324.1682142103</v>
      </c>
      <c r="FH12" s="150"/>
      <c r="FI12" s="295"/>
      <c r="FJ12" s="5" t="s">
        <v>12</v>
      </c>
      <c r="FK12" s="8">
        <v>-1067740.8817789806</v>
      </c>
      <c r="FL12" s="8">
        <v>1580611.1537780624</v>
      </c>
      <c r="FM12" s="8">
        <v>-342493.44407419162</v>
      </c>
      <c r="FN12" s="8">
        <v>65253.336089739911</v>
      </c>
      <c r="FO12" s="8">
        <v>-1660086.9231228735</v>
      </c>
      <c r="FP12" s="8">
        <v>-1329011.0014549941</v>
      </c>
    </row>
    <row r="13" spans="1:175" s="4" customFormat="1" ht="15" outlineLevel="1" x14ac:dyDescent="0.25">
      <c r="A13" s="292"/>
      <c r="B13" s="16" t="s">
        <v>14</v>
      </c>
      <c r="C13" s="7">
        <f>IF(OR(C11="",C12=""),"",C11+C12)</f>
        <v>0</v>
      </c>
      <c r="D13" s="7">
        <f>IF(OR(D11="",D12=""),"",D11+D12)</f>
        <v>3550.566661994797</v>
      </c>
      <c r="E13" s="7">
        <f t="shared" ref="E13:I13" si="4">IF(OR(E11="",E12=""),"",E11+E12)</f>
        <v>-2039.2270118757631</v>
      </c>
      <c r="F13" s="7">
        <f t="shared" si="4"/>
        <v>-101526.37221352637</v>
      </c>
      <c r="G13" s="7">
        <f t="shared" si="4"/>
        <v>3181.1750170901091</v>
      </c>
      <c r="H13" s="7">
        <f t="shared" si="4"/>
        <v>76961.566341737329</v>
      </c>
      <c r="I13" s="7">
        <f t="shared" si="4"/>
        <v>-50698.863544895597</v>
      </c>
      <c r="J13" s="7">
        <f>IF(OR(J11="",J12=""),"",J11+J12)</f>
        <v>-212764.56379910326</v>
      </c>
      <c r="M13" s="150"/>
      <c r="N13" s="150"/>
      <c r="O13" s="145"/>
      <c r="P13" s="55"/>
      <c r="Q13" s="124"/>
      <c r="R13" s="124"/>
      <c r="S13" s="124"/>
      <c r="T13" s="124"/>
      <c r="U13" s="124"/>
      <c r="V13" s="124"/>
      <c r="W13" s="124"/>
      <c r="X13" s="124"/>
      <c r="Y13" s="124"/>
      <c r="Z13" s="124"/>
      <c r="AA13" s="124"/>
      <c r="AB13" s="159"/>
      <c r="AC13" s="295"/>
      <c r="AD13" s="9" t="s">
        <v>3</v>
      </c>
      <c r="AE13" s="8">
        <v>4163379.87</v>
      </c>
      <c r="AF13" s="8">
        <v>5598760.4400000004</v>
      </c>
      <c r="AG13" s="8">
        <v>7808686.6000000006</v>
      </c>
      <c r="AH13" s="8">
        <v>4776503.1700000009</v>
      </c>
      <c r="AI13" s="8">
        <v>1145637.4100000006</v>
      </c>
      <c r="AJ13" s="8">
        <v>-976465.16999999993</v>
      </c>
      <c r="AK13" s="8">
        <v>-3726428.4899999998</v>
      </c>
      <c r="AL13" s="8">
        <v>-5436027.6899999967</v>
      </c>
      <c r="AM13" s="8">
        <v>-3188708.1699999962</v>
      </c>
      <c r="AN13" s="8">
        <v>4091952.530000004</v>
      </c>
      <c r="AO13" s="8">
        <v>-1189978.9699999969</v>
      </c>
      <c r="AP13" s="8">
        <v>-4718406.4499999974</v>
      </c>
      <c r="AQ13" s="8">
        <v>-5317193.3899999969</v>
      </c>
      <c r="AR13" s="8">
        <v>-6351095.3399999971</v>
      </c>
      <c r="AS13" s="8">
        <v>-6854065.9199999971</v>
      </c>
      <c r="AT13" s="8">
        <v>-7182005.9099999974</v>
      </c>
      <c r="AU13" s="8">
        <v>-9094915.8099999987</v>
      </c>
      <c r="AV13" s="8">
        <v>-10018117.219999999</v>
      </c>
      <c r="AW13" s="8">
        <v>-8846069.4399999976</v>
      </c>
      <c r="AX13" s="8">
        <v>-8134295.7899999991</v>
      </c>
      <c r="AY13" s="8">
        <v>-4362785.5</v>
      </c>
      <c r="AZ13" s="8">
        <v>7369616.1399999969</v>
      </c>
      <c r="BA13" s="8">
        <v>4444311.589999998</v>
      </c>
      <c r="BB13" s="8">
        <v>-99057.500000002794</v>
      </c>
      <c r="BC13" s="8">
        <v>-741601.9700000023</v>
      </c>
      <c r="BF13" s="150"/>
      <c r="BG13"/>
      <c r="BH13"/>
      <c r="BI13" s="10">
        <v>44105</v>
      </c>
      <c r="BJ13" s="10">
        <v>44136</v>
      </c>
      <c r="BK13" s="10">
        <v>44166</v>
      </c>
      <c r="BL13" s="10">
        <v>44197</v>
      </c>
      <c r="BM13" s="10">
        <v>44228</v>
      </c>
      <c r="BN13" s="10">
        <v>44256</v>
      </c>
      <c r="BO13" s="10">
        <v>44287</v>
      </c>
      <c r="BP13" s="10">
        <v>44317</v>
      </c>
      <c r="BQ13" s="10">
        <v>44348</v>
      </c>
      <c r="BR13" s="10">
        <v>44378</v>
      </c>
      <c r="BS13" s="10">
        <v>44409</v>
      </c>
      <c r="BT13" s="10">
        <v>44440</v>
      </c>
      <c r="BU13" s="10">
        <v>44470</v>
      </c>
      <c r="BY13" s="150"/>
      <c r="BZ13" s="292"/>
      <c r="CA13" s="18" t="s">
        <v>2</v>
      </c>
      <c r="CB13" s="215">
        <v>1783212.1718906779</v>
      </c>
      <c r="CC13" s="215">
        <v>1035985.2469429747</v>
      </c>
      <c r="CD13" s="215">
        <v>237729.42544406466</v>
      </c>
      <c r="CE13" s="215">
        <v>-366328.51795433403</v>
      </c>
      <c r="CF13" s="215">
        <v>-767550.09718891722</v>
      </c>
      <c r="CG13" s="215">
        <v>-980795.26006977982</v>
      </c>
      <c r="CH13" s="215">
        <v>-982925.54186441668</v>
      </c>
      <c r="CK13" s="292"/>
      <c r="CL13" s="18" t="s">
        <v>2</v>
      </c>
      <c r="CM13" s="215">
        <v>1783212.1718906779</v>
      </c>
      <c r="CN13" s="215">
        <v>1035985.2369429746</v>
      </c>
      <c r="CO13" s="215">
        <v>237729.40544406488</v>
      </c>
      <c r="CP13" s="215">
        <v>-366328.53795433382</v>
      </c>
      <c r="CQ13" s="215">
        <v>-767550.11718891724</v>
      </c>
      <c r="CR13" s="215">
        <v>-980795.29006977985</v>
      </c>
      <c r="CS13" s="215">
        <v>-982925.57186441682</v>
      </c>
      <c r="CW13" s="150"/>
      <c r="CX13" s="295"/>
      <c r="CY13" s="9" t="s">
        <v>3</v>
      </c>
      <c r="CZ13" s="8">
        <v>7391068.9099999992</v>
      </c>
      <c r="DA13" s="7">
        <v>4465768.05</v>
      </c>
      <c r="DB13" s="7">
        <v>-77596.88000000082</v>
      </c>
      <c r="DC13" s="8">
        <v>-742123.83999999787</v>
      </c>
      <c r="DD13" s="8">
        <v>-3102910.5916527575</v>
      </c>
      <c r="DE13" s="8">
        <v>-5700960.7992901299</v>
      </c>
      <c r="DF13" s="8">
        <v>-6467318.1212826883</v>
      </c>
      <c r="DG13" s="8">
        <v>-10060921.904806912</v>
      </c>
      <c r="DH13" s="8">
        <v>-12539131.825888216</v>
      </c>
      <c r="DI13" s="8">
        <v>-16651843.538562674</v>
      </c>
      <c r="DJ13" s="8">
        <v>-17547946.79060214</v>
      </c>
      <c r="DK13" s="8">
        <v>-12600634.763377916</v>
      </c>
      <c r="DL13" s="8">
        <v>1920935.9071096107</v>
      </c>
      <c r="DM13" s="8">
        <v>-7819085.5535365548</v>
      </c>
      <c r="DN13" s="8">
        <v>-13236083.361145323</v>
      </c>
      <c r="DO13" s="8">
        <v>-15187441.904571105</v>
      </c>
      <c r="DP13" s="8">
        <v>-15390334.261469513</v>
      </c>
      <c r="DQ13" s="8">
        <v>-16873984.67003113</v>
      </c>
      <c r="DR13" s="8">
        <v>-15896599.73924985</v>
      </c>
      <c r="DS13" s="8">
        <v>-19576333.741227608</v>
      </c>
      <c r="DT13" s="8">
        <v>-20902162.299936797</v>
      </c>
      <c r="DU13" s="8">
        <v>-20902036.07722111</v>
      </c>
      <c r="DV13" s="8">
        <v>-21634120.811440501</v>
      </c>
      <c r="DW13" s="8">
        <v>-20374965.167200666</v>
      </c>
      <c r="DX13" s="8">
        <v>-5745710.4239491243</v>
      </c>
      <c r="DY13" s="209"/>
      <c r="DZ13" s="209"/>
      <c r="EA13" s="150"/>
      <c r="EB13" s="295"/>
      <c r="EC13" s="9" t="s">
        <v>3</v>
      </c>
      <c r="ED13" s="8">
        <v>-4341416.4699999988</v>
      </c>
      <c r="EE13" s="8">
        <v>7390290.0700000022</v>
      </c>
      <c r="EF13" s="7">
        <v>4464789.0400000028</v>
      </c>
      <c r="EG13" s="7">
        <v>-78576.079999998212</v>
      </c>
      <c r="EH13" s="8">
        <v>-743103.20999999531</v>
      </c>
      <c r="EI13" s="8">
        <v>-3103890.1516527548</v>
      </c>
      <c r="EJ13" s="8">
        <v>-5701940.5492901271</v>
      </c>
      <c r="EK13" s="8">
        <v>-6468348.0512826862</v>
      </c>
      <c r="EL13" s="8">
        <v>-10061951.954806909</v>
      </c>
      <c r="EM13" s="8">
        <v>-12540162.055888213</v>
      </c>
      <c r="EN13" s="8">
        <v>-16652873.938562671</v>
      </c>
      <c r="EO13" s="8">
        <v>-17548977.320602138</v>
      </c>
      <c r="EP13" s="8">
        <v>-12636668.593377912</v>
      </c>
      <c r="EQ13" s="8">
        <v>1884894.2471096143</v>
      </c>
      <c r="ER13" s="8">
        <v>-7854621.9135365523</v>
      </c>
      <c r="ES13" s="8">
        <v>-13271603.842655683</v>
      </c>
      <c r="ET13" s="8">
        <v>-15222982.756081466</v>
      </c>
      <c r="EU13" s="8">
        <v>-15425892.892979875</v>
      </c>
      <c r="EV13" s="8">
        <v>-16909571.441541493</v>
      </c>
      <c r="EW13" s="8">
        <v>-15932230.580760211</v>
      </c>
      <c r="EX13" s="8">
        <v>-19612025.652737971</v>
      </c>
      <c r="EY13" s="8">
        <v>-20937930.471447159</v>
      </c>
      <c r="EZ13" s="8">
        <v>-20937939.068731472</v>
      </c>
      <c r="FA13" s="8">
        <v>-21670127.622950863</v>
      </c>
      <c r="FB13" s="8">
        <v>-20411100.588711031</v>
      </c>
      <c r="FC13" s="8">
        <v>-5781984.8954594899</v>
      </c>
      <c r="FD13" s="8">
        <v>-9869277.9866397213</v>
      </c>
      <c r="FE13" s="8">
        <v>-11217602.154853933</v>
      </c>
      <c r="FH13" s="150"/>
      <c r="FI13" s="295"/>
      <c r="FJ13" s="9" t="s">
        <v>3</v>
      </c>
      <c r="FK13" s="7">
        <v>-12942902.3312224</v>
      </c>
      <c r="FL13" s="7">
        <v>-11362291.177444337</v>
      </c>
      <c r="FM13" s="7">
        <v>-11704784.621518528</v>
      </c>
      <c r="FN13" s="7">
        <v>-11639531.285428789</v>
      </c>
      <c r="FO13" s="8">
        <v>-13299618.208551662</v>
      </c>
      <c r="FP13" s="8">
        <v>-14628629.210006656</v>
      </c>
    </row>
    <row r="14" spans="1:175" s="4" customFormat="1" ht="15" outlineLevel="1" x14ac:dyDescent="0.25">
      <c r="A14" s="292"/>
      <c r="B14" s="18" t="s">
        <v>15</v>
      </c>
      <c r="C14" s="7">
        <f>IF(OR(C13=""),"",C13)</f>
        <v>0</v>
      </c>
      <c r="D14" s="7">
        <f>IF(OR(D13="",C14=""),"",D13+C14)</f>
        <v>3550.566661994797</v>
      </c>
      <c r="E14" s="7">
        <f t="shared" ref="E14:J14" si="5">IF(OR(E13="",D14=""),"",E13+D14)</f>
        <v>1511.3396501190339</v>
      </c>
      <c r="F14" s="7">
        <f t="shared" si="5"/>
        <v>-100015.03256340734</v>
      </c>
      <c r="G14" s="7">
        <f t="shared" si="5"/>
        <v>-96833.857546317231</v>
      </c>
      <c r="H14" s="7">
        <f t="shared" si="5"/>
        <v>-19872.291204579902</v>
      </c>
      <c r="I14" s="7">
        <f t="shared" si="5"/>
        <v>-70571.154749475507</v>
      </c>
      <c r="J14" s="7">
        <f t="shared" si="5"/>
        <v>-283335.71854857879</v>
      </c>
      <c r="M14" s="150"/>
      <c r="N14" s="150"/>
      <c r="O14" s="145"/>
      <c r="P14" s="138"/>
      <c r="Q14" s="140">
        <v>43862</v>
      </c>
      <c r="R14" s="140">
        <v>43891</v>
      </c>
      <c r="S14" s="140">
        <v>43922</v>
      </c>
      <c r="T14" s="140">
        <v>43952</v>
      </c>
      <c r="U14" s="140">
        <v>43983</v>
      </c>
      <c r="V14" s="140">
        <v>44013</v>
      </c>
      <c r="W14" s="140">
        <v>44044</v>
      </c>
      <c r="X14" s="140">
        <v>44075</v>
      </c>
      <c r="Y14" s="141">
        <v>44105</v>
      </c>
      <c r="Z14" s="124"/>
      <c r="AA14" s="124"/>
      <c r="AB14" s="159"/>
      <c r="AC14" s="124"/>
      <c r="AD14" s="124"/>
      <c r="AE14" s="124"/>
      <c r="AF14" s="124"/>
      <c r="AG14" s="124"/>
      <c r="AH14" s="124"/>
      <c r="AI14" s="124"/>
      <c r="AJ14" s="124"/>
      <c r="AK14" s="3"/>
      <c r="BF14" s="150"/>
      <c r="BG14" s="295" t="s">
        <v>0</v>
      </c>
      <c r="BH14" s="5"/>
      <c r="BI14"/>
      <c r="BJ14"/>
      <c r="BK14"/>
      <c r="BL14"/>
      <c r="BM14"/>
      <c r="BN14" s="199">
        <v>-21982.399999997608</v>
      </c>
      <c r="BO14"/>
      <c r="BP14"/>
      <c r="BQ14"/>
      <c r="BR14"/>
      <c r="BS14"/>
      <c r="BT14"/>
      <c r="BU14"/>
      <c r="BY14" s="150"/>
      <c r="BZ14" s="40"/>
      <c r="CA14" s="11"/>
      <c r="CB14" s="2"/>
      <c r="CC14" s="2"/>
      <c r="CD14" s="2"/>
      <c r="CE14" s="2"/>
      <c r="CF14" s="2"/>
      <c r="CG14" s="2"/>
      <c r="CH14" s="2"/>
      <c r="CK14" s="40"/>
      <c r="CL14" s="11"/>
      <c r="CM14" s="2"/>
      <c r="CN14" s="2"/>
      <c r="CO14" s="2"/>
      <c r="CP14" s="2"/>
      <c r="CQ14" s="2"/>
      <c r="CR14" s="2"/>
      <c r="CS14" s="2"/>
      <c r="CW14" s="150"/>
      <c r="CX14" s="40"/>
      <c r="CY14" s="11"/>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209"/>
      <c r="DZ14" s="209"/>
      <c r="EA14" s="150"/>
      <c r="FH14" s="150"/>
    </row>
    <row r="15" spans="1:175" s="4" customFormat="1" ht="15" customHeight="1" outlineLevel="1" x14ac:dyDescent="0.25">
      <c r="A15" s="40"/>
      <c r="B15" s="11"/>
      <c r="C15" s="12"/>
      <c r="D15" s="12"/>
      <c r="E15" s="12"/>
      <c r="F15" s="12"/>
      <c r="G15" s="12"/>
      <c r="H15" s="12"/>
      <c r="I15" s="12"/>
      <c r="J15" s="12"/>
      <c r="M15" s="150"/>
      <c r="N15" s="150"/>
      <c r="O15" s="145"/>
      <c r="P15" s="92"/>
      <c r="Q15" s="124"/>
      <c r="R15" s="124"/>
      <c r="S15" s="124"/>
      <c r="T15" s="124"/>
      <c r="U15" s="124"/>
      <c r="V15" s="124"/>
      <c r="W15" s="124"/>
      <c r="X15" s="124"/>
      <c r="Y15" s="124"/>
      <c r="Z15" s="124"/>
      <c r="AA15" s="124"/>
      <c r="AB15" s="159"/>
      <c r="AC15" s="124"/>
      <c r="AD15" s="124"/>
      <c r="AE15" s="124"/>
      <c r="AF15" s="124"/>
      <c r="AG15" s="124"/>
      <c r="AH15" s="124"/>
      <c r="AI15" s="124"/>
      <c r="AJ15" s="124"/>
      <c r="AK15" s="3"/>
      <c r="BF15" s="150"/>
      <c r="BG15" s="295"/>
      <c r="BH15" s="5" t="s">
        <v>9</v>
      </c>
      <c r="BI15" s="200">
        <v>5075926.8299999991</v>
      </c>
      <c r="BJ15" s="201">
        <f>8226323.59-BH5</f>
        <v>8170963.8799999999</v>
      </c>
      <c r="BK15" s="200">
        <v>17050986.669999998</v>
      </c>
      <c r="BL15" s="200">
        <v>3390691.4000000004</v>
      </c>
      <c r="BM15" s="201">
        <f>3040542.49-BI5</f>
        <v>3035434.49</v>
      </c>
      <c r="BN15" s="200">
        <v>6776151.4500000002</v>
      </c>
      <c r="BO15" s="200">
        <v>3593096.5983472401</v>
      </c>
      <c r="BP15" s="200">
        <v>3249816.752362628</v>
      </c>
      <c r="BQ15" s="200">
        <v>6101138.4180074409</v>
      </c>
      <c r="BR15" s="200">
        <v>5074049.6564757768</v>
      </c>
      <c r="BS15" s="200">
        <v>6150752.0389186945</v>
      </c>
      <c r="BT15" s="200">
        <v>4538886.177325543</v>
      </c>
      <c r="BU15" s="200">
        <v>5908069.5179605344</v>
      </c>
      <c r="BY15" s="150"/>
      <c r="BZ15" s="292" t="s">
        <v>20</v>
      </c>
      <c r="CA15" s="15"/>
      <c r="CB15" s="2"/>
      <c r="CC15" s="2"/>
      <c r="CD15" s="2"/>
      <c r="CE15" s="2"/>
      <c r="CF15" s="2"/>
      <c r="CG15" s="2"/>
      <c r="CH15" s="2"/>
      <c r="CK15" s="292" t="s">
        <v>20</v>
      </c>
      <c r="CL15" s="15"/>
      <c r="CM15" s="2"/>
      <c r="CN15" s="2"/>
      <c r="CO15" s="2"/>
      <c r="CP15" s="2"/>
      <c r="CQ15" s="2"/>
      <c r="CR15" s="2"/>
      <c r="CS15" s="2"/>
      <c r="CW15" s="150"/>
      <c r="CX15" s="292" t="s">
        <v>25</v>
      </c>
      <c r="CY15" s="15"/>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209"/>
      <c r="DZ15" s="209"/>
      <c r="EA15" s="150"/>
      <c r="EB15" s="4" t="s">
        <v>134</v>
      </c>
      <c r="EM15" s="4" t="s">
        <v>135</v>
      </c>
      <c r="EX15" s="4" t="s">
        <v>136</v>
      </c>
      <c r="FH15" s="150"/>
    </row>
    <row r="16" spans="1:175" s="4" customFormat="1" ht="15" customHeight="1" outlineLevel="1" thickBot="1" x14ac:dyDescent="0.3">
      <c r="A16" s="292" t="s">
        <v>21</v>
      </c>
      <c r="B16" s="15"/>
      <c r="C16" s="7"/>
      <c r="D16" s="7"/>
      <c r="E16" s="7"/>
      <c r="F16" s="7"/>
      <c r="G16" s="7"/>
      <c r="H16" s="7"/>
      <c r="I16" s="7"/>
      <c r="J16" s="7"/>
      <c r="M16" s="150"/>
      <c r="N16" s="150"/>
      <c r="O16" s="40"/>
      <c r="P16" s="11"/>
      <c r="Q16" s="142"/>
      <c r="R16" s="143"/>
      <c r="S16" s="143"/>
      <c r="T16" s="143"/>
      <c r="U16" s="143"/>
      <c r="V16" s="143"/>
      <c r="W16" s="143"/>
      <c r="X16" s="143"/>
      <c r="Y16" s="144"/>
      <c r="Z16" s="124"/>
      <c r="AA16" s="124"/>
      <c r="AB16" s="159"/>
      <c r="AC16" s="124"/>
      <c r="AD16" s="124"/>
      <c r="AE16" s="124"/>
      <c r="AF16" s="124"/>
      <c r="AG16" s="124"/>
      <c r="AH16" s="124"/>
      <c r="AI16" s="124"/>
      <c r="AJ16" s="124"/>
      <c r="BF16" s="150"/>
      <c r="BG16" s="295"/>
      <c r="BH16" s="5" t="s">
        <v>10</v>
      </c>
      <c r="BI16" s="200">
        <v>4362797.6900000004</v>
      </c>
      <c r="BJ16" s="200">
        <v>4453895.6900000004</v>
      </c>
      <c r="BK16" s="200">
        <v>5320333.05</v>
      </c>
      <c r="BL16" s="200">
        <v>6316759.2699999996</v>
      </c>
      <c r="BM16" s="200">
        <v>7583892.4100000001</v>
      </c>
      <c r="BN16" s="200">
        <v>7418563.8899999997</v>
      </c>
      <c r="BO16" s="200">
        <v>5953301.3499999996</v>
      </c>
      <c r="BP16" s="200">
        <v>5846801.6900000004</v>
      </c>
      <c r="BQ16" s="200">
        <v>6866409.0999999996</v>
      </c>
      <c r="BR16" s="200">
        <v>8666483.5800000001</v>
      </c>
      <c r="BS16" s="200">
        <v>8626819.1899999995</v>
      </c>
      <c r="BT16" s="200">
        <v>8648916.9199999999</v>
      </c>
      <c r="BU16" s="200">
        <v>6801979.5499999998</v>
      </c>
      <c r="BY16" s="150"/>
      <c r="BZ16" s="292"/>
      <c r="CA16" s="15" t="s">
        <v>28</v>
      </c>
      <c r="CB16" s="216">
        <v>1017970.7346454827</v>
      </c>
      <c r="CC16" s="216">
        <v>1252923.0225376603</v>
      </c>
      <c r="CD16" s="216">
        <v>1434652.1574546397</v>
      </c>
      <c r="CE16" s="216">
        <v>1242256.6900827016</v>
      </c>
      <c r="CF16" s="216">
        <v>466704.19082447694</v>
      </c>
      <c r="CG16" s="216">
        <v>411086.64598257263</v>
      </c>
      <c r="CH16" s="216">
        <v>460606.66199414816</v>
      </c>
      <c r="CK16" s="292"/>
      <c r="CL16" s="15" t="s">
        <v>28</v>
      </c>
      <c r="CM16" s="216">
        <v>1011793.2887044745</v>
      </c>
      <c r="CN16" s="216">
        <v>1239697.3927115593</v>
      </c>
      <c r="CO16" s="216">
        <v>1413139.8181276456</v>
      </c>
      <c r="CP16" s="216">
        <v>1222383.3115222841</v>
      </c>
      <c r="CQ16" s="216">
        <v>459531.31527281163</v>
      </c>
      <c r="CR16" s="216">
        <v>407298.77814346319</v>
      </c>
      <c r="CS16" s="216">
        <v>460066.17977211718</v>
      </c>
      <c r="CW16" s="150"/>
      <c r="CX16" s="292"/>
      <c r="CY16" s="15" t="s">
        <v>28</v>
      </c>
      <c r="CZ16" s="19">
        <v>1120062.8565557792</v>
      </c>
      <c r="DA16" s="19">
        <v>1377220.6643166305</v>
      </c>
      <c r="DB16" s="19">
        <v>1195166.5723548159</v>
      </c>
      <c r="DC16" s="19">
        <v>1300632.3993987506</v>
      </c>
      <c r="DD16" s="19">
        <v>1205822.8207733985</v>
      </c>
      <c r="DE16" s="19">
        <v>1472551.2785682739</v>
      </c>
      <c r="DF16" s="19">
        <v>3602609.9103061222</v>
      </c>
      <c r="DG16" s="19">
        <v>4524979.9029475963</v>
      </c>
      <c r="DH16" s="19">
        <v>4557691.9623519126</v>
      </c>
      <c r="DI16" s="19">
        <v>3395133.6257571932</v>
      </c>
      <c r="DJ16" s="19">
        <v>1618999.5517252116</v>
      </c>
      <c r="DK16" s="19">
        <v>1693340.1593012405</v>
      </c>
      <c r="DL16" s="19">
        <v>2043834.5150522972</v>
      </c>
      <c r="DM16" s="19">
        <v>2546894.0685010902</v>
      </c>
      <c r="DN16" s="19">
        <v>2089616.4766016018</v>
      </c>
      <c r="DO16" s="19">
        <v>912247.85076541686</v>
      </c>
      <c r="DP16" s="19">
        <v>846334.21711913729</v>
      </c>
      <c r="DQ16" s="19">
        <v>1066637.678205363</v>
      </c>
      <c r="DR16" s="19">
        <v>2863352.6421243409</v>
      </c>
      <c r="DS16" s="19">
        <v>3675557.5237109675</v>
      </c>
      <c r="DT16" s="19">
        <v>3342039.9312423691</v>
      </c>
      <c r="DU16" s="19">
        <v>2373846.5851787962</v>
      </c>
      <c r="DV16" s="19">
        <v>1051178.3111241481</v>
      </c>
      <c r="DW16" s="19">
        <v>1105092.1759465141</v>
      </c>
      <c r="DX16" s="19">
        <v>1381965.5186848878</v>
      </c>
      <c r="DY16" s="209"/>
      <c r="DZ16" s="209"/>
      <c r="EA16" s="150"/>
      <c r="FH16" s="150"/>
      <c r="FK16" s="251" t="s">
        <v>143</v>
      </c>
    </row>
    <row r="17" spans="1:175" s="2" customFormat="1" ht="15" customHeight="1" outlineLevel="1" x14ac:dyDescent="0.25">
      <c r="A17" s="292"/>
      <c r="B17" s="15" t="s">
        <v>28</v>
      </c>
      <c r="C17" s="20">
        <f>C88</f>
        <v>0.34412602678174997</v>
      </c>
      <c r="D17" s="20">
        <f t="shared" ref="D17:J17" si="6">D88</f>
        <v>593.85341007321881</v>
      </c>
      <c r="E17" s="20">
        <f t="shared" si="6"/>
        <v>8368.5225960071712</v>
      </c>
      <c r="F17" s="20">
        <f t="shared" si="6"/>
        <v>23641.814181406706</v>
      </c>
      <c r="G17" s="20">
        <f t="shared" si="6"/>
        <v>47663.861231335664</v>
      </c>
      <c r="H17" s="20">
        <f t="shared" si="6"/>
        <v>53423.137293371561</v>
      </c>
      <c r="I17" s="20">
        <f t="shared" si="6"/>
        <v>71954.397236201956</v>
      </c>
      <c r="J17" s="20">
        <f t="shared" si="6"/>
        <v>61965.752554031846</v>
      </c>
      <c r="M17" s="151"/>
      <c r="N17" s="151"/>
      <c r="O17" s="292" t="s">
        <v>25</v>
      </c>
      <c r="P17" s="15"/>
      <c r="Q17" s="7"/>
      <c r="R17" s="7"/>
      <c r="S17" s="7"/>
      <c r="T17" s="7"/>
      <c r="U17" s="7"/>
      <c r="V17" s="7"/>
      <c r="W17" s="7"/>
      <c r="X17" s="7"/>
      <c r="Y17" s="129"/>
      <c r="Z17" s="4"/>
      <c r="AA17" s="4"/>
      <c r="AB17" s="159"/>
      <c r="AC17" s="124"/>
      <c r="AD17" s="124"/>
      <c r="AE17" s="124"/>
      <c r="AF17" s="124"/>
      <c r="AG17" s="124"/>
      <c r="AH17" s="124"/>
      <c r="AI17" s="124"/>
      <c r="AJ17" s="124"/>
      <c r="AK17" s="4"/>
      <c r="BF17" s="151"/>
      <c r="BG17" s="295"/>
      <c r="BH17" s="5" t="s">
        <v>11</v>
      </c>
      <c r="BI17" s="202">
        <v>713129.13999999873</v>
      </c>
      <c r="BJ17" s="203">
        <f t="shared" ref="BJ17:BU17" si="7">IF(OR(BJ15="",BJ16=""),"",BJ15-BJ16)</f>
        <v>3717068.1899999995</v>
      </c>
      <c r="BK17" s="203">
        <f t="shared" si="7"/>
        <v>11730653.619999997</v>
      </c>
      <c r="BL17" s="203">
        <f t="shared" si="7"/>
        <v>-2926067.8699999992</v>
      </c>
      <c r="BM17" s="203">
        <f t="shared" si="7"/>
        <v>-4548457.92</v>
      </c>
      <c r="BN17" s="203">
        <f t="shared" si="7"/>
        <v>-642412.43999999948</v>
      </c>
      <c r="BO17" s="203">
        <f t="shared" si="7"/>
        <v>-2360204.7516527595</v>
      </c>
      <c r="BP17" s="203">
        <f t="shared" si="7"/>
        <v>-2596984.9376373724</v>
      </c>
      <c r="BQ17" s="203">
        <f t="shared" si="7"/>
        <v>-765270.68199255876</v>
      </c>
      <c r="BR17" s="203">
        <f t="shared" si="7"/>
        <v>-3592433.9235242233</v>
      </c>
      <c r="BS17" s="203">
        <f t="shared" si="7"/>
        <v>-2476067.151081305</v>
      </c>
      <c r="BT17" s="203">
        <f t="shared" si="7"/>
        <v>-4110030.7426744569</v>
      </c>
      <c r="BU17" s="203">
        <f t="shared" si="7"/>
        <v>-893910.03203946538</v>
      </c>
      <c r="BY17" s="151"/>
      <c r="BZ17" s="292"/>
      <c r="CA17" s="16" t="s">
        <v>26</v>
      </c>
      <c r="CB17" s="216">
        <v>1278047.5437683114</v>
      </c>
      <c r="CC17" s="216">
        <v>1599362.0545714868</v>
      </c>
      <c r="CD17" s="216">
        <v>2061688.4651608262</v>
      </c>
      <c r="CE17" s="216">
        <v>1660014.398272939</v>
      </c>
      <c r="CF17" s="216">
        <v>727343.38262135477</v>
      </c>
      <c r="CG17" s="216">
        <v>558489.16557480057</v>
      </c>
      <c r="CH17" s="216">
        <v>521512.93435668247</v>
      </c>
      <c r="CK17" s="292"/>
      <c r="CL17" s="16" t="s">
        <v>26</v>
      </c>
      <c r="CM17" s="216">
        <v>1281347.3500728621</v>
      </c>
      <c r="CN17" s="216">
        <v>1606180.5544486165</v>
      </c>
      <c r="CO17" s="216">
        <v>2073694.4195104088</v>
      </c>
      <c r="CP17" s="216">
        <v>1671524.4079852232</v>
      </c>
      <c r="CQ17" s="216">
        <v>731304.04769213265</v>
      </c>
      <c r="CR17" s="216">
        <v>560620.84130505682</v>
      </c>
      <c r="CS17" s="216">
        <v>521764.12904962653</v>
      </c>
      <c r="CW17" s="151"/>
      <c r="CX17" s="292"/>
      <c r="CY17" s="16" t="s">
        <v>26</v>
      </c>
      <c r="CZ17" s="19">
        <v>664038.72</v>
      </c>
      <c r="DA17" s="19">
        <v>811016.92</v>
      </c>
      <c r="DB17" s="19">
        <v>2076902.76</v>
      </c>
      <c r="DC17" s="19">
        <v>2924297.21</v>
      </c>
      <c r="DD17" s="19">
        <v>2229866.6</v>
      </c>
      <c r="DE17" s="19">
        <v>2168254.38</v>
      </c>
      <c r="DF17" s="19">
        <v>2621890.16</v>
      </c>
      <c r="DG17" s="19">
        <v>3329515.52</v>
      </c>
      <c r="DH17" s="19">
        <v>3339633.92</v>
      </c>
      <c r="DI17" s="19">
        <v>3328981</v>
      </c>
      <c r="DJ17" s="19">
        <v>2544745.08</v>
      </c>
      <c r="DK17" s="19">
        <v>2313567.6800000002</v>
      </c>
      <c r="DL17" s="19">
        <v>2791286.27</v>
      </c>
      <c r="DM17" s="19">
        <v>3345196.33</v>
      </c>
      <c r="DN17" s="19">
        <v>2693584.13</v>
      </c>
      <c r="DO17" s="19">
        <v>1313029.4300000002</v>
      </c>
      <c r="DP17" s="19">
        <v>1059088.8899999999</v>
      </c>
      <c r="DQ17" s="19">
        <v>1067990.67</v>
      </c>
      <c r="DR17" s="19">
        <v>1283730.6599999999</v>
      </c>
      <c r="DS17" s="19">
        <v>1612267.41</v>
      </c>
      <c r="DT17" s="19">
        <v>1561342.09</v>
      </c>
      <c r="DU17" s="19">
        <v>1380925.98</v>
      </c>
      <c r="DV17" s="19">
        <v>1082294.4100000001</v>
      </c>
      <c r="DW17" s="19">
        <v>1039274.52</v>
      </c>
      <c r="DX17" s="19">
        <v>1374184.39</v>
      </c>
      <c r="DY17" s="222"/>
      <c r="DZ17" s="222"/>
      <c r="EA17" s="151"/>
      <c r="FH17" s="151"/>
      <c r="FK17" s="252">
        <v>45017</v>
      </c>
      <c r="FL17" s="253">
        <v>45047</v>
      </c>
      <c r="FM17" s="253">
        <v>45078</v>
      </c>
      <c r="FN17" s="253">
        <v>45108</v>
      </c>
      <c r="FO17" s="253">
        <v>45139</v>
      </c>
      <c r="FP17" s="253">
        <v>45170</v>
      </c>
      <c r="FQ17" s="240"/>
      <c r="FR17" s="254"/>
      <c r="FS17" s="255"/>
    </row>
    <row r="18" spans="1:175" s="4" customFormat="1" ht="15" customHeight="1" outlineLevel="1" x14ac:dyDescent="0.25">
      <c r="A18" s="292"/>
      <c r="B18" s="16" t="s">
        <v>26</v>
      </c>
      <c r="C18" s="20">
        <f>IF('M3 Allocations - TD'!D52="","",'M3 Allocations - TD'!D70)</f>
        <v>0</v>
      </c>
      <c r="D18" s="20">
        <f>IF('M3 Allocations - TD'!E52="","",'M3 Allocations - TD'!E70)</f>
        <v>0</v>
      </c>
      <c r="E18" s="20">
        <f>IF('M3 Allocations - TD'!F52="","",'M3 Allocations - TD'!F70)</f>
        <v>4662.874879564878</v>
      </c>
      <c r="F18" s="20">
        <f>IF('M3 Allocations - TD'!G52="","",'M3 Allocations - TD'!G70)</f>
        <v>60575.806014450071</v>
      </c>
      <c r="G18" s="20">
        <f>IF('M3 Allocations - TD'!H52="","",'M3 Allocations - TD'!H70)</f>
        <v>69235.226705339766</v>
      </c>
      <c r="H18" s="20">
        <f>IF('M3 Allocations - TD'!I52="","",'M3 Allocations - TD'!I70)</f>
        <v>71132.268141530934</v>
      </c>
      <c r="I18" s="20">
        <f>IF('M3 Allocations - TD'!J52="","",'M3 Allocations - TD'!J70)</f>
        <v>68766.003213137257</v>
      </c>
      <c r="J18" s="20">
        <f>IF('M3 Allocations - TD'!K52="","",'M3 Allocations - TD'!K70)</f>
        <v>61936.863591354115</v>
      </c>
      <c r="M18" s="150"/>
      <c r="N18" s="150"/>
      <c r="O18" s="292"/>
      <c r="P18" s="15" t="s">
        <v>28</v>
      </c>
      <c r="Q18" s="19">
        <v>921069.68539476907</v>
      </c>
      <c r="R18" s="19">
        <v>727242.36549864151</v>
      </c>
      <c r="S18" s="19">
        <v>330495.27100759087</v>
      </c>
      <c r="T18" s="19">
        <v>448514.38010054693</v>
      </c>
      <c r="U18" s="19">
        <v>1166466.8526526124</v>
      </c>
      <c r="V18" s="19">
        <v>1596902.1714481553</v>
      </c>
      <c r="W18" s="19">
        <v>1748272.4117888492</v>
      </c>
      <c r="X18" s="19">
        <v>1519471.01623757</v>
      </c>
      <c r="Y18" s="130">
        <v>764880.45368540613</v>
      </c>
      <c r="Z18" s="2"/>
      <c r="AA18" s="2"/>
      <c r="AB18" s="158"/>
      <c r="AC18" s="133"/>
      <c r="AD18" s="133"/>
      <c r="AE18" s="133"/>
      <c r="AF18" s="133"/>
      <c r="AG18" s="133"/>
      <c r="AH18" s="133"/>
      <c r="AI18" s="133"/>
      <c r="AJ18" s="133"/>
      <c r="AK18" s="2"/>
      <c r="BF18" s="150"/>
      <c r="BG18" s="295"/>
      <c r="BH18" s="5" t="s">
        <v>4</v>
      </c>
      <c r="BI18" s="204">
        <v>2E-3</v>
      </c>
      <c r="BJ18" s="205">
        <v>2.5244400000000002E-3</v>
      </c>
      <c r="BK18" s="205">
        <v>2.8469900000000002E-3</v>
      </c>
      <c r="BL18" s="205">
        <v>2.0613900000000002E-3</v>
      </c>
      <c r="BM18" s="205">
        <v>2.3221700000000001E-3</v>
      </c>
      <c r="BN18" s="23">
        <v>2.1367399999999998E-3</v>
      </c>
      <c r="BO18" s="23">
        <v>2.2512299999999999E-3</v>
      </c>
      <c r="BP18" s="23">
        <v>2.2427200000000001E-3</v>
      </c>
      <c r="BQ18" s="23">
        <v>2.01659E-3</v>
      </c>
      <c r="BR18" s="23">
        <v>1.3954900000000001E-3</v>
      </c>
      <c r="BS18" s="23">
        <v>2.0509899999999999E-3</v>
      </c>
      <c r="BT18" s="23">
        <v>1.9323299999999999E-3</v>
      </c>
      <c r="BU18" s="23">
        <v>1.5E-3</v>
      </c>
      <c r="BV18" s="103" t="s">
        <v>84</v>
      </c>
      <c r="BW18" s="103" t="s">
        <v>87</v>
      </c>
      <c r="BY18" s="150"/>
      <c r="BZ18" s="292"/>
      <c r="CA18" s="16" t="s">
        <v>51</v>
      </c>
      <c r="CB18" s="216">
        <v>-198628.63</v>
      </c>
      <c r="CC18" s="216">
        <v>-248528.93</v>
      </c>
      <c r="CD18" s="216">
        <v>-321239.03999999998</v>
      </c>
      <c r="CE18" s="216">
        <v>-270175.45</v>
      </c>
      <c r="CF18" s="216">
        <v>-118232.21</v>
      </c>
      <c r="CG18" s="216">
        <v>-90604.87</v>
      </c>
      <c r="CH18" s="216">
        <v>-84722.21</v>
      </c>
      <c r="CK18" s="292"/>
      <c r="CL18" s="16" t="s">
        <v>51</v>
      </c>
      <c r="CM18" s="216">
        <v>-198628.63</v>
      </c>
      <c r="CN18" s="216">
        <v>-248528.93</v>
      </c>
      <c r="CO18" s="216">
        <v>-321239.03999999998</v>
      </c>
      <c r="CP18" s="216">
        <v>-270175.45</v>
      </c>
      <c r="CQ18" s="216">
        <v>-118232.21</v>
      </c>
      <c r="CR18" s="216">
        <v>-90604.87</v>
      </c>
      <c r="CS18" s="216">
        <v>-84722.21</v>
      </c>
      <c r="CW18" s="150"/>
      <c r="CX18" s="292"/>
      <c r="CY18" s="16" t="s">
        <v>51</v>
      </c>
      <c r="CZ18" s="19">
        <v>183380.12</v>
      </c>
      <c r="DA18" s="19">
        <v>220797.02</v>
      </c>
      <c r="DB18" s="19">
        <v>-269418.96999999997</v>
      </c>
      <c r="DC18" s="19">
        <v>-372580.93</v>
      </c>
      <c r="DD18" s="19">
        <v>-266557.01</v>
      </c>
      <c r="DE18" s="19">
        <v>-255479.12</v>
      </c>
      <c r="DF18" s="19">
        <v>-321252.77</v>
      </c>
      <c r="DG18" s="19">
        <v>-412310.44999999995</v>
      </c>
      <c r="DH18" s="19">
        <v>-417357.26</v>
      </c>
      <c r="DI18" s="19">
        <v>-413042.95</v>
      </c>
      <c r="DJ18" s="19">
        <v>-303496.26</v>
      </c>
      <c r="DK18" s="19">
        <v>-281268.86</v>
      </c>
      <c r="DL18" s="19">
        <v>-341119.99</v>
      </c>
      <c r="DM18" s="19">
        <v>-424246.17</v>
      </c>
      <c r="DN18" s="19">
        <v>-37488.600000000006</v>
      </c>
      <c r="DO18" s="19">
        <v>-16454.500000000015</v>
      </c>
      <c r="DP18" s="19">
        <v>-60641.26999999999</v>
      </c>
      <c r="DQ18" s="19">
        <v>8124.2599999999948</v>
      </c>
      <c r="DR18" s="19">
        <v>-761.50999999999476</v>
      </c>
      <c r="DS18" s="19">
        <v>-28136.840000000011</v>
      </c>
      <c r="DT18" s="19">
        <v>-22606.089999999997</v>
      </c>
      <c r="DU18" s="19">
        <v>-3873.9199999999837</v>
      </c>
      <c r="DV18" s="19">
        <v>12650.119999999995</v>
      </c>
      <c r="DW18" s="19">
        <v>15417.529999999984</v>
      </c>
      <c r="DX18" s="19">
        <v>-16235.439999999988</v>
      </c>
      <c r="DY18" s="209"/>
      <c r="DZ18" s="209"/>
      <c r="EA18" s="150"/>
      <c r="FH18" s="150"/>
      <c r="FK18" s="256">
        <v>780659.54894832708</v>
      </c>
      <c r="FL18" s="178">
        <v>800698.45677987696</v>
      </c>
      <c r="FM18" s="178">
        <v>814182.7547070767</v>
      </c>
      <c r="FN18" s="178">
        <v>827306.14447455411</v>
      </c>
      <c r="FO18" s="178">
        <v>194342.81553892637</v>
      </c>
      <c r="FP18" s="178">
        <v>252530.28392805366</v>
      </c>
      <c r="FQ18"/>
      <c r="FS18" s="257"/>
    </row>
    <row r="19" spans="1:175" s="4" customFormat="1" ht="15" customHeight="1" outlineLevel="1" x14ac:dyDescent="0.25">
      <c r="A19" s="292"/>
      <c r="B19" s="16" t="s">
        <v>51</v>
      </c>
      <c r="C19" s="20">
        <f>IF(C18="","",0)</f>
        <v>0</v>
      </c>
      <c r="D19" s="20">
        <f t="shared" ref="D19:J19" si="8">IF(D18="","",0)</f>
        <v>0</v>
      </c>
      <c r="E19" s="20">
        <f t="shared" si="8"/>
        <v>0</v>
      </c>
      <c r="F19" s="20">
        <f t="shared" si="8"/>
        <v>0</v>
      </c>
      <c r="G19" s="20">
        <f t="shared" si="8"/>
        <v>0</v>
      </c>
      <c r="H19" s="20">
        <f t="shared" si="8"/>
        <v>0</v>
      </c>
      <c r="I19" s="20">
        <f t="shared" si="8"/>
        <v>0</v>
      </c>
      <c r="J19" s="20">
        <f t="shared" si="8"/>
        <v>0</v>
      </c>
      <c r="M19" s="150"/>
      <c r="N19" s="150"/>
      <c r="O19" s="292"/>
      <c r="P19" s="16" t="s">
        <v>26</v>
      </c>
      <c r="Q19" s="19">
        <v>705379.12999999989</v>
      </c>
      <c r="R19" s="19">
        <v>656045.5</v>
      </c>
      <c r="S19" s="19">
        <v>537519.55000000005</v>
      </c>
      <c r="T19" s="19">
        <v>488973.88</v>
      </c>
      <c r="U19" s="19">
        <v>614590.80000000005</v>
      </c>
      <c r="V19" s="19">
        <v>791820.69</v>
      </c>
      <c r="W19" s="19">
        <v>759797.67</v>
      </c>
      <c r="X19" s="19">
        <v>707202.3</v>
      </c>
      <c r="Y19" s="130">
        <v>523078.24999999994</v>
      </c>
      <c r="AB19" s="158"/>
      <c r="AC19" s="133"/>
      <c r="AD19" s="133"/>
      <c r="AE19" s="133"/>
      <c r="AF19" s="133"/>
      <c r="AG19" s="133"/>
      <c r="AH19" s="133"/>
      <c r="AI19" s="133"/>
      <c r="AJ19" s="133"/>
      <c r="BF19" s="150"/>
      <c r="BG19" s="295"/>
      <c r="BH19" s="5" t="s">
        <v>5</v>
      </c>
      <c r="BI19" s="202">
        <v>-1351.83</v>
      </c>
      <c r="BJ19" s="206">
        <f t="shared" ref="BJ19:BL19" si="9">IF(OR(BJ18="",BJ17="",BI22=""),"",ROUND(((BI22+BJ17)*BJ18)/12,2))</f>
        <v>-924.63</v>
      </c>
      <c r="BK19" s="8">
        <f t="shared" si="9"/>
        <v>1740.1</v>
      </c>
      <c r="BL19" s="8">
        <f t="shared" si="9"/>
        <v>757.58</v>
      </c>
      <c r="BM19" s="8">
        <f>IF(OR(BM18="",BM17="",BL22=""),"",ROUND(((BL22+BM17)*BM18)/12,2))</f>
        <v>-26.62</v>
      </c>
      <c r="BN19" s="8">
        <f>IF(OR(BN18="",BN17="",BM22=""),"",ROUND(((BM22+BN17+BN14)*BN18)/12,2))+BE11</f>
        <v>-634.75999999999544</v>
      </c>
      <c r="BO19" s="8">
        <f>IF(OR(BO18="",BO17="",BN22=""),"",ROUND(((BN22+BO17)*BO18)/12,2))</f>
        <v>-593.26</v>
      </c>
      <c r="BP19" s="8">
        <f>IF(OR(BP18="",BP17="",BO22=""),"",ROUND(((BO22+BP17)*BP18)/12,2))</f>
        <v>-1076.49</v>
      </c>
      <c r="BQ19" s="8">
        <f t="shared" ref="BQ19:BU19" si="10">IF(OR(BQ18="",BQ17="",BP22=""),"",ROUND(((BP22+BQ17)*BQ18)/12,2))</f>
        <v>-1096.73</v>
      </c>
      <c r="BR19" s="8">
        <f t="shared" si="10"/>
        <v>-1176.8399999999999</v>
      </c>
      <c r="BS19" s="8">
        <f t="shared" si="10"/>
        <v>-2153.0300000000002</v>
      </c>
      <c r="BT19" s="8">
        <f t="shared" si="10"/>
        <v>-2690.64</v>
      </c>
      <c r="BU19" s="8">
        <f t="shared" si="10"/>
        <v>-2200.73</v>
      </c>
      <c r="BV19" s="209">
        <f>SUM('MEEIA 3 calcs'!$Z$10:$AK$10)</f>
        <v>-9951.7199999999939</v>
      </c>
      <c r="BW19" s="207">
        <f>SUM(BJ19:BU19)-BV19</f>
        <v>-124.32999999999993</v>
      </c>
      <c r="BY19" s="150"/>
      <c r="BZ19" s="292"/>
      <c r="CA19" s="16" t="s">
        <v>52</v>
      </c>
      <c r="CB19" s="216">
        <v>1079418.9137683115</v>
      </c>
      <c r="CC19" s="216">
        <v>1350833.1245714868</v>
      </c>
      <c r="CD19" s="216">
        <v>1740449.4251608262</v>
      </c>
      <c r="CE19" s="216">
        <v>1389838.9482729391</v>
      </c>
      <c r="CF19" s="216">
        <v>609111.17262135481</v>
      </c>
      <c r="CG19" s="216">
        <v>467884.29557480058</v>
      </c>
      <c r="CH19" s="216">
        <v>436790.72435668245</v>
      </c>
      <c r="CK19" s="292"/>
      <c r="CL19" s="16" t="s">
        <v>52</v>
      </c>
      <c r="CM19" s="216">
        <v>1082718.7200728622</v>
      </c>
      <c r="CN19" s="216">
        <v>1357651.6244486165</v>
      </c>
      <c r="CO19" s="216">
        <v>1752455.3795104087</v>
      </c>
      <c r="CP19" s="216">
        <v>1401348.9579852233</v>
      </c>
      <c r="CQ19" s="216">
        <v>613071.83769213269</v>
      </c>
      <c r="CR19" s="216">
        <v>470015.97130505682</v>
      </c>
      <c r="CS19" s="216">
        <v>437041.91904962651</v>
      </c>
      <c r="CT19" s="4" t="s">
        <v>117</v>
      </c>
      <c r="CU19" s="4" t="s">
        <v>118</v>
      </c>
      <c r="CV19" s="4" t="s">
        <v>119</v>
      </c>
      <c r="CW19" s="150"/>
      <c r="CX19" s="292"/>
      <c r="CY19" s="16" t="s">
        <v>52</v>
      </c>
      <c r="CZ19" s="19">
        <v>847418.84</v>
      </c>
      <c r="DA19" s="19">
        <v>1031813.9400000001</v>
      </c>
      <c r="DB19" s="19">
        <v>1807483.79</v>
      </c>
      <c r="DC19" s="19">
        <v>2551716.2800000003</v>
      </c>
      <c r="DD19" s="19">
        <v>1963309.5900000003</v>
      </c>
      <c r="DE19" s="19">
        <v>1912775.2599999998</v>
      </c>
      <c r="DF19" s="19">
        <v>2300637.39</v>
      </c>
      <c r="DG19" s="19">
        <v>2917205.0700000003</v>
      </c>
      <c r="DH19" s="19">
        <v>2922276.66</v>
      </c>
      <c r="DI19" s="19">
        <v>2915938.05</v>
      </c>
      <c r="DJ19" s="19">
        <v>2241248.8199999998</v>
      </c>
      <c r="DK19" s="19">
        <v>2032298.8200000003</v>
      </c>
      <c r="DL19" s="19">
        <v>2450166.2800000003</v>
      </c>
      <c r="DM19" s="19">
        <v>2920950.16</v>
      </c>
      <c r="DN19" s="19">
        <v>2656095.5300000003</v>
      </c>
      <c r="DO19" s="19">
        <v>1296574.93</v>
      </c>
      <c r="DP19" s="19">
        <v>998447.61999999988</v>
      </c>
      <c r="DQ19" s="19">
        <v>1076114.93</v>
      </c>
      <c r="DR19" s="19">
        <v>1282969.1499999999</v>
      </c>
      <c r="DS19" s="19">
        <v>1584130.5699999998</v>
      </c>
      <c r="DT19" s="19">
        <v>1538736</v>
      </c>
      <c r="DU19" s="19">
        <v>1377052.06</v>
      </c>
      <c r="DV19" s="19">
        <v>1094944.53</v>
      </c>
      <c r="DW19" s="19">
        <v>1054692.0499999998</v>
      </c>
      <c r="DX19" s="19">
        <v>1357948.95</v>
      </c>
      <c r="DY19" s="209"/>
      <c r="DZ19" s="209"/>
      <c r="EA19" s="150"/>
      <c r="FH19" s="150"/>
      <c r="FK19" s="258">
        <v>23110.13</v>
      </c>
      <c r="FL19" s="56">
        <v>19987.060000000001</v>
      </c>
      <c r="FM19" s="56">
        <v>19388.829999999998</v>
      </c>
      <c r="FN19" s="56">
        <v>54028.06</v>
      </c>
      <c r="FO19" s="56">
        <v>60059.490000000005</v>
      </c>
      <c r="FP19" s="56">
        <v>38128.49</v>
      </c>
      <c r="FQ19"/>
      <c r="FS19" s="257"/>
    </row>
    <row r="20" spans="1:175" s="4" customFormat="1" ht="15" customHeight="1" outlineLevel="1" x14ac:dyDescent="0.25">
      <c r="A20" s="292"/>
      <c r="B20" s="16" t="s">
        <v>52</v>
      </c>
      <c r="C20" s="7">
        <f t="shared" ref="C20:I20" si="11">IF(OR(C19="",C18=""),"",C18+C19)</f>
        <v>0</v>
      </c>
      <c r="D20" s="7">
        <f t="shared" si="11"/>
        <v>0</v>
      </c>
      <c r="E20" s="7">
        <f t="shared" si="11"/>
        <v>4662.874879564878</v>
      </c>
      <c r="F20" s="7">
        <f t="shared" si="11"/>
        <v>60575.806014450071</v>
      </c>
      <c r="G20" s="7">
        <f t="shared" si="11"/>
        <v>69235.226705339766</v>
      </c>
      <c r="H20" s="7">
        <f t="shared" si="11"/>
        <v>71132.268141530934</v>
      </c>
      <c r="I20" s="7">
        <f t="shared" si="11"/>
        <v>68766.003213137257</v>
      </c>
      <c r="J20" s="7">
        <f>IF(OR(J19="",J18=""),"",J18+J19)</f>
        <v>61936.863591354115</v>
      </c>
      <c r="M20" s="150"/>
      <c r="N20" s="150"/>
      <c r="O20" s="292"/>
      <c r="P20" s="16" t="s">
        <v>51</v>
      </c>
      <c r="Q20" s="19">
        <v>196554.22</v>
      </c>
      <c r="R20" s="19">
        <v>181274.15000000002</v>
      </c>
      <c r="S20" s="19">
        <v>149642.01999999999</v>
      </c>
      <c r="T20" s="19">
        <v>136362.22</v>
      </c>
      <c r="U20" s="19">
        <v>171212.22</v>
      </c>
      <c r="V20" s="19">
        <v>216757.82</v>
      </c>
      <c r="W20" s="19">
        <v>209115.01</v>
      </c>
      <c r="X20" s="19">
        <v>195955.65999999997</v>
      </c>
      <c r="Y20" s="130">
        <v>147507.93</v>
      </c>
      <c r="AB20" s="158"/>
      <c r="AC20" s="133"/>
      <c r="AD20" s="133"/>
      <c r="AE20" s="133"/>
      <c r="AF20" s="133"/>
      <c r="AG20" s="133"/>
      <c r="AH20" s="133"/>
      <c r="AI20" s="133"/>
      <c r="AJ20" s="133"/>
      <c r="BF20" s="150"/>
      <c r="BG20" s="295"/>
      <c r="BH20" s="6" t="s">
        <v>6</v>
      </c>
      <c r="BI20" s="202">
        <v>7624.8699999999935</v>
      </c>
      <c r="BJ20" s="206">
        <f t="shared" ref="BJ20:BM20" si="12">IF(OR(BI20="",BJ19=""),"",BI20+BJ19)</f>
        <v>6700.2399999999934</v>
      </c>
      <c r="BK20" s="8">
        <f t="shared" si="12"/>
        <v>8440.3399999999929</v>
      </c>
      <c r="BL20" s="8">
        <f t="shared" si="12"/>
        <v>9197.9199999999928</v>
      </c>
      <c r="BM20" s="8">
        <f t="shared" si="12"/>
        <v>9171.299999999992</v>
      </c>
      <c r="BN20" s="8">
        <f>IF(OR(BM20="",BN19=""),"",BM20+BN19)</f>
        <v>8536.5399999999972</v>
      </c>
      <c r="BO20" s="8">
        <f t="shared" ref="BO20:BU20" si="13">IF(OR(BN20="",BO19=""),"",BN20+BO19)</f>
        <v>7943.279999999997</v>
      </c>
      <c r="BP20" s="8">
        <f t="shared" si="13"/>
        <v>6866.7899999999972</v>
      </c>
      <c r="BQ20" s="8">
        <f t="shared" si="13"/>
        <v>5770.0599999999977</v>
      </c>
      <c r="BR20" s="8">
        <f>IF(OR(BQ20="",BR19=""),"",BQ20+BR19)</f>
        <v>4593.2199999999975</v>
      </c>
      <c r="BS20" s="8">
        <f t="shared" si="13"/>
        <v>2440.1899999999973</v>
      </c>
      <c r="BT20" s="8">
        <f t="shared" si="13"/>
        <v>-250.45000000000255</v>
      </c>
      <c r="BU20" s="8">
        <f t="shared" si="13"/>
        <v>-2451.1800000000026</v>
      </c>
      <c r="BY20" s="150"/>
      <c r="BZ20" s="292"/>
      <c r="CA20" s="16" t="s">
        <v>13</v>
      </c>
      <c r="CB20" s="216">
        <v>-61448.179122828762</v>
      </c>
      <c r="CC20" s="216">
        <v>-97910.102033826523</v>
      </c>
      <c r="CD20" s="216">
        <v>-305797.26770618651</v>
      </c>
      <c r="CE20" s="216">
        <v>-147582.25819023745</v>
      </c>
      <c r="CF20" s="216">
        <v>-142406.98179687787</v>
      </c>
      <c r="CG20" s="216">
        <v>-56797.649592227943</v>
      </c>
      <c r="CH20" s="216">
        <v>23815.937637465715</v>
      </c>
      <c r="CK20" s="292"/>
      <c r="CL20" s="16" t="s">
        <v>13</v>
      </c>
      <c r="CM20" s="216">
        <v>-70925.43136838777</v>
      </c>
      <c r="CN20" s="216">
        <v>-117954.23173705721</v>
      </c>
      <c r="CO20" s="216">
        <v>-339315.56138276309</v>
      </c>
      <c r="CP20" s="216">
        <v>-178965.64646293921</v>
      </c>
      <c r="CQ20" s="216">
        <v>-153540.52241932106</v>
      </c>
      <c r="CR20" s="216">
        <v>-62717.193161593634</v>
      </c>
      <c r="CS20" s="216">
        <v>23024.260722490668</v>
      </c>
      <c r="CT20" s="217">
        <f>SUM(CM20:CS20)</f>
        <v>-900394.32580957143</v>
      </c>
      <c r="CU20" s="217">
        <f>SUM(CB20:CH20)</f>
        <v>-788126.50080471928</v>
      </c>
      <c r="CV20" s="217">
        <f>CT20-CU20</f>
        <v>-112267.82500485214</v>
      </c>
      <c r="CW20" s="150"/>
      <c r="CX20" s="292"/>
      <c r="CY20" s="16" t="s">
        <v>13</v>
      </c>
      <c r="CZ20" s="19">
        <v>272644.01655577932</v>
      </c>
      <c r="DA20" s="19">
        <v>345406.72431663051</v>
      </c>
      <c r="DB20" s="19">
        <v>-612317.2176451839</v>
      </c>
      <c r="DC20" s="19">
        <v>-1251083.8806012496</v>
      </c>
      <c r="DD20" s="19">
        <v>-757486.76922660158</v>
      </c>
      <c r="DE20" s="19">
        <v>-440223.98143172619</v>
      </c>
      <c r="DF20" s="19">
        <v>1301972.520306122</v>
      </c>
      <c r="DG20" s="19">
        <v>1607774.8329475964</v>
      </c>
      <c r="DH20" s="19">
        <v>1635415.3023519127</v>
      </c>
      <c r="DI20" s="19">
        <v>479195.57575719332</v>
      </c>
      <c r="DJ20" s="19">
        <v>-622249.26827478828</v>
      </c>
      <c r="DK20" s="19">
        <v>-338958.66069875972</v>
      </c>
      <c r="DL20" s="19">
        <v>-406331.76494770299</v>
      </c>
      <c r="DM20" s="19">
        <v>-374056.09149891004</v>
      </c>
      <c r="DN20" s="19">
        <v>-566479.05339839845</v>
      </c>
      <c r="DO20" s="19">
        <v>-384327.07923458319</v>
      </c>
      <c r="DP20" s="19">
        <v>-152113.4028808627</v>
      </c>
      <c r="DQ20" s="19">
        <v>-9477.251794636868</v>
      </c>
      <c r="DR20" s="19">
        <v>1580383.492124341</v>
      </c>
      <c r="DS20" s="19">
        <v>2091426.9537109674</v>
      </c>
      <c r="DT20" s="19">
        <v>1803303.9312423691</v>
      </c>
      <c r="DU20" s="19">
        <v>996794.52517879615</v>
      </c>
      <c r="DV20" s="19">
        <v>-43766.218875852297</v>
      </c>
      <c r="DW20" s="19">
        <v>50400.12594651409</v>
      </c>
      <c r="DX20" s="19">
        <v>24016.56868488781</v>
      </c>
      <c r="DY20" s="209"/>
      <c r="DZ20" s="209"/>
      <c r="EA20" s="150"/>
      <c r="FH20" s="150"/>
      <c r="FK20" s="258"/>
      <c r="FL20" s="56"/>
      <c r="FM20" s="56"/>
      <c r="FN20" s="56">
        <v>-685363.89284558839</v>
      </c>
      <c r="FO20" s="56">
        <v>0</v>
      </c>
      <c r="FP20" s="56">
        <v>0</v>
      </c>
      <c r="FQ20"/>
      <c r="FS20" s="257"/>
    </row>
    <row r="21" spans="1:175" s="4" customFormat="1" ht="15" outlineLevel="1" x14ac:dyDescent="0.25">
      <c r="A21" s="292"/>
      <c r="B21" s="16" t="s">
        <v>13</v>
      </c>
      <c r="C21" s="7">
        <f t="shared" ref="C21:I21" si="14">IF(OR(C18="",C17=""),"",C17-C18)</f>
        <v>0.34412602678174997</v>
      </c>
      <c r="D21" s="7">
        <f t="shared" si="14"/>
        <v>593.85341007321881</v>
      </c>
      <c r="E21" s="7">
        <f t="shared" si="14"/>
        <v>3705.6477164422931</v>
      </c>
      <c r="F21" s="7">
        <f t="shared" si="14"/>
        <v>-36933.991833043365</v>
      </c>
      <c r="G21" s="7">
        <f t="shared" si="14"/>
        <v>-21571.365474004102</v>
      </c>
      <c r="H21" s="7">
        <f t="shared" si="14"/>
        <v>-17709.130848159373</v>
      </c>
      <c r="I21" s="7">
        <f t="shared" si="14"/>
        <v>3188.3940230646986</v>
      </c>
      <c r="J21" s="7">
        <f>IF(OR(J18="",J17=""),"",J17-J18)</f>
        <v>28.888962677730888</v>
      </c>
      <c r="K21" s="103" t="s">
        <v>84</v>
      </c>
      <c r="L21" s="103" t="s">
        <v>86</v>
      </c>
      <c r="M21" s="150"/>
      <c r="N21" s="150"/>
      <c r="O21" s="292"/>
      <c r="P21" s="16" t="s">
        <v>52</v>
      </c>
      <c r="Q21" s="19">
        <v>901933.35</v>
      </c>
      <c r="R21" s="19">
        <v>837319.65</v>
      </c>
      <c r="S21" s="19">
        <v>687161.57000000007</v>
      </c>
      <c r="T21" s="19">
        <v>625336.1</v>
      </c>
      <c r="U21" s="19">
        <v>785803.02</v>
      </c>
      <c r="V21" s="19">
        <v>1008578.51</v>
      </c>
      <c r="W21" s="19">
        <v>968912.67999999993</v>
      </c>
      <c r="X21" s="19">
        <v>903157.96</v>
      </c>
      <c r="Y21" s="130">
        <v>670586.17999999993</v>
      </c>
      <c r="AB21" s="158"/>
      <c r="AC21" s="133"/>
      <c r="AD21" s="133"/>
      <c r="AE21" s="133"/>
      <c r="AF21" s="133"/>
      <c r="AG21" s="133"/>
      <c r="AH21" s="133"/>
      <c r="AI21" s="133"/>
      <c r="AJ21" s="133"/>
      <c r="BF21" s="150"/>
      <c r="BG21" s="295"/>
      <c r="BH21" s="5" t="s">
        <v>12</v>
      </c>
      <c r="BI21" s="202">
        <v>711777.30999999878</v>
      </c>
      <c r="BJ21" s="206">
        <f t="shared" ref="BJ21:BM21" si="15">IF(OR(BJ19="",BJ17=""),"",BJ17+BJ19)</f>
        <v>3716143.5599999996</v>
      </c>
      <c r="BK21" s="8">
        <f t="shared" si="15"/>
        <v>11732393.719999997</v>
      </c>
      <c r="BL21" s="8">
        <f t="shared" si="15"/>
        <v>-2925310.2899999991</v>
      </c>
      <c r="BM21" s="8">
        <f t="shared" si="15"/>
        <v>-4548484.54</v>
      </c>
      <c r="BN21" s="8">
        <v>-664537.6399999971</v>
      </c>
      <c r="BO21" s="8">
        <f t="shared" ref="BO21:BU21" si="16">IF(OR(BO19="",BO17=""),"",BO17+BO19)</f>
        <v>-2360798.0116527593</v>
      </c>
      <c r="BP21" s="8">
        <f t="shared" si="16"/>
        <v>-2598061.4276373726</v>
      </c>
      <c r="BQ21" s="8">
        <f t="shared" si="16"/>
        <v>-766367.41199255874</v>
      </c>
      <c r="BR21" s="8">
        <f t="shared" si="16"/>
        <v>-3593610.7635242231</v>
      </c>
      <c r="BS21" s="8">
        <f t="shared" si="16"/>
        <v>-2478220.1810813048</v>
      </c>
      <c r="BT21" s="8">
        <f t="shared" si="16"/>
        <v>-4112721.382674457</v>
      </c>
      <c r="BU21" s="8">
        <f t="shared" si="16"/>
        <v>-896110.76203946536</v>
      </c>
      <c r="BY21" s="150"/>
      <c r="BZ21" s="292"/>
      <c r="CA21" s="17" t="s">
        <v>8</v>
      </c>
      <c r="CB21" s="216">
        <v>307.64999999999998</v>
      </c>
      <c r="CC21" s="216">
        <v>447.9</v>
      </c>
      <c r="CD21" s="216">
        <v>280.74</v>
      </c>
      <c r="CE21" s="216">
        <v>251.34</v>
      </c>
      <c r="CF21" s="216">
        <v>435.39</v>
      </c>
      <c r="CG21" s="216">
        <v>306.26</v>
      </c>
      <c r="CH21" s="216">
        <v>436.47</v>
      </c>
      <c r="CK21" s="292"/>
      <c r="CL21" s="17" t="s">
        <v>8</v>
      </c>
      <c r="CM21" s="216">
        <v>306.44</v>
      </c>
      <c r="CN21" s="216">
        <v>441.49</v>
      </c>
      <c r="CO21" s="216">
        <v>268.42</v>
      </c>
      <c r="CP21" s="216">
        <v>228.05</v>
      </c>
      <c r="CQ21" s="216">
        <v>374.82</v>
      </c>
      <c r="CR21" s="216">
        <v>250.44</v>
      </c>
      <c r="CS21" s="216">
        <v>347.49</v>
      </c>
      <c r="CW21" s="150"/>
      <c r="CX21" s="292"/>
      <c r="CY21" s="17" t="s">
        <v>8</v>
      </c>
      <c r="CZ21" s="19">
        <v>587.21</v>
      </c>
      <c r="DA21" s="19">
        <v>702.58999999999992</v>
      </c>
      <c r="DB21" s="19">
        <v>620.98</v>
      </c>
      <c r="DC21" s="19">
        <v>282.39</v>
      </c>
      <c r="DD21" s="19">
        <v>105.45000000000002</v>
      </c>
      <c r="DE21" s="19">
        <v>-24.939999999999998</v>
      </c>
      <c r="DF21" s="19">
        <v>142.39000000000001</v>
      </c>
      <c r="DG21" s="19">
        <v>237.57</v>
      </c>
      <c r="DH21" s="19">
        <v>557.38</v>
      </c>
      <c r="DI21" s="19">
        <v>535.88</v>
      </c>
      <c r="DJ21" s="19">
        <v>300.33</v>
      </c>
      <c r="DK21" s="19">
        <v>227.60999999999999</v>
      </c>
      <c r="DL21" s="19">
        <v>224.75000000000003</v>
      </c>
      <c r="DM21" s="19">
        <v>46.379999999999995</v>
      </c>
      <c r="DN21" s="19">
        <v>-90.359999999999985</v>
      </c>
      <c r="DO21" s="19">
        <v>-440.15000000000009</v>
      </c>
      <c r="DP21" s="19">
        <v>-490.59999999999997</v>
      </c>
      <c r="DQ21" s="19">
        <v>-777.49</v>
      </c>
      <c r="DR21" s="19">
        <v>738.53000000000009</v>
      </c>
      <c r="DS21" s="19">
        <v>4559.8100000000004</v>
      </c>
      <c r="DT21" s="19">
        <v>9499.25</v>
      </c>
      <c r="DU21" s="19">
        <v>12901.65</v>
      </c>
      <c r="DV21" s="19">
        <v>15702.11</v>
      </c>
      <c r="DW21" s="19">
        <v>19685.54</v>
      </c>
      <c r="DX21" s="19">
        <v>21313.8</v>
      </c>
      <c r="DY21" s="209"/>
      <c r="DZ21" s="209"/>
      <c r="EA21" s="150"/>
      <c r="FH21" s="150"/>
      <c r="FK21" s="258">
        <v>0</v>
      </c>
      <c r="FL21" s="56">
        <v>0</v>
      </c>
      <c r="FM21" s="56">
        <v>0</v>
      </c>
      <c r="FN21" s="56">
        <v>0</v>
      </c>
      <c r="FO21" s="56">
        <v>0</v>
      </c>
      <c r="FP21" s="56">
        <v>0</v>
      </c>
      <c r="FQ21"/>
      <c r="FS21" s="257"/>
    </row>
    <row r="22" spans="1:175" s="4" customFormat="1" ht="15" outlineLevel="1" x14ac:dyDescent="0.25">
      <c r="A22" s="292"/>
      <c r="B22" s="17" t="s">
        <v>8</v>
      </c>
      <c r="C22" s="7">
        <f>ROUND((C21+0)*'MEEIA 3 calcs'!F9/12,2)</f>
        <v>0</v>
      </c>
      <c r="D22" s="7">
        <f>ROUND((D21+C24)*'MEEIA 3 calcs'!G9/12,2)</f>
        <v>1.32</v>
      </c>
      <c r="E22" s="7">
        <f>ROUND((E21+D24)*'MEEIA 3 calcs'!H9/12,2)</f>
        <v>9.6</v>
      </c>
      <c r="F22" s="7">
        <f>ROUND((F21+E24)*'MEEIA 3 calcs'!I9/12,2)</f>
        <v>-72.040000000000006</v>
      </c>
      <c r="G22" s="7">
        <f>ROUND((G21+F24)*'MEEIA 3 calcs'!J9/12,2)</f>
        <v>-117.35</v>
      </c>
      <c r="H22" s="7">
        <f>ROUND((H21+G24)*'MEEIA 3 calcs'!K9/12,2)</f>
        <v>-141.25</v>
      </c>
      <c r="I22" s="7">
        <f>ROUND((I21+H24)*'MEEIA 3 calcs'!L9/12,2)</f>
        <v>-127.55</v>
      </c>
      <c r="J22" s="7">
        <f>ROUND((J21+I24)*'MEEIA 3 calcs'!M9/12,2)</f>
        <v>-121.81</v>
      </c>
      <c r="K22" s="104">
        <f>SUM('MEEIA 3 calcs'!F42:M42)</f>
        <v>-569.1</v>
      </c>
      <c r="L22" s="112">
        <f>SUM(C22:J22)-K22</f>
        <v>1.999999999998181E-2</v>
      </c>
      <c r="M22" s="150"/>
      <c r="N22" s="150"/>
      <c r="O22" s="292"/>
      <c r="P22" s="16" t="s">
        <v>13</v>
      </c>
      <c r="Q22" s="19">
        <v>19136.33539476915</v>
      </c>
      <c r="R22" s="19">
        <v>-110077.28450135858</v>
      </c>
      <c r="S22" s="19">
        <v>-356666.29899240914</v>
      </c>
      <c r="T22" s="19">
        <v>-176821.71989945308</v>
      </c>
      <c r="U22" s="19">
        <v>380663.8326526123</v>
      </c>
      <c r="V22" s="19">
        <v>588323.66144815541</v>
      </c>
      <c r="W22" s="19">
        <v>779359.73178884923</v>
      </c>
      <c r="X22" s="19">
        <v>616313.05623756989</v>
      </c>
      <c r="Y22" s="130">
        <v>94294.273685406195</v>
      </c>
      <c r="AB22" s="158"/>
      <c r="AC22" s="133"/>
      <c r="AD22" s="133"/>
      <c r="AE22" s="133"/>
      <c r="AF22" s="133"/>
      <c r="AG22" s="133"/>
      <c r="AH22" s="133"/>
      <c r="AI22" s="133"/>
      <c r="AJ22" s="133"/>
      <c r="BF22" s="150"/>
      <c r="BG22" s="295"/>
      <c r="BH22" s="9" t="s">
        <v>3</v>
      </c>
      <c r="BI22" s="202">
        <v>-8112331.2599999979</v>
      </c>
      <c r="BJ22" s="206">
        <f t="shared" ref="BJ22:BM22" si="17">IF(OR(BJ21="",BI22=""),"",BJ21+BI22)</f>
        <v>-4396187.6999999983</v>
      </c>
      <c r="BK22" s="8">
        <f t="shared" si="17"/>
        <v>7336206.0199999986</v>
      </c>
      <c r="BL22" s="8">
        <f t="shared" si="17"/>
        <v>4410895.7299999995</v>
      </c>
      <c r="BM22" s="8">
        <f t="shared" si="17"/>
        <v>-137588.81000000052</v>
      </c>
      <c r="BN22" s="8">
        <f>IF(OR(BN21="",BM22=""),"",BN21+BM22)</f>
        <v>-802126.44999999763</v>
      </c>
      <c r="BO22" s="8">
        <f>IF(OR(BO21="",BN22=""),"",BO21+BN22)</f>
        <v>-3162924.4616527567</v>
      </c>
      <c r="BP22" s="8">
        <f t="shared" ref="BP22:BU22" si="18">IF(OR(BP21="",BO22=""),"",BP21+BO22)</f>
        <v>-5760985.8892901298</v>
      </c>
      <c r="BQ22" s="8">
        <f t="shared" si="18"/>
        <v>-6527353.301282689</v>
      </c>
      <c r="BR22" s="8">
        <f t="shared" si="18"/>
        <v>-10120964.064806912</v>
      </c>
      <c r="BS22" s="8">
        <f t="shared" si="18"/>
        <v>-12599184.245888216</v>
      </c>
      <c r="BT22" s="8">
        <f t="shared" si="18"/>
        <v>-16711905.628562674</v>
      </c>
      <c r="BU22" s="8">
        <f t="shared" si="18"/>
        <v>-17608016.390602138</v>
      </c>
      <c r="BY22" s="150"/>
      <c r="BZ22" s="292"/>
      <c r="CA22" s="16" t="s">
        <v>14</v>
      </c>
      <c r="CB22" s="216">
        <v>-61140.529122828761</v>
      </c>
      <c r="CC22" s="216">
        <v>-97462.202033826528</v>
      </c>
      <c r="CD22" s="216">
        <v>-305516.52770618652</v>
      </c>
      <c r="CE22" s="216">
        <v>-147330.91819023745</v>
      </c>
      <c r="CF22" s="216">
        <v>-141971.59179687785</v>
      </c>
      <c r="CG22" s="216">
        <v>-56491.389592227941</v>
      </c>
      <c r="CH22" s="216">
        <v>24252.407637465716</v>
      </c>
      <c r="CK22" s="292"/>
      <c r="CL22" s="16" t="s">
        <v>14</v>
      </c>
      <c r="CM22" s="216">
        <v>-70618.991368387768</v>
      </c>
      <c r="CN22" s="216">
        <v>-117512.74173705721</v>
      </c>
      <c r="CO22" s="216">
        <v>-339047.1413827631</v>
      </c>
      <c r="CP22" s="216">
        <v>-178737.59646293923</v>
      </c>
      <c r="CQ22" s="216">
        <v>-153165.70241932105</v>
      </c>
      <c r="CR22" s="216">
        <v>-62466.753161593631</v>
      </c>
      <c r="CS22" s="216">
        <v>23371.750722490669</v>
      </c>
      <c r="CW22" s="150"/>
      <c r="CX22" s="292"/>
      <c r="CY22" s="17" t="s">
        <v>27</v>
      </c>
      <c r="CZ22" s="14">
        <v>-8605.260000000002</v>
      </c>
      <c r="DA22" s="14">
        <v>-7902.6700000000019</v>
      </c>
      <c r="DB22" s="14">
        <v>-7281.6900000000023</v>
      </c>
      <c r="DC22" s="14">
        <v>-6999.300000000002</v>
      </c>
      <c r="DD22" s="14">
        <v>-6893.8500000000022</v>
      </c>
      <c r="DE22" s="14">
        <v>-6918.7900000000018</v>
      </c>
      <c r="DF22" s="14">
        <v>-6776.4000000000015</v>
      </c>
      <c r="DG22" s="14">
        <v>-6538.8300000000017</v>
      </c>
      <c r="DH22" s="14">
        <v>-5981.4500000000016</v>
      </c>
      <c r="DI22" s="14">
        <v>-5445.5700000000015</v>
      </c>
      <c r="DJ22" s="14">
        <v>-5145.2400000000016</v>
      </c>
      <c r="DK22" s="14">
        <v>-4917.6300000000019</v>
      </c>
      <c r="DL22" s="14">
        <v>-4692.8800000000019</v>
      </c>
      <c r="DM22" s="14">
        <v>-4646.5000000000018</v>
      </c>
      <c r="DN22" s="14">
        <v>-4736.8600000000015</v>
      </c>
      <c r="DO22" s="14">
        <v>-5177.010000000002</v>
      </c>
      <c r="DP22" s="14">
        <v>-5667.6100000000024</v>
      </c>
      <c r="DQ22" s="14">
        <v>-6445.1000000000022</v>
      </c>
      <c r="DR22" s="14">
        <v>-5706.5700000000024</v>
      </c>
      <c r="DS22" s="14">
        <v>-1146.760000000002</v>
      </c>
      <c r="DT22" s="14">
        <v>8352.489999999998</v>
      </c>
      <c r="DU22" s="14">
        <v>21254.14</v>
      </c>
      <c r="DV22" s="14">
        <v>36956.25</v>
      </c>
      <c r="DW22" s="14">
        <v>56641.79</v>
      </c>
      <c r="DX22" s="14">
        <v>77955.59</v>
      </c>
      <c r="DY22" s="209"/>
      <c r="DZ22" s="209"/>
      <c r="EA22" s="150"/>
      <c r="FH22" s="150"/>
      <c r="FK22" s="258">
        <v>2979.1408147609818</v>
      </c>
      <c r="FL22" s="56">
        <v>0</v>
      </c>
      <c r="FM22" s="56">
        <v>428.90625</v>
      </c>
      <c r="FN22" s="56">
        <v>0</v>
      </c>
      <c r="FO22" s="56">
        <v>0</v>
      </c>
      <c r="FP22" s="56">
        <v>0</v>
      </c>
      <c r="FQ22"/>
      <c r="FS22" s="257"/>
    </row>
    <row r="23" spans="1:175" s="4" customFormat="1" ht="15" outlineLevel="1" x14ac:dyDescent="0.25">
      <c r="A23" s="292"/>
      <c r="B23" s="16" t="s">
        <v>14</v>
      </c>
      <c r="C23" s="7">
        <f t="shared" ref="C23:J23" si="19">IF(OR(C21="",C22=""),"",C21+C22)</f>
        <v>0.34412602678174997</v>
      </c>
      <c r="D23" s="7">
        <f t="shared" si="19"/>
        <v>595.17341007321886</v>
      </c>
      <c r="E23" s="7">
        <f t="shared" si="19"/>
        <v>3715.247716442293</v>
      </c>
      <c r="F23" s="7">
        <f t="shared" si="19"/>
        <v>-37006.031833043366</v>
      </c>
      <c r="G23" s="7">
        <f t="shared" si="19"/>
        <v>-21688.715474004101</v>
      </c>
      <c r="H23" s="7">
        <f t="shared" si="19"/>
        <v>-17850.380848159373</v>
      </c>
      <c r="I23" s="7">
        <f t="shared" si="19"/>
        <v>3060.8440230646984</v>
      </c>
      <c r="J23" s="7">
        <f t="shared" si="19"/>
        <v>-92.921037322269115</v>
      </c>
      <c r="M23" s="150"/>
      <c r="N23" s="150"/>
      <c r="O23" s="292"/>
      <c r="P23" s="17" t="s">
        <v>8</v>
      </c>
      <c r="Q23" s="19">
        <v>-788.05</v>
      </c>
      <c r="R23" s="19">
        <v>-714.39</v>
      </c>
      <c r="S23" s="19">
        <v>-517.45000000000005</v>
      </c>
      <c r="T23" s="19">
        <v>-75.570000000000007</v>
      </c>
      <c r="U23" s="19">
        <v>-15.789999999999996</v>
      </c>
      <c r="V23" s="19">
        <v>105.58999999999999</v>
      </c>
      <c r="W23" s="19">
        <v>186.98</v>
      </c>
      <c r="X23" s="19">
        <v>253.54000000000002</v>
      </c>
      <c r="Y23" s="130">
        <v>449.55</v>
      </c>
      <c r="AB23" s="158"/>
      <c r="AC23" s="133"/>
      <c r="AD23" s="133"/>
      <c r="AE23" s="133"/>
      <c r="AF23" s="133"/>
      <c r="AG23" s="133"/>
      <c r="AH23" s="133"/>
      <c r="AI23" s="133"/>
      <c r="AJ23" s="133"/>
      <c r="BF23" s="150"/>
      <c r="BY23" s="150"/>
      <c r="BZ23" s="292"/>
      <c r="CA23" s="18" t="s">
        <v>15</v>
      </c>
      <c r="CB23" s="216">
        <v>2409964.1436557667</v>
      </c>
      <c r="CC23" s="216">
        <v>2063973.0116219402</v>
      </c>
      <c r="CD23" s="216">
        <v>1437217.4439157536</v>
      </c>
      <c r="CE23" s="216">
        <v>1019711.0757255162</v>
      </c>
      <c r="CF23" s="216">
        <v>759507.27392863831</v>
      </c>
      <c r="CG23" s="216">
        <v>612411.01433641044</v>
      </c>
      <c r="CH23" s="216">
        <v>551941.21197387611</v>
      </c>
      <c r="CK23" s="292"/>
      <c r="CL23" s="18" t="s">
        <v>15</v>
      </c>
      <c r="CM23" s="216">
        <v>2400485.6814102079</v>
      </c>
      <c r="CN23" s="216">
        <v>2034444.0096731507</v>
      </c>
      <c r="CO23" s="216">
        <v>1374157.8282903875</v>
      </c>
      <c r="CP23" s="216">
        <v>925244.78182744829</v>
      </c>
      <c r="CQ23" s="216">
        <v>653846.86940812715</v>
      </c>
      <c r="CR23" s="216">
        <v>500775.24624653353</v>
      </c>
      <c r="CS23" s="216">
        <v>439424.78696902422</v>
      </c>
      <c r="CW23" s="150"/>
      <c r="CX23" s="292"/>
      <c r="CY23" s="16" t="s">
        <v>14</v>
      </c>
      <c r="CZ23" s="19">
        <v>273231.22655577934</v>
      </c>
      <c r="DA23" s="19">
        <v>346109.31431663054</v>
      </c>
      <c r="DB23" s="19">
        <v>-611696.23764518392</v>
      </c>
      <c r="DC23" s="19">
        <v>-1250801.4906012495</v>
      </c>
      <c r="DD23" s="19">
        <v>-757381.31922660163</v>
      </c>
      <c r="DE23" s="19">
        <v>-440248.92143172614</v>
      </c>
      <c r="DF23" s="19">
        <v>1302114.9103061222</v>
      </c>
      <c r="DG23" s="19">
        <v>1608012.4029475963</v>
      </c>
      <c r="DH23" s="19">
        <v>1635972.6823519126</v>
      </c>
      <c r="DI23" s="19">
        <v>479731.45575719327</v>
      </c>
      <c r="DJ23" s="19">
        <v>-621948.9382747882</v>
      </c>
      <c r="DK23" s="19">
        <v>-338731.05069875967</v>
      </c>
      <c r="DL23" s="19">
        <v>-406107.01494770299</v>
      </c>
      <c r="DM23" s="19">
        <v>-374009.71149891004</v>
      </c>
      <c r="DN23" s="19">
        <v>-566569.41339839844</v>
      </c>
      <c r="DO23" s="19">
        <v>-384767.22923458321</v>
      </c>
      <c r="DP23" s="19">
        <v>-152604.00288086268</v>
      </c>
      <c r="DQ23" s="19">
        <v>-10254.741794636866</v>
      </c>
      <c r="DR23" s="19">
        <v>1581122.0221243408</v>
      </c>
      <c r="DS23" s="19">
        <v>2095986.7637109675</v>
      </c>
      <c r="DT23" s="19">
        <v>1812803.1812423691</v>
      </c>
      <c r="DU23" s="19">
        <v>1009696.1751787962</v>
      </c>
      <c r="DV23" s="19">
        <v>-28064.108875852296</v>
      </c>
      <c r="DW23" s="19">
        <v>70085.665946514084</v>
      </c>
      <c r="DX23" s="19">
        <v>45330.368684887799</v>
      </c>
      <c r="DY23" s="209"/>
      <c r="DZ23" s="209"/>
      <c r="EA23" s="150"/>
      <c r="FH23" s="150"/>
      <c r="FK23" s="258">
        <v>6050.3629832110209</v>
      </c>
      <c r="FL23" s="56">
        <v>6502.762072800364</v>
      </c>
      <c r="FM23" s="56">
        <v>6694.3464825225892</v>
      </c>
      <c r="FN23" s="56">
        <v>1627.4960900394124</v>
      </c>
      <c r="FO23" s="56">
        <v>1872.0216108727457</v>
      </c>
      <c r="FP23" s="56">
        <v>2147.7276178171905</v>
      </c>
      <c r="FQ23"/>
      <c r="FS23" s="257"/>
    </row>
    <row r="24" spans="1:175" s="4" customFormat="1" ht="15" outlineLevel="1" x14ac:dyDescent="0.25">
      <c r="A24" s="292"/>
      <c r="B24" s="18" t="s">
        <v>16</v>
      </c>
      <c r="C24" s="7">
        <f>IF(OR(C23=""),"",C23)</f>
        <v>0.34412602678174997</v>
      </c>
      <c r="D24" s="7">
        <f t="shared" ref="D24:J24" si="20">IF(OR(D23="",C24=""),"",D23+C24)</f>
        <v>595.5175361000006</v>
      </c>
      <c r="E24" s="7">
        <f t="shared" si="20"/>
        <v>4310.7652525422936</v>
      </c>
      <c r="F24" s="7">
        <f t="shared" si="20"/>
        <v>-32695.266580501073</v>
      </c>
      <c r="G24" s="7">
        <f t="shared" si="20"/>
        <v>-54383.982054505177</v>
      </c>
      <c r="H24" s="7">
        <f t="shared" si="20"/>
        <v>-72234.36290266455</v>
      </c>
      <c r="I24" s="7">
        <f t="shared" si="20"/>
        <v>-69173.518879599855</v>
      </c>
      <c r="J24" s="7">
        <f t="shared" si="20"/>
        <v>-69266.439916922129</v>
      </c>
      <c r="M24" s="150"/>
      <c r="N24" s="150"/>
      <c r="O24" s="292"/>
      <c r="P24" s="17" t="s">
        <v>27</v>
      </c>
      <c r="Q24" s="14">
        <v>-9510.0399999999991</v>
      </c>
      <c r="R24" s="14">
        <v>-10224.429999999998</v>
      </c>
      <c r="S24" s="14">
        <v>-10741.88</v>
      </c>
      <c r="T24" s="14">
        <v>-10817.449999999999</v>
      </c>
      <c r="U24" s="14">
        <v>-10833.24</v>
      </c>
      <c r="V24" s="14">
        <v>-10727.65</v>
      </c>
      <c r="W24" s="14">
        <v>-10540.67</v>
      </c>
      <c r="X24" s="14">
        <v>-10287.129999999999</v>
      </c>
      <c r="Y24" s="131">
        <v>-9837.58</v>
      </c>
      <c r="AB24" s="159"/>
      <c r="AC24" s="124"/>
      <c r="AD24" s="124"/>
      <c r="AE24" s="124"/>
      <c r="AF24" s="124"/>
      <c r="AG24" s="124"/>
      <c r="AH24" s="124"/>
      <c r="AI24" s="124"/>
      <c r="AJ24" s="124"/>
      <c r="BF24" s="150"/>
      <c r="BY24" s="150"/>
      <c r="BZ24" s="40"/>
      <c r="CA24" s="11"/>
      <c r="CB24" s="2"/>
      <c r="CC24" s="2"/>
      <c r="CD24" s="2"/>
      <c r="CE24" s="2"/>
      <c r="CF24" s="2"/>
      <c r="CG24" s="2"/>
      <c r="CH24" s="2"/>
      <c r="CK24" s="40"/>
      <c r="CL24" s="11"/>
      <c r="CM24" s="2"/>
      <c r="CN24" s="2"/>
      <c r="CO24" s="2"/>
      <c r="CP24" s="2"/>
      <c r="CQ24" s="2"/>
      <c r="CR24" s="2"/>
      <c r="CS24" s="2"/>
      <c r="CW24" s="150"/>
      <c r="CX24" s="292"/>
      <c r="CY24" s="18" t="s">
        <v>2</v>
      </c>
      <c r="CZ24" s="19">
        <v>3523797.8340895325</v>
      </c>
      <c r="DA24" s="19">
        <v>4090704.1684061629</v>
      </c>
      <c r="DB24" s="19">
        <v>3209588.960760979</v>
      </c>
      <c r="DC24" s="19">
        <v>1586206.5401597298</v>
      </c>
      <c r="DD24" s="19">
        <v>562268.21093312814</v>
      </c>
      <c r="DE24" s="19">
        <v>-133459.83049859805</v>
      </c>
      <c r="DF24" s="19">
        <v>847402.30980752397</v>
      </c>
      <c r="DG24" s="19">
        <v>2043104.2627551204</v>
      </c>
      <c r="DH24" s="19">
        <v>3261719.6851070328</v>
      </c>
      <c r="DI24" s="19">
        <v>3328408.1908642258</v>
      </c>
      <c r="DJ24" s="19">
        <v>2402962.9925894379</v>
      </c>
      <c r="DK24" s="19">
        <v>1782963.081890678</v>
      </c>
      <c r="DL24" s="19">
        <v>1035736.0769429749</v>
      </c>
      <c r="DM24" s="19">
        <v>237480.19544406491</v>
      </c>
      <c r="DN24" s="19">
        <v>-366577.81795433362</v>
      </c>
      <c r="DO24" s="19">
        <v>-767799.54718891683</v>
      </c>
      <c r="DP24" s="19">
        <v>-981044.82006977953</v>
      </c>
      <c r="DQ24" s="19">
        <v>-983175.30186441657</v>
      </c>
      <c r="DR24" s="19">
        <v>597185.21025992464</v>
      </c>
      <c r="DS24" s="19">
        <v>2665035.1339708921</v>
      </c>
      <c r="DT24" s="19">
        <v>4455232.2252132613</v>
      </c>
      <c r="DU24" s="19">
        <v>5461054.4803920574</v>
      </c>
      <c r="DV24" s="19">
        <v>5445640.4915162046</v>
      </c>
      <c r="DW24" s="19">
        <v>5531143.6874627192</v>
      </c>
      <c r="DX24" s="19">
        <v>5560238.6161476066</v>
      </c>
      <c r="DY24" s="209"/>
      <c r="DZ24" s="209"/>
      <c r="EA24" s="150"/>
      <c r="FH24" s="150"/>
      <c r="FK24" s="258">
        <v>800698.45677987696</v>
      </c>
      <c r="FL24" s="56">
        <v>814182.7547070767</v>
      </c>
      <c r="FM24" s="56">
        <v>827306.14447455411</v>
      </c>
      <c r="FN24" s="56">
        <v>194342.81553892637</v>
      </c>
      <c r="FO24" s="56">
        <v>252530.28392805366</v>
      </c>
      <c r="FP24" s="56">
        <v>288511.0463102365</v>
      </c>
      <c r="FQ24"/>
      <c r="FS24" s="257"/>
    </row>
    <row r="25" spans="1:175" s="4" customFormat="1" ht="18.75" customHeight="1" outlineLevel="1" x14ac:dyDescent="0.25">
      <c r="A25" s="40"/>
      <c r="B25" s="11"/>
      <c r="C25" s="12"/>
      <c r="D25" s="12"/>
      <c r="E25" s="12"/>
      <c r="F25" s="12"/>
      <c r="G25" s="12"/>
      <c r="H25" s="12"/>
      <c r="I25" s="12"/>
      <c r="J25" s="12"/>
      <c r="M25" s="150"/>
      <c r="N25" s="150"/>
      <c r="O25" s="292"/>
      <c r="P25" s="16" t="s">
        <v>14</v>
      </c>
      <c r="Q25" s="19">
        <v>18348.285394769147</v>
      </c>
      <c r="R25" s="19">
        <v>-110791.67450135859</v>
      </c>
      <c r="S25" s="19">
        <v>-357183.74899240915</v>
      </c>
      <c r="T25" s="19">
        <v>-176897.28989945308</v>
      </c>
      <c r="U25" s="19">
        <v>380648.04265261232</v>
      </c>
      <c r="V25" s="19">
        <v>588429.25144815538</v>
      </c>
      <c r="W25" s="19">
        <v>779546.71178884932</v>
      </c>
      <c r="X25" s="19">
        <v>616566.59623756993</v>
      </c>
      <c r="Y25" s="130">
        <v>94743.823685406212</v>
      </c>
      <c r="AB25" s="158"/>
      <c r="AC25" s="133"/>
      <c r="AD25" s="133"/>
      <c r="AE25" s="133"/>
      <c r="AF25" s="133"/>
      <c r="AG25" s="133"/>
      <c r="AH25" s="133"/>
      <c r="AI25" s="133"/>
      <c r="AJ25" s="133"/>
      <c r="BF25" s="150"/>
      <c r="BG25" s="150"/>
      <c r="BH25" s="150"/>
      <c r="BI25" s="150"/>
      <c r="BJ25" s="150"/>
      <c r="BK25" s="150"/>
      <c r="BL25" s="150"/>
      <c r="BM25" s="150"/>
      <c r="BN25" s="150"/>
      <c r="BO25" s="150"/>
      <c r="BP25" s="150"/>
      <c r="BQ25" s="150"/>
      <c r="BR25" s="150"/>
      <c r="BS25" s="150"/>
      <c r="BT25" s="150"/>
      <c r="BU25" s="150"/>
      <c r="BV25" s="150"/>
      <c r="BW25" s="150"/>
      <c r="BY25" s="150"/>
      <c r="BZ25" s="292" t="s">
        <v>21</v>
      </c>
      <c r="CA25" s="15"/>
      <c r="CB25" s="2"/>
      <c r="CC25" s="2"/>
      <c r="CD25" s="2"/>
      <c r="CE25" s="2"/>
      <c r="CF25" s="2"/>
      <c r="CG25" s="2"/>
      <c r="CH25" s="2"/>
      <c r="CK25" s="292" t="s">
        <v>21</v>
      </c>
      <c r="CL25" s="15"/>
      <c r="CM25" s="2"/>
      <c r="CN25" s="2"/>
      <c r="CO25" s="2"/>
      <c r="CP25" s="2"/>
      <c r="CQ25" s="2"/>
      <c r="CR25" s="2"/>
      <c r="CS25" s="2"/>
      <c r="CW25" s="150"/>
      <c r="CX25" s="40"/>
      <c r="CY25" s="11"/>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209"/>
      <c r="DZ25" s="209"/>
      <c r="EA25" s="150"/>
      <c r="FH25" s="150"/>
      <c r="FK25" s="256">
        <v>-190030.42932728733</v>
      </c>
      <c r="FL25" s="178">
        <v>-193230.6689463169</v>
      </c>
      <c r="FM25" s="178">
        <v>-196345.25393224583</v>
      </c>
      <c r="FN25" s="178">
        <v>-46123.541716390289</v>
      </c>
      <c r="FO25" s="178">
        <v>-59933.221884780636</v>
      </c>
      <c r="FP25" s="178">
        <v>-68472.566084976861</v>
      </c>
      <c r="FQ25"/>
      <c r="FS25" s="257"/>
    </row>
    <row r="26" spans="1:175" s="4" customFormat="1" ht="15" customHeight="1" outlineLevel="1" x14ac:dyDescent="0.25">
      <c r="A26" s="292" t="s">
        <v>22</v>
      </c>
      <c r="B26" s="15"/>
      <c r="C26" s="7"/>
      <c r="D26" s="7"/>
      <c r="E26" s="7"/>
      <c r="F26" s="7"/>
      <c r="G26" s="7"/>
      <c r="H26" s="7"/>
      <c r="I26" s="7"/>
      <c r="J26" s="7"/>
      <c r="M26" s="150"/>
      <c r="N26" s="150"/>
      <c r="O26" s="292"/>
      <c r="P26" s="18" t="s">
        <v>2</v>
      </c>
      <c r="Q26" s="19">
        <v>-525113.90717548993</v>
      </c>
      <c r="R26" s="19">
        <v>-454631.4316768485</v>
      </c>
      <c r="S26" s="19">
        <v>-662173.16066925763</v>
      </c>
      <c r="T26" s="19">
        <v>-702708.23056871083</v>
      </c>
      <c r="U26" s="19">
        <v>-150847.96791609848</v>
      </c>
      <c r="V26" s="19">
        <v>654339.10353205702</v>
      </c>
      <c r="W26" s="19">
        <v>1643000.8253209062</v>
      </c>
      <c r="X26" s="19">
        <v>2455523.0815584762</v>
      </c>
      <c r="Y26" s="130">
        <v>2697774.8352438826</v>
      </c>
      <c r="AB26" s="158"/>
      <c r="AC26" s="133"/>
      <c r="AD26" s="133"/>
      <c r="AE26" s="133"/>
      <c r="AF26" s="133"/>
      <c r="AG26" s="133"/>
      <c r="AH26" s="133"/>
      <c r="AI26" s="133"/>
      <c r="AJ26" s="133"/>
      <c r="BF26" s="150"/>
      <c r="BG26" s="57" t="s">
        <v>114</v>
      </c>
      <c r="BY26" s="150"/>
      <c r="BZ26" s="292"/>
      <c r="CA26" s="15" t="s">
        <v>28</v>
      </c>
      <c r="CB26" s="216">
        <v>222262.13845546212</v>
      </c>
      <c r="CC26" s="216">
        <v>249509.48642011534</v>
      </c>
      <c r="CD26" s="216">
        <v>321944.69044732186</v>
      </c>
      <c r="CE26" s="216">
        <v>246962.75301226831</v>
      </c>
      <c r="CF26" s="216">
        <v>100845.58616926862</v>
      </c>
      <c r="CG26" s="216">
        <v>127422.49440160212</v>
      </c>
      <c r="CH26" s="216">
        <v>191471.00601967305</v>
      </c>
      <c r="CK26" s="292"/>
      <c r="CL26" s="15" t="s">
        <v>28</v>
      </c>
      <c r="CM26" s="216">
        <v>223625.03574520181</v>
      </c>
      <c r="CN26" s="216">
        <v>252523.31386563691</v>
      </c>
      <c r="CO26" s="216">
        <v>327101.18395832536</v>
      </c>
      <c r="CP26" s="216">
        <v>251928.48906907809</v>
      </c>
      <c r="CQ26" s="216">
        <v>102552.95286269565</v>
      </c>
      <c r="CR26" s="216">
        <v>128255.52178299883</v>
      </c>
      <c r="CS26" s="216">
        <v>191587.71421253134</v>
      </c>
      <c r="CW26" s="150"/>
      <c r="CX26" s="292" t="s">
        <v>20</v>
      </c>
      <c r="CY26" s="15"/>
      <c r="CZ26" s="7"/>
      <c r="DA26" s="7"/>
      <c r="DB26" s="7"/>
      <c r="DC26" s="7"/>
      <c r="DD26" s="7"/>
      <c r="DE26" s="7"/>
      <c r="DF26" s="7"/>
      <c r="DG26" s="7"/>
      <c r="DH26" s="7"/>
      <c r="DI26" s="7"/>
      <c r="DJ26" s="7"/>
      <c r="DK26" s="7"/>
      <c r="DL26" s="7"/>
      <c r="DM26" s="7"/>
      <c r="DN26" s="7"/>
      <c r="DO26" s="7"/>
      <c r="DP26" s="7"/>
      <c r="DQ26" s="7"/>
      <c r="DR26" s="7"/>
      <c r="DS26" s="7"/>
      <c r="DT26" s="7"/>
      <c r="DU26" s="7"/>
      <c r="DV26" s="126">
        <v>-112267.825004852</v>
      </c>
      <c r="DW26" s="7"/>
      <c r="DX26" s="7"/>
      <c r="DY26" s="209"/>
      <c r="DZ26" s="209"/>
      <c r="EA26" s="150"/>
      <c r="FH26" s="150"/>
      <c r="FK26" s="256">
        <v>610668.02745258959</v>
      </c>
      <c r="FL26" s="178">
        <v>620952.08576075977</v>
      </c>
      <c r="FM26" s="178">
        <v>630960.89054230833</v>
      </c>
      <c r="FN26" s="178">
        <v>148219.27382253608</v>
      </c>
      <c r="FO26" s="178">
        <v>192597.06204327301</v>
      </c>
      <c r="FP26" s="178">
        <v>220038.48022525964</v>
      </c>
      <c r="FQ26"/>
      <c r="FS26" s="257"/>
    </row>
    <row r="27" spans="1:175" s="2" customFormat="1" ht="15" customHeight="1" outlineLevel="1" x14ac:dyDescent="0.25">
      <c r="A27" s="292"/>
      <c r="B27" s="15" t="s">
        <v>28</v>
      </c>
      <c r="C27" s="20">
        <f>C89</f>
        <v>0.38250960519337501</v>
      </c>
      <c r="D27" s="20">
        <f t="shared" ref="D27:J27" si="21">D89</f>
        <v>592.84700439506275</v>
      </c>
      <c r="E27" s="20">
        <f t="shared" si="21"/>
        <v>3788.6582603776305</v>
      </c>
      <c r="F27" s="20">
        <f t="shared" si="21"/>
        <v>18535.810544392894</v>
      </c>
      <c r="G27" s="20">
        <f t="shared" si="21"/>
        <v>43757.113824202133</v>
      </c>
      <c r="H27" s="20">
        <f t="shared" si="21"/>
        <v>59086.939884825857</v>
      </c>
      <c r="I27" s="20">
        <f t="shared" si="21"/>
        <v>83744.849905232913</v>
      </c>
      <c r="J27" s="20">
        <f t="shared" si="21"/>
        <v>59946.023885732408</v>
      </c>
      <c r="M27" s="151"/>
      <c r="N27" s="151"/>
      <c r="O27" s="40"/>
      <c r="P27" s="11"/>
      <c r="Q27" s="12"/>
      <c r="R27" s="12"/>
      <c r="S27" s="12"/>
      <c r="T27" s="12"/>
      <c r="U27" s="12"/>
      <c r="V27" s="12"/>
      <c r="W27" s="12"/>
      <c r="X27" s="12"/>
      <c r="Y27" s="128"/>
      <c r="Z27" s="4"/>
      <c r="AA27" s="4"/>
      <c r="AB27" s="159"/>
      <c r="AC27" s="124"/>
      <c r="AD27" s="124"/>
      <c r="AE27" s="124"/>
      <c r="AF27" s="124"/>
      <c r="AG27" s="124"/>
      <c r="AH27" s="124"/>
      <c r="AI27" s="124"/>
      <c r="AJ27" s="124"/>
      <c r="AK27" s="4"/>
      <c r="BF27" s="151"/>
      <c r="BG27" s="55"/>
      <c r="BY27" s="151"/>
      <c r="BZ27" s="292"/>
      <c r="CA27" s="16" t="s">
        <v>26</v>
      </c>
      <c r="CB27" s="216">
        <v>312397.32107489841</v>
      </c>
      <c r="CC27" s="216">
        <v>355639.37645809754</v>
      </c>
      <c r="CD27" s="216">
        <v>419510.42236398638</v>
      </c>
      <c r="CE27" s="216">
        <v>345889.73802590865</v>
      </c>
      <c r="CF27" s="216">
        <v>199586.56344967708</v>
      </c>
      <c r="CG27" s="216">
        <v>176831.15319493209</v>
      </c>
      <c r="CH27" s="216">
        <v>171543.19774187819</v>
      </c>
      <c r="CK27" s="292"/>
      <c r="CL27" s="16" t="s">
        <v>26</v>
      </c>
      <c r="CM27" s="216">
        <v>311669.3022282609</v>
      </c>
      <c r="CN27" s="216">
        <v>354085.59169796284</v>
      </c>
      <c r="CO27" s="216">
        <v>416632.60304568737</v>
      </c>
      <c r="CP27" s="216">
        <v>343013.74640381179</v>
      </c>
      <c r="CQ27" s="216">
        <v>198643.80240817316</v>
      </c>
      <c r="CR27" s="216">
        <v>176362.35535747116</v>
      </c>
      <c r="CS27" s="216">
        <v>171488.95640428353</v>
      </c>
      <c r="CW27" s="151"/>
      <c r="CX27" s="292"/>
      <c r="CY27" s="15" t="s">
        <v>28</v>
      </c>
      <c r="CZ27" s="20">
        <v>767580.56672561402</v>
      </c>
      <c r="DA27" s="20">
        <v>793063.84804214339</v>
      </c>
      <c r="DB27" s="20">
        <v>764854.30430963449</v>
      </c>
      <c r="DC27" s="20">
        <v>819560.20806617534</v>
      </c>
      <c r="DD27" s="20">
        <v>733166.25858200283</v>
      </c>
      <c r="DE27" s="20">
        <v>808585.44290839287</v>
      </c>
      <c r="DF27" s="20">
        <v>2229150.475396621</v>
      </c>
      <c r="DG27" s="20">
        <v>2728598.0253418689</v>
      </c>
      <c r="DH27" s="20">
        <v>2843181.2454154654</v>
      </c>
      <c r="DI27" s="20">
        <v>2152415.8892408246</v>
      </c>
      <c r="DJ27" s="20">
        <v>886771.1903804827</v>
      </c>
      <c r="DK27" s="20">
        <v>1017970.7346454827</v>
      </c>
      <c r="DL27" s="20">
        <v>1252923.0225376603</v>
      </c>
      <c r="DM27" s="20">
        <v>1434652.1574546397</v>
      </c>
      <c r="DN27" s="20">
        <v>1242256.6900827016</v>
      </c>
      <c r="DO27" s="20">
        <v>466704.19082447694</v>
      </c>
      <c r="DP27" s="20">
        <v>411086.64598257263</v>
      </c>
      <c r="DQ27" s="20">
        <v>460606.66199414816</v>
      </c>
      <c r="DR27" s="20">
        <v>1458035.3553365585</v>
      </c>
      <c r="DS27" s="20">
        <v>1865399.5827007205</v>
      </c>
      <c r="DT27" s="20">
        <v>1789207.583547906</v>
      </c>
      <c r="DU27" s="20">
        <v>1230661.6176145528</v>
      </c>
      <c r="DV27" s="20">
        <v>448108.96181830607</v>
      </c>
      <c r="DW27" s="20">
        <v>511415.71013617213</v>
      </c>
      <c r="DX27" s="20">
        <v>657599.6612363765</v>
      </c>
      <c r="DY27" s="222"/>
      <c r="DZ27" s="222"/>
      <c r="EA27" s="151"/>
      <c r="FH27" s="151"/>
      <c r="FK27" s="259">
        <v>8.2900000000000001E-2</v>
      </c>
      <c r="FL27" s="260">
        <v>8.2900000000000001E-2</v>
      </c>
      <c r="FM27" s="260">
        <v>8.2900000000000001E-2</v>
      </c>
      <c r="FN27" s="261">
        <v>8.3599999999999994E-2</v>
      </c>
      <c r="FO27" s="261">
        <v>8.3599999999999994E-2</v>
      </c>
      <c r="FP27" s="261">
        <v>8.3599999999999994E-2</v>
      </c>
      <c r="FQ27" s="262" t="s">
        <v>140</v>
      </c>
      <c r="FS27" s="263"/>
    </row>
    <row r="28" spans="1:175" s="4" customFormat="1" ht="15" customHeight="1" outlineLevel="1" x14ac:dyDescent="0.25">
      <c r="A28" s="292"/>
      <c r="B28" s="16" t="s">
        <v>26</v>
      </c>
      <c r="C28" s="20">
        <f>IF('M3 Allocations - TD'!D53="","",'M3 Allocations - TD'!D71)</f>
        <v>0</v>
      </c>
      <c r="D28" s="20">
        <f>IF('M3 Allocations - TD'!E53="","",'M3 Allocations - TD'!E71)</f>
        <v>0</v>
      </c>
      <c r="E28" s="20">
        <f>IF('M3 Allocations - TD'!F53="","",'M3 Allocations - TD'!F71)</f>
        <v>6753.6701978728988</v>
      </c>
      <c r="F28" s="20">
        <f>IF('M3 Allocations - TD'!G53="","",'M3 Allocations - TD'!G71)</f>
        <v>107151.44580605239</v>
      </c>
      <c r="G28" s="20">
        <f>IF('M3 Allocations - TD'!H53="","",'M3 Allocations - TD'!H71)</f>
        <v>115634.5208649429</v>
      </c>
      <c r="H28" s="20">
        <f>IF('M3 Allocations - TD'!I53="","",'M3 Allocations - TD'!I71)</f>
        <v>118331.81312804784</v>
      </c>
      <c r="I28" s="20">
        <f>IF('M3 Allocations - TD'!J53="","",'M3 Allocations - TD'!J71)</f>
        <v>119601.33814288217</v>
      </c>
      <c r="J28" s="20">
        <f>IF('M3 Allocations - TD'!K53="","",'M3 Allocations - TD'!K71)</f>
        <v>109968.9574924099</v>
      </c>
      <c r="M28" s="150"/>
      <c r="N28" s="150"/>
      <c r="O28" s="292" t="s">
        <v>20</v>
      </c>
      <c r="P28" s="15"/>
      <c r="Q28" s="7"/>
      <c r="R28" s="7"/>
      <c r="S28" s="7"/>
      <c r="T28" s="7"/>
      <c r="U28" s="7"/>
      <c r="V28" s="7"/>
      <c r="W28" s="7"/>
      <c r="X28" s="7"/>
      <c r="Y28" s="129"/>
      <c r="AB28" s="159"/>
      <c r="AC28" s="124"/>
      <c r="AD28" s="124"/>
      <c r="AE28" s="124"/>
      <c r="AF28" s="124"/>
      <c r="AG28" s="124"/>
      <c r="AH28" s="124"/>
      <c r="AI28" s="124"/>
      <c r="AJ28" s="124"/>
      <c r="BF28" s="150"/>
      <c r="BG28" s="2" t="s">
        <v>115</v>
      </c>
      <c r="BY28" s="150"/>
      <c r="BZ28" s="292"/>
      <c r="CA28" s="16" t="s">
        <v>51</v>
      </c>
      <c r="CB28" s="216">
        <v>-34659.79</v>
      </c>
      <c r="CC28" s="216">
        <v>-39489.65</v>
      </c>
      <c r="CD28" s="216">
        <v>-46633.93</v>
      </c>
      <c r="CE28" s="216">
        <v>59971.88</v>
      </c>
      <c r="CF28" s="216">
        <v>34460.21</v>
      </c>
      <c r="CG28" s="216">
        <v>30482.11</v>
      </c>
      <c r="CH28" s="216">
        <v>29523.43</v>
      </c>
      <c r="CK28" s="292"/>
      <c r="CL28" s="16" t="s">
        <v>51</v>
      </c>
      <c r="CM28" s="216">
        <v>-34659.79</v>
      </c>
      <c r="CN28" s="216">
        <v>-39489.65</v>
      </c>
      <c r="CO28" s="216">
        <v>-46633.93</v>
      </c>
      <c r="CP28" s="216">
        <v>59971.88</v>
      </c>
      <c r="CQ28" s="216">
        <v>34460.21</v>
      </c>
      <c r="CR28" s="216">
        <v>30482.11</v>
      </c>
      <c r="CS28" s="216">
        <v>29523.43</v>
      </c>
      <c r="CW28" s="150"/>
      <c r="CX28" s="292"/>
      <c r="CY28" s="16" t="s">
        <v>26</v>
      </c>
      <c r="CZ28" s="20">
        <v>435339.54516653361</v>
      </c>
      <c r="DA28" s="20">
        <v>565868.64496161381</v>
      </c>
      <c r="DB28" s="20">
        <v>1375644.4768897495</v>
      </c>
      <c r="DC28" s="20">
        <v>1787809.7846895901</v>
      </c>
      <c r="DD28" s="20">
        <v>1208966.210998087</v>
      </c>
      <c r="DE28" s="20">
        <v>1135096.7258818494</v>
      </c>
      <c r="DF28" s="20">
        <v>1483131.5421443433</v>
      </c>
      <c r="DG28" s="20">
        <v>1957827.6512690852</v>
      </c>
      <c r="DH28" s="20">
        <v>1996815.833049651</v>
      </c>
      <c r="DI28" s="20">
        <v>1962236.8311878431</v>
      </c>
      <c r="DJ28" s="20">
        <v>1361448.9893388003</v>
      </c>
      <c r="DK28" s="20">
        <v>1278047.5437683114</v>
      </c>
      <c r="DL28" s="20">
        <v>1599362.0545714868</v>
      </c>
      <c r="DM28" s="20">
        <v>2061688.4651608262</v>
      </c>
      <c r="DN28" s="20">
        <v>1660014.398272939</v>
      </c>
      <c r="DO28" s="20">
        <v>727343.38262135477</v>
      </c>
      <c r="DP28" s="20">
        <v>558489.16557480057</v>
      </c>
      <c r="DQ28" s="20">
        <v>521512.93435668247</v>
      </c>
      <c r="DR28" s="20">
        <v>661161.70778882992</v>
      </c>
      <c r="DS28" s="20">
        <v>907955.1483625297</v>
      </c>
      <c r="DT28" s="20">
        <v>865613.78677226591</v>
      </c>
      <c r="DU28" s="20">
        <v>722180.00996221579</v>
      </c>
      <c r="DV28" s="20">
        <v>521401.47348380275</v>
      </c>
      <c r="DW28" s="20">
        <v>494704.46538048884</v>
      </c>
      <c r="DX28" s="20">
        <v>756126.23939637165</v>
      </c>
      <c r="DY28" s="209"/>
      <c r="DZ28" s="209"/>
      <c r="EA28" s="150"/>
      <c r="FH28" s="150"/>
      <c r="FK28" s="271">
        <v>0.03</v>
      </c>
      <c r="FL28" s="59">
        <v>0.03</v>
      </c>
      <c r="FM28" s="59">
        <v>0.03</v>
      </c>
      <c r="FN28" s="59">
        <v>0.03</v>
      </c>
      <c r="FO28" s="59">
        <v>0.03</v>
      </c>
      <c r="FP28" s="59">
        <v>0.03</v>
      </c>
      <c r="FQ28"/>
      <c r="FS28" s="257"/>
    </row>
    <row r="29" spans="1:175" s="4" customFormat="1" ht="15" customHeight="1" outlineLevel="1" x14ac:dyDescent="0.25">
      <c r="A29" s="292"/>
      <c r="B29" s="16" t="s">
        <v>51</v>
      </c>
      <c r="C29" s="20">
        <f>IF(C28="","",0)</f>
        <v>0</v>
      </c>
      <c r="D29" s="20">
        <f t="shared" ref="D29:I29" si="22">IF(D28="","",0)</f>
        <v>0</v>
      </c>
      <c r="E29" s="20">
        <f t="shared" si="22"/>
        <v>0</v>
      </c>
      <c r="F29" s="20">
        <f t="shared" si="22"/>
        <v>0</v>
      </c>
      <c r="G29" s="20">
        <f t="shared" si="22"/>
        <v>0</v>
      </c>
      <c r="H29" s="20">
        <f t="shared" si="22"/>
        <v>0</v>
      </c>
      <c r="I29" s="20">
        <f t="shared" si="22"/>
        <v>0</v>
      </c>
      <c r="J29" s="20">
        <f>IF(J28="","",0)</f>
        <v>0</v>
      </c>
      <c r="M29" s="150"/>
      <c r="N29" s="150"/>
      <c r="O29" s="292"/>
      <c r="P29" s="15" t="s">
        <v>28</v>
      </c>
      <c r="Q29" s="20">
        <v>676189.22029010952</v>
      </c>
      <c r="R29" s="20">
        <v>463090.51540533279</v>
      </c>
      <c r="S29" s="20">
        <v>212999.83668866704</v>
      </c>
      <c r="T29" s="20">
        <v>239315.41925638349</v>
      </c>
      <c r="U29" s="20">
        <v>745964.63979628112</v>
      </c>
      <c r="V29" s="20">
        <v>1021961.1417325244</v>
      </c>
      <c r="W29" s="20">
        <v>1221140.287913003</v>
      </c>
      <c r="X29" s="20">
        <v>1038934.5439936385</v>
      </c>
      <c r="Y29" s="132">
        <v>456853.18990942289</v>
      </c>
      <c r="Z29" s="2"/>
      <c r="AA29" s="2"/>
      <c r="AB29" s="159"/>
      <c r="AC29" s="124"/>
      <c r="AD29" s="124"/>
      <c r="AE29" s="124"/>
      <c r="AF29" s="124"/>
      <c r="AG29" s="124"/>
      <c r="AH29" s="124"/>
      <c r="AI29" s="124"/>
      <c r="AJ29" s="124"/>
      <c r="AK29" s="2"/>
      <c r="BF29" s="150"/>
      <c r="BG29" s="47" t="s">
        <v>113</v>
      </c>
      <c r="BY29" s="150"/>
      <c r="BZ29" s="292"/>
      <c r="CA29" s="16" t="s">
        <v>52</v>
      </c>
      <c r="CB29" s="216">
        <v>277737.53107489843</v>
      </c>
      <c r="CC29" s="216">
        <v>316149.72645809752</v>
      </c>
      <c r="CD29" s="216">
        <v>372876.49236398638</v>
      </c>
      <c r="CE29" s="216">
        <v>405861.61802590865</v>
      </c>
      <c r="CF29" s="216">
        <v>234046.77344967707</v>
      </c>
      <c r="CG29" s="216">
        <v>207313.26319493208</v>
      </c>
      <c r="CH29" s="216">
        <v>201066.62774187818</v>
      </c>
      <c r="CK29" s="292"/>
      <c r="CL29" s="16" t="s">
        <v>52</v>
      </c>
      <c r="CM29" s="216">
        <v>277009.51222826092</v>
      </c>
      <c r="CN29" s="216">
        <v>314595.94169796281</v>
      </c>
      <c r="CO29" s="216">
        <v>369998.67304568738</v>
      </c>
      <c r="CP29" s="216">
        <v>402985.6264038118</v>
      </c>
      <c r="CQ29" s="216">
        <v>233104.01240817315</v>
      </c>
      <c r="CR29" s="216">
        <v>206844.46535747114</v>
      </c>
      <c r="CS29" s="216">
        <v>201012.38640428352</v>
      </c>
      <c r="CT29" s="4" t="s">
        <v>117</v>
      </c>
      <c r="CU29" s="4" t="s">
        <v>118</v>
      </c>
      <c r="CV29" s="4" t="s">
        <v>119</v>
      </c>
      <c r="CW29" s="150"/>
      <c r="CX29" s="292"/>
      <c r="CY29" s="16" t="s">
        <v>51</v>
      </c>
      <c r="CZ29" s="20">
        <v>106401.64</v>
      </c>
      <c r="DA29" s="20">
        <v>138469.78</v>
      </c>
      <c r="DB29" s="20">
        <v>-214209.84</v>
      </c>
      <c r="DC29" s="20">
        <v>-278064.93</v>
      </c>
      <c r="DD29" s="20">
        <v>-187629.17</v>
      </c>
      <c r="DE29" s="20">
        <v>-176283.71</v>
      </c>
      <c r="DF29" s="20">
        <v>-231223.27</v>
      </c>
      <c r="DG29" s="20">
        <v>-305423.73</v>
      </c>
      <c r="DH29" s="20">
        <v>-311615.01</v>
      </c>
      <c r="DI29" s="20">
        <v>-306092.45</v>
      </c>
      <c r="DJ29" s="20">
        <v>-211968.1</v>
      </c>
      <c r="DK29" s="20">
        <v>-198628.63</v>
      </c>
      <c r="DL29" s="20">
        <v>-248528.93</v>
      </c>
      <c r="DM29" s="20">
        <v>-321239.03999999998</v>
      </c>
      <c r="DN29" s="20">
        <v>-270175.45</v>
      </c>
      <c r="DO29" s="20">
        <v>-118232.21</v>
      </c>
      <c r="DP29" s="20">
        <v>-90604.87</v>
      </c>
      <c r="DQ29" s="20">
        <v>-84722.21</v>
      </c>
      <c r="DR29" s="20">
        <v>-107685.96</v>
      </c>
      <c r="DS29" s="20">
        <v>-148122.69</v>
      </c>
      <c r="DT29" s="20">
        <v>-141095.97</v>
      </c>
      <c r="DU29" s="20">
        <v>-117508.65</v>
      </c>
      <c r="DV29" s="20">
        <v>-84587.71</v>
      </c>
      <c r="DW29" s="20">
        <v>-80065.600000000006</v>
      </c>
      <c r="DX29" s="20">
        <v>-122414.96</v>
      </c>
      <c r="DY29" s="209"/>
      <c r="DZ29" s="209"/>
      <c r="EA29" s="150"/>
      <c r="FH29" s="150"/>
      <c r="FK29" s="271">
        <v>5.2900000000000003E-2</v>
      </c>
      <c r="FL29" s="59">
        <v>5.2900000000000003E-2</v>
      </c>
      <c r="FM29" s="59">
        <v>5.2900000000000003E-2</v>
      </c>
      <c r="FN29" s="59">
        <v>5.3599999999999995E-2</v>
      </c>
      <c r="FO29" s="59">
        <v>5.3599999999999995E-2</v>
      </c>
      <c r="FP29" s="59">
        <v>5.3599999999999995E-2</v>
      </c>
      <c r="FQ29"/>
      <c r="FS29" s="257"/>
    </row>
    <row r="30" spans="1:175" s="4" customFormat="1" ht="15" customHeight="1" outlineLevel="1" x14ac:dyDescent="0.25">
      <c r="A30" s="292"/>
      <c r="B30" s="16" t="s">
        <v>52</v>
      </c>
      <c r="C30" s="7">
        <f t="shared" ref="C30:I30" si="23">IF(OR(C29="",C28=""),"",C28+C29)</f>
        <v>0</v>
      </c>
      <c r="D30" s="7">
        <f t="shared" si="23"/>
        <v>0</v>
      </c>
      <c r="E30" s="7">
        <f t="shared" si="23"/>
        <v>6753.6701978728988</v>
      </c>
      <c r="F30" s="7">
        <f t="shared" si="23"/>
        <v>107151.44580605239</v>
      </c>
      <c r="G30" s="7">
        <f t="shared" si="23"/>
        <v>115634.5208649429</v>
      </c>
      <c r="H30" s="7">
        <f t="shared" si="23"/>
        <v>118331.81312804784</v>
      </c>
      <c r="I30" s="7">
        <f t="shared" si="23"/>
        <v>119601.33814288217</v>
      </c>
      <c r="J30" s="7">
        <f>IF(OR(J29="",J28=""),"",J28+J29)</f>
        <v>109968.9574924099</v>
      </c>
      <c r="M30" s="150"/>
      <c r="N30" s="150"/>
      <c r="O30" s="292"/>
      <c r="P30" s="16" t="s">
        <v>26</v>
      </c>
      <c r="Q30" s="20">
        <v>474323.05163473397</v>
      </c>
      <c r="R30" s="20">
        <v>428810.25716296653</v>
      </c>
      <c r="S30" s="20">
        <v>339346.33491655142</v>
      </c>
      <c r="T30" s="20">
        <v>302925.05162387801</v>
      </c>
      <c r="U30" s="20">
        <v>399589.74786578171</v>
      </c>
      <c r="V30" s="20">
        <v>536049.73122413771</v>
      </c>
      <c r="W30" s="20">
        <v>503311.04413038632</v>
      </c>
      <c r="X30" s="20">
        <v>453730.11803544633</v>
      </c>
      <c r="Y30" s="132">
        <v>307694.93026905361</v>
      </c>
      <c r="AB30" s="159"/>
      <c r="AC30" s="124"/>
      <c r="AD30" s="124"/>
      <c r="AE30" s="124"/>
      <c r="AF30" s="124"/>
      <c r="AG30" s="124"/>
      <c r="AH30" s="124"/>
      <c r="AI30" s="124"/>
      <c r="AJ30" s="124"/>
      <c r="BF30" s="150"/>
      <c r="BG30"/>
      <c r="BH30"/>
      <c r="BI30" s="10">
        <v>44105</v>
      </c>
      <c r="BJ30" s="10">
        <v>44136</v>
      </c>
      <c r="BK30" s="10">
        <v>44166</v>
      </c>
      <c r="BL30" s="10">
        <v>44197</v>
      </c>
      <c r="BM30" s="10">
        <v>44228</v>
      </c>
      <c r="BN30" s="10">
        <v>44256</v>
      </c>
      <c r="BO30" s="10">
        <v>44287</v>
      </c>
      <c r="BP30" s="10">
        <v>44317</v>
      </c>
      <c r="BQ30" s="10">
        <v>44348</v>
      </c>
      <c r="BR30" s="10">
        <v>44378</v>
      </c>
      <c r="BS30" s="10">
        <v>44409</v>
      </c>
      <c r="BT30" s="10">
        <v>44440</v>
      </c>
      <c r="BU30" s="10">
        <v>44470</v>
      </c>
      <c r="BY30" s="150"/>
      <c r="BZ30" s="292"/>
      <c r="CA30" s="16" t="s">
        <v>13</v>
      </c>
      <c r="CB30" s="216">
        <v>-55475.392619436316</v>
      </c>
      <c r="CC30" s="216">
        <v>-66640.240037982177</v>
      </c>
      <c r="CD30" s="216">
        <v>-50931.801916664524</v>
      </c>
      <c r="CE30" s="216">
        <v>-158898.86501364034</v>
      </c>
      <c r="CF30" s="216">
        <v>-133201.18728040846</v>
      </c>
      <c r="CG30" s="216">
        <v>-79890.76879332996</v>
      </c>
      <c r="CH30" s="216">
        <v>-9595.6217222051346</v>
      </c>
      <c r="CK30" s="292"/>
      <c r="CL30" s="16" t="s">
        <v>13</v>
      </c>
      <c r="CM30" s="216">
        <v>-53384.476483059116</v>
      </c>
      <c r="CN30" s="216">
        <v>-62072.627832325903</v>
      </c>
      <c r="CO30" s="216">
        <v>-42897.489087362017</v>
      </c>
      <c r="CP30" s="216">
        <v>-151057.13733473371</v>
      </c>
      <c r="CQ30" s="216">
        <v>-130551.0595454775</v>
      </c>
      <c r="CR30" s="216">
        <v>-78588.943574472316</v>
      </c>
      <c r="CS30" s="216">
        <v>-9424.6721917521791</v>
      </c>
      <c r="CT30" s="217">
        <f>SUM(CM30:CS30)</f>
        <v>-527976.40604918275</v>
      </c>
      <c r="CU30" s="217">
        <f>SUM(CB30:CH30)</f>
        <v>-554633.87738366681</v>
      </c>
      <c r="CV30" s="217">
        <f>CT30-CU30</f>
        <v>26657.471334484057</v>
      </c>
      <c r="CW30" s="150"/>
      <c r="CX30" s="292"/>
      <c r="CY30" s="16" t="s">
        <v>52</v>
      </c>
      <c r="CZ30" s="7">
        <v>541741.18516653357</v>
      </c>
      <c r="DA30" s="7">
        <v>704338.42496161384</v>
      </c>
      <c r="DB30" s="7">
        <v>1161434.6368897494</v>
      </c>
      <c r="DC30" s="7">
        <v>1509744.8546895902</v>
      </c>
      <c r="DD30" s="7">
        <v>1021337.0409980869</v>
      </c>
      <c r="DE30" s="7">
        <v>958813.01588184945</v>
      </c>
      <c r="DF30" s="7">
        <v>1251908.2721443432</v>
      </c>
      <c r="DG30" s="7">
        <v>1652403.9212690853</v>
      </c>
      <c r="DH30" s="7">
        <v>1685200.823049651</v>
      </c>
      <c r="DI30" s="7">
        <v>1656144.3811878432</v>
      </c>
      <c r="DJ30" s="7">
        <v>1149480.8893388002</v>
      </c>
      <c r="DK30" s="7">
        <v>1079418.9137683115</v>
      </c>
      <c r="DL30" s="7">
        <v>1350833.1245714868</v>
      </c>
      <c r="DM30" s="7">
        <v>1740449.4251608262</v>
      </c>
      <c r="DN30" s="7">
        <v>1389838.9482729391</v>
      </c>
      <c r="DO30" s="7">
        <v>609111.17262135481</v>
      </c>
      <c r="DP30" s="7">
        <v>467884.29557480058</v>
      </c>
      <c r="DQ30" s="7">
        <v>436790.72435668245</v>
      </c>
      <c r="DR30" s="7">
        <v>553475.74778882996</v>
      </c>
      <c r="DS30" s="7">
        <v>759832.45836252975</v>
      </c>
      <c r="DT30" s="7">
        <v>724517.81677226594</v>
      </c>
      <c r="DU30" s="7">
        <v>604671.35996221576</v>
      </c>
      <c r="DV30" s="7">
        <v>436813.76348380273</v>
      </c>
      <c r="DW30" s="7">
        <v>414638.8653804888</v>
      </c>
      <c r="DX30" s="7">
        <v>633711.27939637168</v>
      </c>
      <c r="DY30" s="209"/>
      <c r="DZ30" s="209"/>
      <c r="EA30" s="150"/>
      <c r="FH30" s="150"/>
      <c r="FK30" s="256">
        <v>2692.0282210201658</v>
      </c>
      <c r="FL30" s="178">
        <v>2737.3637780620161</v>
      </c>
      <c r="FM30" s="178">
        <v>2781.4859258073425</v>
      </c>
      <c r="FN30" s="262">
        <v>662.04608974066116</v>
      </c>
      <c r="FO30" s="262">
        <v>860.26687712661942</v>
      </c>
      <c r="FP30" s="262">
        <v>982.83854500615973</v>
      </c>
      <c r="FQ30"/>
      <c r="FS30" s="257"/>
    </row>
    <row r="31" spans="1:175" s="4" customFormat="1" ht="15" outlineLevel="1" x14ac:dyDescent="0.25">
      <c r="A31" s="292"/>
      <c r="B31" s="16" t="s">
        <v>13</v>
      </c>
      <c r="C31" s="7">
        <f t="shared" ref="C31:I31" si="24">IF(OR(C28="",C27=""),"",C27-C28)</f>
        <v>0.38250960519337501</v>
      </c>
      <c r="D31" s="7">
        <f t="shared" si="24"/>
        <v>592.84700439506275</v>
      </c>
      <c r="E31" s="7">
        <f t="shared" si="24"/>
        <v>-2965.0119374952683</v>
      </c>
      <c r="F31" s="7">
        <f t="shared" si="24"/>
        <v>-88615.635261659496</v>
      </c>
      <c r="G31" s="7">
        <f t="shared" si="24"/>
        <v>-71877.407040740771</v>
      </c>
      <c r="H31" s="7">
        <f t="shared" si="24"/>
        <v>-59244.873243221984</v>
      </c>
      <c r="I31" s="7">
        <f t="shared" si="24"/>
        <v>-35856.488237649261</v>
      </c>
      <c r="J31" s="7">
        <f>IF(OR(J28="",J27=""),"",J27-J28)</f>
        <v>-50022.933606677492</v>
      </c>
      <c r="K31" s="103" t="s">
        <v>84</v>
      </c>
      <c r="L31" s="103" t="s">
        <v>87</v>
      </c>
      <c r="M31" s="150"/>
      <c r="N31" s="150"/>
      <c r="O31" s="292"/>
      <c r="P31" s="16" t="s">
        <v>51</v>
      </c>
      <c r="Q31" s="20">
        <v>115732.97</v>
      </c>
      <c r="R31" s="20">
        <v>104574.51</v>
      </c>
      <c r="S31" s="20">
        <v>82818.98</v>
      </c>
      <c r="T31" s="20">
        <v>74005.649999999994</v>
      </c>
      <c r="U31" s="20">
        <v>97941.18</v>
      </c>
      <c r="V31" s="20">
        <v>131594.67000000001</v>
      </c>
      <c r="W31" s="20">
        <v>123527.13</v>
      </c>
      <c r="X31" s="20">
        <v>111322.95</v>
      </c>
      <c r="Y31" s="132">
        <v>75219.710000000006</v>
      </c>
      <c r="AB31" s="159"/>
      <c r="AC31" s="124"/>
      <c r="AD31" s="124"/>
      <c r="AE31" s="124"/>
      <c r="AF31" s="124"/>
      <c r="AG31" s="124"/>
      <c r="AH31" s="124"/>
      <c r="AI31" s="124"/>
      <c r="AJ31" s="124"/>
      <c r="BF31" s="150"/>
      <c r="BG31"/>
      <c r="BH31" s="58" t="s">
        <v>8</v>
      </c>
      <c r="BI31" s="29"/>
      <c r="BJ31" s="61">
        <v>2.5244400000000002E-3</v>
      </c>
      <c r="BK31" s="61">
        <v>2.8469900000000002E-3</v>
      </c>
      <c r="BL31" s="61">
        <v>2.0613900000000002E-3</v>
      </c>
      <c r="BM31" s="61">
        <v>2.3221700000000001E-3</v>
      </c>
      <c r="BN31" s="61">
        <v>2.1367399999999998E-3</v>
      </c>
      <c r="BO31" s="61">
        <v>2.2512299999999999E-3</v>
      </c>
      <c r="BP31" s="61">
        <v>2.2427200000000001E-3</v>
      </c>
      <c r="BQ31" s="61">
        <v>2.01659E-3</v>
      </c>
      <c r="BR31" s="61">
        <v>1.3954900000000001E-3</v>
      </c>
      <c r="BS31" s="61">
        <v>2.0509899999999999E-3</v>
      </c>
      <c r="BT31" s="61">
        <v>1.9323299999999999E-3</v>
      </c>
      <c r="BU31" s="61">
        <v>1.5E-3</v>
      </c>
      <c r="BY31" s="150"/>
      <c r="BZ31" s="292"/>
      <c r="CA31" s="17" t="s">
        <v>8</v>
      </c>
      <c r="CB31" s="216">
        <v>-36.92</v>
      </c>
      <c r="CC31" s="216">
        <v>-85.81</v>
      </c>
      <c r="CD31" s="216">
        <v>-96.32</v>
      </c>
      <c r="CE31" s="216">
        <v>-145.96</v>
      </c>
      <c r="CF31" s="216">
        <v>-396.3</v>
      </c>
      <c r="CG31" s="216">
        <v>-370.62</v>
      </c>
      <c r="CH31" s="216">
        <v>-570.75</v>
      </c>
      <c r="CK31" s="292"/>
      <c r="CL31" s="17" t="s">
        <v>8</v>
      </c>
      <c r="CM31" s="216">
        <v>-36.659999999999997</v>
      </c>
      <c r="CN31" s="216">
        <v>-84.37</v>
      </c>
      <c r="CO31" s="216">
        <v>-93.45</v>
      </c>
      <c r="CP31" s="216">
        <v>-140.4</v>
      </c>
      <c r="CQ31" s="216">
        <v>-381.85</v>
      </c>
      <c r="CR31" s="216">
        <v>-357.36</v>
      </c>
      <c r="CS31" s="216">
        <v>-549.62</v>
      </c>
      <c r="CW31" s="150"/>
      <c r="CX31" s="292"/>
      <c r="CY31" s="16" t="s">
        <v>13</v>
      </c>
      <c r="CZ31" s="7">
        <v>225839.38155908044</v>
      </c>
      <c r="DA31" s="7">
        <v>88725.423080529552</v>
      </c>
      <c r="DB31" s="7">
        <v>-396580.33258011495</v>
      </c>
      <c r="DC31" s="7">
        <v>-690184.64662341482</v>
      </c>
      <c r="DD31" s="7">
        <v>-288170.78241608408</v>
      </c>
      <c r="DE31" s="7">
        <v>-150227.57297345658</v>
      </c>
      <c r="DF31" s="7">
        <v>977242.2032522778</v>
      </c>
      <c r="DG31" s="7">
        <v>1076194.1040727836</v>
      </c>
      <c r="DH31" s="7">
        <v>1157980.4223658144</v>
      </c>
      <c r="DI31" s="7">
        <v>496271.50805298146</v>
      </c>
      <c r="DJ31" s="7">
        <v>-262709.69895831752</v>
      </c>
      <c r="DK31" s="7">
        <v>-61448.179122828762</v>
      </c>
      <c r="DL31" s="7">
        <v>-97910.102033826523</v>
      </c>
      <c r="DM31" s="7">
        <v>-305797.26770618651</v>
      </c>
      <c r="DN31" s="7">
        <v>-147582.25819023745</v>
      </c>
      <c r="DO31" s="7">
        <v>-142406.98179687787</v>
      </c>
      <c r="DP31" s="7">
        <v>-56797.649592227943</v>
      </c>
      <c r="DQ31" s="7">
        <v>23815.937637465715</v>
      </c>
      <c r="DR31" s="7">
        <v>904559.60754772858</v>
      </c>
      <c r="DS31" s="7">
        <v>1105567.1243381908</v>
      </c>
      <c r="DT31" s="7">
        <v>1064689.7667756402</v>
      </c>
      <c r="DU31" s="7">
        <v>625990.25765233708</v>
      </c>
      <c r="DV31" s="126">
        <v>-100972.62667034866</v>
      </c>
      <c r="DW31" s="7">
        <v>96776.844755683327</v>
      </c>
      <c r="DX31" s="7">
        <v>23888.381840004819</v>
      </c>
      <c r="DY31" s="209"/>
      <c r="DZ31" s="209"/>
      <c r="EA31" s="150"/>
      <c r="FH31" s="150"/>
      <c r="FK31" s="264"/>
      <c r="FL31"/>
      <c r="FM31" s="58" t="s">
        <v>130</v>
      </c>
      <c r="FN31" s="178">
        <v>571.87936483195176</v>
      </c>
      <c r="FO31" s="178">
        <v>743.10366438362848</v>
      </c>
      <c r="FP31" s="178">
        <v>848.98180286912691</v>
      </c>
      <c r="FQ31"/>
      <c r="FS31" s="257"/>
    </row>
    <row r="32" spans="1:175" s="4" customFormat="1" ht="15.75" outlineLevel="1" thickBot="1" x14ac:dyDescent="0.3">
      <c r="A32" s="292"/>
      <c r="B32" s="17" t="s">
        <v>8</v>
      </c>
      <c r="C32" s="7">
        <f>ROUND((C31+0)*'MEEIA 3 calcs'!F9/12,2)</f>
        <v>0</v>
      </c>
      <c r="D32" s="7">
        <f>ROUND((D31+C34)*'MEEIA 3 calcs'!G9/12,2)</f>
        <v>1.32</v>
      </c>
      <c r="E32" s="7">
        <f>ROUND((E31+D34)*'MEEIA 3 calcs'!H9/12,2)</f>
        <v>-5.29</v>
      </c>
      <c r="F32" s="7">
        <f>ROUND((F31+E34)*'MEEIA 3 calcs'!I9/12,2)</f>
        <v>-200.94</v>
      </c>
      <c r="G32" s="7">
        <f>ROUND((G31+F34)*'MEEIA 3 calcs'!J9/12,2)</f>
        <v>-352.62</v>
      </c>
      <c r="H32" s="7">
        <f>ROUND((H31+G34)*'MEEIA 3 calcs'!K9/12,2)</f>
        <v>-436.28</v>
      </c>
      <c r="I32" s="7">
        <f>ROUND((I31+H34)*'MEEIA 3 calcs'!L9/12,2)</f>
        <v>-478.4</v>
      </c>
      <c r="J32" s="7">
        <f>ROUND((J31+I34)*'MEEIA 3 calcs'!M9/12,2)</f>
        <v>-545.15</v>
      </c>
      <c r="K32" s="104">
        <f>SUM('MEEIA 3 calcs'!F52:M52)</f>
        <v>-2112.7799999999997</v>
      </c>
      <c r="L32" s="112">
        <f>SUM(C32:J32)-K32</f>
        <v>95.419999999999618</v>
      </c>
      <c r="M32" s="150"/>
      <c r="N32" s="150"/>
      <c r="O32" s="292"/>
      <c r="P32" s="16" t="s">
        <v>52</v>
      </c>
      <c r="Q32" s="7">
        <v>590056.021634734</v>
      </c>
      <c r="R32" s="7">
        <v>533384.76716296654</v>
      </c>
      <c r="S32" s="7">
        <v>422165.3149165514</v>
      </c>
      <c r="T32" s="7">
        <v>376930.70162387798</v>
      </c>
      <c r="U32" s="7">
        <v>497530.9278657817</v>
      </c>
      <c r="V32" s="7">
        <v>667644.40122413775</v>
      </c>
      <c r="W32" s="7">
        <v>626838.17413038632</v>
      </c>
      <c r="X32" s="7">
        <v>565053.06803544634</v>
      </c>
      <c r="Y32" s="7">
        <v>382914.64026905363</v>
      </c>
      <c r="AB32" s="159"/>
      <c r="AC32" s="124"/>
      <c r="AD32" s="124"/>
      <c r="AE32" s="124"/>
      <c r="AF32" s="124"/>
      <c r="AG32" s="124"/>
      <c r="AH32" s="124"/>
      <c r="AI32" s="124"/>
      <c r="AJ32" s="124"/>
      <c r="BF32" s="150"/>
      <c r="BG32" s="293" t="s">
        <v>65</v>
      </c>
      <c r="BH32" s="84"/>
      <c r="BI32" s="8">
        <v>0</v>
      </c>
      <c r="BJ32" s="152">
        <v>-50000</v>
      </c>
      <c r="BK32" s="29"/>
      <c r="BL32" s="29"/>
      <c r="BM32" s="29"/>
      <c r="BN32" s="29"/>
      <c r="BO32" s="29"/>
      <c r="BP32" s="29"/>
      <c r="BQ32" s="29"/>
      <c r="BR32" s="29"/>
      <c r="BS32" s="29"/>
      <c r="BT32" s="29"/>
      <c r="BU32" s="152">
        <v>-153732.06</v>
      </c>
      <c r="BY32" s="150"/>
      <c r="BZ32" s="292"/>
      <c r="CA32" s="16" t="s">
        <v>14</v>
      </c>
      <c r="CB32" s="216">
        <v>-55512.312619436314</v>
      </c>
      <c r="CC32" s="216">
        <v>-66726.050037982175</v>
      </c>
      <c r="CD32" s="216">
        <v>-51028.121916664524</v>
      </c>
      <c r="CE32" s="216">
        <v>-159044.82501364034</v>
      </c>
      <c r="CF32" s="216">
        <v>-133597.48728040844</v>
      </c>
      <c r="CG32" s="216">
        <v>-80261.388793329956</v>
      </c>
      <c r="CH32" s="216">
        <v>-10166.371722205135</v>
      </c>
      <c r="CK32" s="292"/>
      <c r="CL32" s="16" t="s">
        <v>14</v>
      </c>
      <c r="CM32" s="216">
        <v>-53421.136483059119</v>
      </c>
      <c r="CN32" s="216">
        <v>-62156.997832325906</v>
      </c>
      <c r="CO32" s="216">
        <v>-42990.939087362014</v>
      </c>
      <c r="CP32" s="216">
        <v>-151197.5373347337</v>
      </c>
      <c r="CQ32" s="216">
        <v>-130932.90954547751</v>
      </c>
      <c r="CR32" s="216">
        <v>-78946.303574472317</v>
      </c>
      <c r="CS32" s="216">
        <v>-9974.2921917521799</v>
      </c>
      <c r="CW32" s="150"/>
      <c r="CX32" s="292"/>
      <c r="CY32" s="17" t="s">
        <v>8</v>
      </c>
      <c r="CZ32" s="7">
        <v>456.88</v>
      </c>
      <c r="DA32" s="7">
        <v>510.01</v>
      </c>
      <c r="DB32" s="7">
        <v>456.43</v>
      </c>
      <c r="DC32" s="7">
        <v>247.66</v>
      </c>
      <c r="DD32" s="7">
        <v>171.71</v>
      </c>
      <c r="DE32" s="7">
        <v>110.07</v>
      </c>
      <c r="DF32" s="7">
        <v>224.36</v>
      </c>
      <c r="DG32" s="7">
        <v>244.92</v>
      </c>
      <c r="DH32" s="7">
        <v>504.66</v>
      </c>
      <c r="DI32" s="7">
        <v>506.17</v>
      </c>
      <c r="DJ32" s="7">
        <v>333.65</v>
      </c>
      <c r="DK32" s="7">
        <v>307.63</v>
      </c>
      <c r="DL32" s="7">
        <v>447.85</v>
      </c>
      <c r="DM32" s="7">
        <v>280.7</v>
      </c>
      <c r="DN32" s="7">
        <v>251.29</v>
      </c>
      <c r="DO32" s="7">
        <v>435.28</v>
      </c>
      <c r="DP32" s="7">
        <v>306.17</v>
      </c>
      <c r="DQ32" s="7">
        <v>436.32</v>
      </c>
      <c r="DR32" s="7">
        <v>1669.89</v>
      </c>
      <c r="DS32" s="7">
        <v>3955.25</v>
      </c>
      <c r="DT32" s="7">
        <v>6912.87</v>
      </c>
      <c r="DU32" s="7">
        <v>8881.91</v>
      </c>
      <c r="DV32" s="7">
        <v>10335.17</v>
      </c>
      <c r="DW32" s="7">
        <v>12862.03</v>
      </c>
      <c r="DX32" s="7">
        <v>13527.2</v>
      </c>
      <c r="DY32" s="209">
        <f>SUM('MEEIA 3 calcs'!AA32:AY32)</f>
        <v>64573.87</v>
      </c>
      <c r="DZ32" s="224">
        <f>SUM(CZ32:DX32)-DY32</f>
        <v>-197.79000000000087</v>
      </c>
      <c r="EA32" s="150"/>
      <c r="FH32" s="150"/>
      <c r="FK32" s="265"/>
      <c r="FL32" s="82"/>
      <c r="FM32" s="266" t="s">
        <v>141</v>
      </c>
      <c r="FN32" s="267">
        <v>90.166724908709398</v>
      </c>
      <c r="FO32" s="267">
        <v>117.16321274299094</v>
      </c>
      <c r="FP32" s="267">
        <v>133.85674213703282</v>
      </c>
      <c r="FQ32" s="268" t="s">
        <v>142</v>
      </c>
      <c r="FR32" s="269"/>
      <c r="FS32" s="270"/>
    </row>
    <row r="33" spans="1:164" s="4" customFormat="1" ht="15" outlineLevel="1" x14ac:dyDescent="0.25">
      <c r="A33" s="292"/>
      <c r="B33" s="16" t="s">
        <v>14</v>
      </c>
      <c r="C33" s="7">
        <f t="shared" ref="C33:J33" si="25">IF(OR(C31="",C32=""),"",C31+C32)</f>
        <v>0.38250960519337501</v>
      </c>
      <c r="D33" s="7">
        <f t="shared" si="25"/>
        <v>594.1670043950628</v>
      </c>
      <c r="E33" s="7">
        <f t="shared" si="25"/>
        <v>-2970.3019374952682</v>
      </c>
      <c r="F33" s="7">
        <f t="shared" si="25"/>
        <v>-88816.575261659498</v>
      </c>
      <c r="G33" s="7">
        <f t="shared" si="25"/>
        <v>-72230.027040740766</v>
      </c>
      <c r="H33" s="7">
        <f t="shared" si="25"/>
        <v>-59681.153243221983</v>
      </c>
      <c r="I33" s="7">
        <f t="shared" si="25"/>
        <v>-36334.888237649262</v>
      </c>
      <c r="J33" s="7">
        <f t="shared" si="25"/>
        <v>-50568.083606677494</v>
      </c>
      <c r="M33" s="150"/>
      <c r="N33" s="150"/>
      <c r="O33" s="292"/>
      <c r="P33" s="16" t="s">
        <v>13</v>
      </c>
      <c r="Q33" s="7">
        <v>86133.198655375512</v>
      </c>
      <c r="R33" s="7">
        <v>-70294.251757633756</v>
      </c>
      <c r="S33" s="7">
        <v>-209165.47822788436</v>
      </c>
      <c r="T33" s="7">
        <v>-137615.28236749448</v>
      </c>
      <c r="U33" s="7">
        <v>248433.71193049941</v>
      </c>
      <c r="V33" s="7">
        <v>354316.74050838663</v>
      </c>
      <c r="W33" s="7">
        <v>594302.11378261668</v>
      </c>
      <c r="X33" s="7">
        <v>473881.47595819214</v>
      </c>
      <c r="Y33" s="7">
        <v>73938.549640369252</v>
      </c>
      <c r="Z33" s="103" t="s">
        <v>84</v>
      </c>
      <c r="AA33" s="103" t="s">
        <v>87</v>
      </c>
      <c r="AB33" s="159"/>
      <c r="AC33" s="124"/>
      <c r="AD33" s="124"/>
      <c r="AE33" s="124"/>
      <c r="AF33" s="124"/>
      <c r="AG33" s="124"/>
      <c r="AH33" s="124"/>
      <c r="AI33" s="124"/>
      <c r="AJ33" s="124"/>
      <c r="AK33" s="135"/>
      <c r="BF33" s="150"/>
      <c r="BG33" s="293"/>
      <c r="BH33" s="84" t="s">
        <v>66</v>
      </c>
      <c r="BI33" s="8">
        <v>0</v>
      </c>
      <c r="BJ33" s="22">
        <v>0</v>
      </c>
      <c r="BK33" s="22">
        <v>0</v>
      </c>
      <c r="BL33" s="22">
        <v>0</v>
      </c>
      <c r="BM33" s="22">
        <v>0</v>
      </c>
      <c r="BN33" s="22">
        <v>0</v>
      </c>
      <c r="BO33" s="22">
        <v>0</v>
      </c>
      <c r="BP33" s="22">
        <v>0</v>
      </c>
      <c r="BQ33" s="22">
        <v>0</v>
      </c>
      <c r="BR33" s="22">
        <v>0</v>
      </c>
      <c r="BS33" s="22">
        <v>0</v>
      </c>
      <c r="BT33" s="22">
        <v>0</v>
      </c>
      <c r="BU33" s="22">
        <v>0</v>
      </c>
      <c r="BY33" s="150"/>
      <c r="BZ33" s="292"/>
      <c r="CA33" s="18" t="s">
        <v>16</v>
      </c>
      <c r="CB33" s="216">
        <v>-289230.94684451108</v>
      </c>
      <c r="CC33" s="216">
        <v>-395446.64688249328</v>
      </c>
      <c r="CD33" s="216">
        <v>-493108.69879915781</v>
      </c>
      <c r="CE33" s="216">
        <v>-592181.6438127982</v>
      </c>
      <c r="CF33" s="216">
        <v>-691318.92109320662</v>
      </c>
      <c r="CG33" s="216">
        <v>-741098.19988653657</v>
      </c>
      <c r="CH33" s="216">
        <v>-721741.14160874172</v>
      </c>
      <c r="CK33" s="292"/>
      <c r="CL33" s="18" t="s">
        <v>16</v>
      </c>
      <c r="CM33" s="216">
        <v>-287139.77070813393</v>
      </c>
      <c r="CN33" s="216">
        <v>-388786.41854045982</v>
      </c>
      <c r="CO33" s="216">
        <v>-478411.28762782185</v>
      </c>
      <c r="CP33" s="216">
        <v>-569636.94496255554</v>
      </c>
      <c r="CQ33" s="216">
        <v>-666109.64450803306</v>
      </c>
      <c r="CR33" s="216">
        <v>-714573.83808250539</v>
      </c>
      <c r="CS33" s="216">
        <v>-695024.70027425757</v>
      </c>
      <c r="CW33" s="150"/>
      <c r="CX33" s="292"/>
      <c r="CY33" s="16" t="s">
        <v>14</v>
      </c>
      <c r="CZ33" s="7">
        <v>226296.26155908045</v>
      </c>
      <c r="DA33" s="7">
        <v>89235.433080529547</v>
      </c>
      <c r="DB33" s="7">
        <v>-396123.90258011495</v>
      </c>
      <c r="DC33" s="7">
        <v>-689936.98662341479</v>
      </c>
      <c r="DD33" s="7">
        <v>-287999.07241608406</v>
      </c>
      <c r="DE33" s="7">
        <v>-150117.50297345658</v>
      </c>
      <c r="DF33" s="7">
        <v>977466.56325227779</v>
      </c>
      <c r="DG33" s="7">
        <v>1076439.0240727835</v>
      </c>
      <c r="DH33" s="7">
        <v>1158485.0823658144</v>
      </c>
      <c r="DI33" s="7">
        <v>496777.67805298144</v>
      </c>
      <c r="DJ33" s="7">
        <v>-262376.04895831749</v>
      </c>
      <c r="DK33" s="7">
        <v>-61140.549122828765</v>
      </c>
      <c r="DL33" s="7">
        <v>-97462.252033826517</v>
      </c>
      <c r="DM33" s="7">
        <v>-305516.5677061865</v>
      </c>
      <c r="DN33" s="7">
        <v>-147330.96819023744</v>
      </c>
      <c r="DO33" s="7">
        <v>-141971.70179687787</v>
      </c>
      <c r="DP33" s="7">
        <v>-56491.479592227945</v>
      </c>
      <c r="DQ33" s="7">
        <v>24252.257637465715</v>
      </c>
      <c r="DR33" s="7">
        <v>906229.49754772859</v>
      </c>
      <c r="DS33" s="7">
        <v>1109522.3743381908</v>
      </c>
      <c r="DT33" s="7">
        <v>1071602.6367756403</v>
      </c>
      <c r="DU33" s="7">
        <v>634872.16765233711</v>
      </c>
      <c r="DV33" s="7">
        <v>-90637.456670348663</v>
      </c>
      <c r="DW33" s="7">
        <v>109638.87475568333</v>
      </c>
      <c r="DX33" s="7">
        <v>37415.581840004816</v>
      </c>
      <c r="DY33" s="209"/>
      <c r="DZ33" s="209"/>
      <c r="EA33" s="150"/>
      <c r="FH33" s="150"/>
    </row>
    <row r="34" spans="1:164" s="4" customFormat="1" ht="15" outlineLevel="1" x14ac:dyDescent="0.25">
      <c r="A34" s="292"/>
      <c r="B34" s="18" t="s">
        <v>17</v>
      </c>
      <c r="C34" s="7">
        <f>IF(OR(C33=""),"",C33)</f>
        <v>0.38250960519337501</v>
      </c>
      <c r="D34" s="7">
        <f t="shared" ref="D34:J34" si="26">IF(OR(D33="",C34=""),"",D33+C34)</f>
        <v>594.54951400025618</v>
      </c>
      <c r="E34" s="7">
        <f t="shared" si="26"/>
        <v>-2375.752423495012</v>
      </c>
      <c r="F34" s="7">
        <f t="shared" si="26"/>
        <v>-91192.327685154509</v>
      </c>
      <c r="G34" s="7">
        <f t="shared" si="26"/>
        <v>-163422.35472589527</v>
      </c>
      <c r="H34" s="7">
        <f t="shared" si="26"/>
        <v>-223103.50796911726</v>
      </c>
      <c r="I34" s="7">
        <f t="shared" si="26"/>
        <v>-259438.39620676651</v>
      </c>
      <c r="J34" s="7">
        <f t="shared" si="26"/>
        <v>-310006.47981344402</v>
      </c>
      <c r="M34" s="150"/>
      <c r="N34" s="150"/>
      <c r="O34" s="292"/>
      <c r="P34" s="17" t="s">
        <v>8</v>
      </c>
      <c r="Q34" s="7">
        <v>-2.91</v>
      </c>
      <c r="R34" s="7">
        <v>50.9</v>
      </c>
      <c r="S34" s="7">
        <v>-73.48</v>
      </c>
      <c r="T34" s="7">
        <v>-16.95</v>
      </c>
      <c r="U34" s="7">
        <v>19.760000000000002</v>
      </c>
      <c r="V34" s="7">
        <v>108.88</v>
      </c>
      <c r="W34" s="7">
        <v>158.51</v>
      </c>
      <c r="X34" s="7">
        <v>204.25</v>
      </c>
      <c r="Y34" s="7">
        <v>354.55</v>
      </c>
      <c r="Z34" s="104">
        <v>321.81</v>
      </c>
      <c r="AA34" s="112">
        <v>481.7</v>
      </c>
      <c r="AB34" s="159"/>
      <c r="AC34" s="124"/>
      <c r="AD34" s="124"/>
      <c r="AE34" s="124"/>
      <c r="AF34" s="124"/>
      <c r="AG34" s="124"/>
      <c r="AH34" s="124"/>
      <c r="AI34" s="124"/>
      <c r="AJ34" s="124"/>
      <c r="AK34" s="136"/>
      <c r="BF34" s="150"/>
      <c r="BG34" s="293"/>
      <c r="BH34" s="84" t="s">
        <v>67</v>
      </c>
      <c r="BI34" s="8">
        <v>0</v>
      </c>
      <c r="BJ34" s="8">
        <f>IF(OR(BJ33=""),"",BJ32-BJ33)</f>
        <v>-50000</v>
      </c>
      <c r="BK34" s="8">
        <f>IF(OR(BK33=""),"",BK32-BK33)</f>
        <v>0</v>
      </c>
      <c r="BL34" s="8">
        <f t="shared" ref="BL34:BU34" si="27">IF(OR(BL33=""),"",BL32-BL33)</f>
        <v>0</v>
      </c>
      <c r="BM34" s="8">
        <f t="shared" si="27"/>
        <v>0</v>
      </c>
      <c r="BN34" s="8">
        <f t="shared" si="27"/>
        <v>0</v>
      </c>
      <c r="BO34" s="8">
        <f t="shared" si="27"/>
        <v>0</v>
      </c>
      <c r="BP34" s="8">
        <f t="shared" si="27"/>
        <v>0</v>
      </c>
      <c r="BQ34" s="8">
        <f t="shared" si="27"/>
        <v>0</v>
      </c>
      <c r="BR34" s="8">
        <f t="shared" si="27"/>
        <v>0</v>
      </c>
      <c r="BS34" s="8">
        <f t="shared" si="27"/>
        <v>0</v>
      </c>
      <c r="BT34" s="8">
        <f t="shared" si="27"/>
        <v>0</v>
      </c>
      <c r="BU34" s="8">
        <f t="shared" si="27"/>
        <v>-153732.06</v>
      </c>
      <c r="BV34" s="103" t="s">
        <v>84</v>
      </c>
      <c r="BW34" s="103" t="s">
        <v>87</v>
      </c>
      <c r="BY34" s="150"/>
      <c r="BZ34" s="40"/>
      <c r="CA34" s="11"/>
      <c r="CB34" s="2"/>
      <c r="CC34" s="2"/>
      <c r="CD34" s="2"/>
      <c r="CE34" s="2"/>
      <c r="CF34" s="2"/>
      <c r="CG34" s="2"/>
      <c r="CH34" s="2"/>
      <c r="CK34" s="40"/>
      <c r="CL34" s="11"/>
      <c r="CM34" s="2"/>
      <c r="CN34" s="2"/>
      <c r="CO34" s="2"/>
      <c r="CP34" s="2"/>
      <c r="CQ34" s="2"/>
      <c r="CR34" s="2"/>
      <c r="CS34" s="2"/>
      <c r="CW34" s="150"/>
      <c r="CX34" s="292"/>
      <c r="CY34" s="18" t="s">
        <v>15</v>
      </c>
      <c r="CZ34" s="7">
        <v>2741729.6655055969</v>
      </c>
      <c r="DA34" s="7">
        <v>2969434.8785861265</v>
      </c>
      <c r="DB34" s="7">
        <v>2359101.1360060116</v>
      </c>
      <c r="DC34" s="7">
        <v>1391099.2193825969</v>
      </c>
      <c r="DD34" s="7">
        <v>915470.97696651286</v>
      </c>
      <c r="DE34" s="7">
        <v>589069.76399305626</v>
      </c>
      <c r="DF34" s="7">
        <v>1335313.0572453341</v>
      </c>
      <c r="DG34" s="7">
        <v>2106328.3513181177</v>
      </c>
      <c r="DH34" s="7">
        <v>2953198.4236839321</v>
      </c>
      <c r="DI34" s="7">
        <v>3143883.6517369132</v>
      </c>
      <c r="DJ34" s="7">
        <v>2669539.5027785958</v>
      </c>
      <c r="DK34" s="7">
        <v>2409770.3236557669</v>
      </c>
      <c r="DL34" s="7">
        <v>2063779.1416219403</v>
      </c>
      <c r="DM34" s="7">
        <v>1437023.5339157539</v>
      </c>
      <c r="DN34" s="7">
        <v>1019517.1157255165</v>
      </c>
      <c r="DO34" s="7">
        <v>759313.2039286386</v>
      </c>
      <c r="DP34" s="7">
        <v>612216.85433641064</v>
      </c>
      <c r="DQ34" s="7">
        <v>551746.9019738764</v>
      </c>
      <c r="DR34" s="7">
        <v>1350290.4395216051</v>
      </c>
      <c r="DS34" s="7">
        <v>2311690.1238597957</v>
      </c>
      <c r="DT34" s="7">
        <v>3242196.7906354358</v>
      </c>
      <c r="DU34" s="7">
        <v>3759560.3082877728</v>
      </c>
      <c r="DV34" s="7">
        <v>3584335.1416174243</v>
      </c>
      <c r="DW34" s="7">
        <v>3613908.4163731076</v>
      </c>
      <c r="DX34" s="7">
        <v>3528909.0382131124</v>
      </c>
      <c r="DY34" s="209"/>
      <c r="DZ34" s="209"/>
      <c r="EA34" s="150"/>
      <c r="FH34" s="150"/>
    </row>
    <row r="35" spans="1:164" s="4" customFormat="1" ht="16.5" customHeight="1" outlineLevel="1" x14ac:dyDescent="0.25">
      <c r="A35" s="40"/>
      <c r="B35" s="11"/>
      <c r="C35" s="12"/>
      <c r="D35" s="12"/>
      <c r="E35" s="12"/>
      <c r="F35" s="12"/>
      <c r="G35" s="12"/>
      <c r="H35" s="12"/>
      <c r="I35" s="12"/>
      <c r="J35" s="12"/>
      <c r="M35" s="150"/>
      <c r="N35" s="150"/>
      <c r="O35" s="292"/>
      <c r="P35" s="16" t="s">
        <v>14</v>
      </c>
      <c r="Q35" s="7">
        <v>86130.288655375509</v>
      </c>
      <c r="R35" s="7">
        <v>-70243.351757633762</v>
      </c>
      <c r="S35" s="7">
        <v>-209238.95822788437</v>
      </c>
      <c r="T35" s="7">
        <v>-137632.23236749449</v>
      </c>
      <c r="U35" s="7">
        <v>248453.47193049942</v>
      </c>
      <c r="V35" s="7">
        <v>354425.62050838664</v>
      </c>
      <c r="W35" s="7">
        <v>594460.62378261669</v>
      </c>
      <c r="X35" s="7">
        <v>474085.72595819214</v>
      </c>
      <c r="Y35" s="7">
        <v>74293.099640369255</v>
      </c>
      <c r="AB35" s="159"/>
      <c r="AC35" s="124"/>
      <c r="AD35" s="124"/>
      <c r="AE35" s="124"/>
      <c r="AF35" s="124"/>
      <c r="AG35" s="124"/>
      <c r="AH35" s="124"/>
      <c r="AI35" s="124"/>
      <c r="AJ35" s="124"/>
      <c r="BF35" s="150"/>
      <c r="BG35" s="293"/>
      <c r="BH35" s="85" t="s">
        <v>8</v>
      </c>
      <c r="BI35" s="8">
        <v>0</v>
      </c>
      <c r="BJ35" s="8">
        <f>IF(OR(BJ31="",BJ34=""),"",((BJ34+BI38)*BJ31)/12)</f>
        <v>-10.518500000000001</v>
      </c>
      <c r="BK35" s="8">
        <f>IF(OR(BK31="",BK34=""),"",((BK34+BJ38)*BK31)/12)</f>
        <v>-11.864953838692918</v>
      </c>
      <c r="BL35" s="8">
        <f t="shared" ref="BL35:BU35" si="28">IF(OR(BL31="",BL34=""),"",((BL34+BK38)*BL31)/12)</f>
        <v>-8.5929700856590454</v>
      </c>
      <c r="BM35" s="8">
        <f t="shared" si="28"/>
        <v>-9.6817027101953688</v>
      </c>
      <c r="BN35" s="8">
        <f t="shared" si="28"/>
        <v>-8.9103229871254239</v>
      </c>
      <c r="BO35" s="8">
        <f t="shared" si="28"/>
        <v>-9.3894241650701495</v>
      </c>
      <c r="BP35" s="8">
        <f t="shared" si="28"/>
        <v>-9.3556855002249169</v>
      </c>
      <c r="BQ35" s="8">
        <f t="shared" si="28"/>
        <v>-8.4139383700435406</v>
      </c>
      <c r="BR35" s="8">
        <f t="shared" si="28"/>
        <v>-5.8234643713087815</v>
      </c>
      <c r="BS35" s="8">
        <f t="shared" si="28"/>
        <v>-8.5599009331342053</v>
      </c>
      <c r="BT35" s="8">
        <f t="shared" si="28"/>
        <v>-8.0660463544855254</v>
      </c>
      <c r="BU35" s="8">
        <f t="shared" si="28"/>
        <v>-25.478904613664493</v>
      </c>
      <c r="BV35" s="45">
        <f>SUM('MEEIA 3 calcs'!$AC$79:$AK$79)</f>
        <v>-93.633286691266136</v>
      </c>
      <c r="BW35" s="210">
        <f>SUM(BJ35:BU35)-BV35</f>
        <v>-31.022527238338242</v>
      </c>
      <c r="BY35" s="150"/>
      <c r="BZ35" s="292" t="s">
        <v>22</v>
      </c>
      <c r="CA35" s="15"/>
      <c r="CB35" s="2"/>
      <c r="CC35" s="2"/>
      <c r="CD35" s="2"/>
      <c r="CE35" s="2"/>
      <c r="CF35" s="2"/>
      <c r="CG35" s="2"/>
      <c r="CH35" s="2"/>
      <c r="CK35" s="292" t="s">
        <v>22</v>
      </c>
      <c r="CL35" s="15"/>
      <c r="CM35" s="2"/>
      <c r="CN35" s="2"/>
      <c r="CO35" s="2"/>
      <c r="CP35" s="2"/>
      <c r="CQ35" s="2"/>
      <c r="CR35" s="2"/>
      <c r="CS35" s="2"/>
      <c r="CW35" s="150"/>
      <c r="CX35" s="40"/>
      <c r="CY35" s="11"/>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209"/>
      <c r="DZ35" s="209"/>
      <c r="EA35" s="150"/>
      <c r="FH35" s="150"/>
    </row>
    <row r="36" spans="1:164" s="4" customFormat="1" ht="15" customHeight="1" outlineLevel="1" x14ac:dyDescent="0.25">
      <c r="A36" s="292" t="s">
        <v>23</v>
      </c>
      <c r="B36" s="15"/>
      <c r="C36" s="7"/>
      <c r="D36" s="7"/>
      <c r="E36" s="7"/>
      <c r="F36" s="7"/>
      <c r="G36" s="7"/>
      <c r="H36" s="7"/>
      <c r="I36" s="7"/>
      <c r="J36" s="7"/>
      <c r="M36" s="150"/>
      <c r="N36" s="150"/>
      <c r="O36" s="292"/>
      <c r="P36" s="18" t="s">
        <v>15</v>
      </c>
      <c r="Q36" s="7">
        <v>-1937.7221135914442</v>
      </c>
      <c r="R36" s="7">
        <v>32393.436128774789</v>
      </c>
      <c r="S36" s="7">
        <v>-94026.542099109589</v>
      </c>
      <c r="T36" s="7">
        <v>-157653.12446660409</v>
      </c>
      <c r="U36" s="7">
        <v>188741.52746389533</v>
      </c>
      <c r="V36" s="7">
        <v>674761.81797228195</v>
      </c>
      <c r="W36" s="7">
        <v>1392749.5717548986</v>
      </c>
      <c r="X36" s="7">
        <v>1978158.2477130909</v>
      </c>
      <c r="Y36" s="7">
        <v>2127671.0573534602</v>
      </c>
      <c r="AB36" s="159"/>
      <c r="AC36" s="124"/>
      <c r="AD36" s="124"/>
      <c r="AE36" s="124"/>
      <c r="AF36" s="124"/>
      <c r="AG36" s="124"/>
      <c r="AH36" s="124"/>
      <c r="AI36" s="124"/>
      <c r="AJ36" s="124"/>
      <c r="BF36" s="150"/>
      <c r="BG36" s="293"/>
      <c r="BH36" s="85" t="s">
        <v>6</v>
      </c>
      <c r="BI36" s="8">
        <v>0</v>
      </c>
      <c r="BJ36" s="8">
        <f>IF(OR(BI36="",BJ35=""),"",BI36+BJ35)</f>
        <v>-10.518500000000001</v>
      </c>
      <c r="BK36" s="8">
        <f>IF(OR(BJ36="",BK35=""),"",BJ36+BK35)</f>
        <v>-22.383453838692919</v>
      </c>
      <c r="BL36" s="8">
        <f t="shared" ref="BL36:BU36" si="29">IF(OR(BK36="",BL35=""),"",BK36+BL35)</f>
        <v>-30.976423924351963</v>
      </c>
      <c r="BM36" s="8">
        <f t="shared" si="29"/>
        <v>-40.65812663454733</v>
      </c>
      <c r="BN36" s="8">
        <f t="shared" si="29"/>
        <v>-49.568449621672755</v>
      </c>
      <c r="BO36" s="8">
        <f t="shared" si="29"/>
        <v>-58.957873786742908</v>
      </c>
      <c r="BP36" s="8">
        <f t="shared" si="29"/>
        <v>-68.313559286967831</v>
      </c>
      <c r="BQ36" s="8">
        <f t="shared" si="29"/>
        <v>-76.727497657011369</v>
      </c>
      <c r="BR36" s="8">
        <f t="shared" si="29"/>
        <v>-82.550962028320157</v>
      </c>
      <c r="BS36" s="8">
        <f t="shared" si="29"/>
        <v>-91.110862961454359</v>
      </c>
      <c r="BT36" s="8">
        <f t="shared" si="29"/>
        <v>-99.176909315939881</v>
      </c>
      <c r="BU36" s="8">
        <f t="shared" si="29"/>
        <v>-124.65581392960438</v>
      </c>
      <c r="BY36" s="150"/>
      <c r="BZ36" s="292"/>
      <c r="CA36" s="15" t="s">
        <v>28</v>
      </c>
      <c r="CB36" s="216">
        <v>343727.65210763505</v>
      </c>
      <c r="CC36" s="216">
        <v>418850.04670264991</v>
      </c>
      <c r="CD36" s="216">
        <v>627056.98298263596</v>
      </c>
      <c r="CE36" s="216">
        <v>475288.11809378932</v>
      </c>
      <c r="CF36" s="216">
        <v>288997.35659879085</v>
      </c>
      <c r="CG36" s="216">
        <v>253245.26358346242</v>
      </c>
      <c r="CH36" s="216">
        <v>337719.24594805558</v>
      </c>
      <c r="CK36" s="292"/>
      <c r="CL36" s="15" t="s">
        <v>28</v>
      </c>
      <c r="CM36" s="216">
        <v>346863.60736251896</v>
      </c>
      <c r="CN36" s="216">
        <v>425347.38911170891</v>
      </c>
      <c r="CO36" s="216">
        <v>637376.30236025481</v>
      </c>
      <c r="CP36" s="216">
        <v>484892.17267486599</v>
      </c>
      <c r="CQ36" s="216">
        <v>292490.26913272648</v>
      </c>
      <c r="CR36" s="216">
        <v>255072.04713250711</v>
      </c>
      <c r="CS36" s="216">
        <v>337988.09514378215</v>
      </c>
      <c r="CW36" s="150"/>
      <c r="CX36" s="292" t="s">
        <v>21</v>
      </c>
      <c r="CY36" s="15"/>
      <c r="CZ36" s="7"/>
      <c r="DA36" s="7"/>
      <c r="DB36" s="7"/>
      <c r="DC36" s="7"/>
      <c r="DD36" s="7"/>
      <c r="DE36" s="7"/>
      <c r="DF36" s="7"/>
      <c r="DG36" s="7"/>
      <c r="DH36" s="7"/>
      <c r="DI36" s="7"/>
      <c r="DJ36" s="7"/>
      <c r="DK36" s="7"/>
      <c r="DL36" s="7"/>
      <c r="DM36" s="7"/>
      <c r="DN36" s="7"/>
      <c r="DO36" s="7"/>
      <c r="DP36" s="7"/>
      <c r="DQ36" s="7"/>
      <c r="DR36" s="7"/>
      <c r="DS36" s="7"/>
      <c r="DT36" s="7"/>
      <c r="DU36" s="7"/>
      <c r="DV36" s="126">
        <v>26657.471334484057</v>
      </c>
      <c r="DW36" s="7"/>
      <c r="DX36" s="7"/>
      <c r="DY36" s="209"/>
      <c r="DZ36" s="209"/>
      <c r="EA36" s="150"/>
      <c r="FH36" s="150"/>
    </row>
    <row r="37" spans="1:164" s="2" customFormat="1" ht="15" customHeight="1" outlineLevel="1" x14ac:dyDescent="0.25">
      <c r="A37" s="292"/>
      <c r="B37" s="15" t="s">
        <v>28</v>
      </c>
      <c r="C37" s="20">
        <f>C90</f>
        <v>0</v>
      </c>
      <c r="D37" s="20">
        <f t="shared" ref="D37:J37" si="30">D90</f>
        <v>10.498979963866001</v>
      </c>
      <c r="E37" s="20">
        <f t="shared" si="30"/>
        <v>1076.2976856366847</v>
      </c>
      <c r="F37" s="20">
        <f t="shared" si="30"/>
        <v>8208.8465748072213</v>
      </c>
      <c r="G37" s="20">
        <f t="shared" si="30"/>
        <v>17844.087336984448</v>
      </c>
      <c r="H37" s="20">
        <f t="shared" si="30"/>
        <v>19824.195520493558</v>
      </c>
      <c r="I37" s="20">
        <f t="shared" si="30"/>
        <v>22243.951069283008</v>
      </c>
      <c r="J37" s="20">
        <f t="shared" si="30"/>
        <v>14376.331615218623</v>
      </c>
      <c r="M37" s="151"/>
      <c r="N37" s="151"/>
      <c r="O37" s="40"/>
      <c r="P37" s="11"/>
      <c r="Q37" s="12"/>
      <c r="R37" s="12"/>
      <c r="S37" s="12"/>
      <c r="T37" s="12"/>
      <c r="U37" s="12"/>
      <c r="V37" s="12"/>
      <c r="W37" s="12"/>
      <c r="X37" s="12"/>
      <c r="Y37" s="12"/>
      <c r="Z37" s="4"/>
      <c r="AA37" s="4"/>
      <c r="AB37" s="159"/>
      <c r="AC37" s="124"/>
      <c r="AD37" s="124"/>
      <c r="AE37" s="124"/>
      <c r="AF37" s="124"/>
      <c r="AG37" s="124"/>
      <c r="AH37" s="124"/>
      <c r="AI37" s="124"/>
      <c r="AJ37" s="124"/>
      <c r="AK37" s="4"/>
      <c r="BF37" s="151"/>
      <c r="BG37" s="293"/>
      <c r="BH37" s="84" t="s">
        <v>69</v>
      </c>
      <c r="BI37" s="8">
        <v>0</v>
      </c>
      <c r="BJ37" s="8">
        <f>IF(OR(BJ35="",BJ34=""),"",BJ34+BJ35)</f>
        <v>-50010.518499999998</v>
      </c>
      <c r="BK37" s="8">
        <f>IF(OR(BK35="",BK34=""),"",BK34+BK35)</f>
        <v>-11.864953838692918</v>
      </c>
      <c r="BL37" s="8">
        <f t="shared" ref="BL37:BU37" si="31">IF(OR(BL35="",BL34=""),"",BL34+BL35)</f>
        <v>-8.5929700856590454</v>
      </c>
      <c r="BM37" s="8">
        <f t="shared" si="31"/>
        <v>-9.6817027101953688</v>
      </c>
      <c r="BN37" s="8">
        <f t="shared" si="31"/>
        <v>-8.9103229871254239</v>
      </c>
      <c r="BO37" s="8">
        <f t="shared" si="31"/>
        <v>-9.3894241650701495</v>
      </c>
      <c r="BP37" s="8">
        <f t="shared" si="31"/>
        <v>-9.3556855002249169</v>
      </c>
      <c r="BQ37" s="8">
        <f t="shared" si="31"/>
        <v>-8.4139383700435406</v>
      </c>
      <c r="BR37" s="8">
        <f t="shared" si="31"/>
        <v>-5.8234643713087815</v>
      </c>
      <c r="BS37" s="8">
        <f t="shared" si="31"/>
        <v>-8.5599009331342053</v>
      </c>
      <c r="BT37" s="8">
        <f t="shared" si="31"/>
        <v>-8.0660463544855254</v>
      </c>
      <c r="BU37" s="8">
        <f t="shared" si="31"/>
        <v>-153757.53890461367</v>
      </c>
      <c r="BY37" s="151"/>
      <c r="BZ37" s="292"/>
      <c r="CA37" s="16" t="s">
        <v>26</v>
      </c>
      <c r="CB37" s="216">
        <v>519976.82051891321</v>
      </c>
      <c r="CC37" s="216">
        <v>567613.70409043762</v>
      </c>
      <c r="CD37" s="216">
        <v>605915.85091646248</v>
      </c>
      <c r="CE37" s="216">
        <v>491377.50787101442</v>
      </c>
      <c r="CF37" s="216">
        <v>295776.31891815155</v>
      </c>
      <c r="CG37" s="216">
        <v>275370.89343587006</v>
      </c>
      <c r="CH37" s="216">
        <v>285530.13328453153</v>
      </c>
      <c r="CK37" s="292"/>
      <c r="CL37" s="16" t="s">
        <v>26</v>
      </c>
      <c r="CM37" s="216">
        <v>518301.68729724293</v>
      </c>
      <c r="CN37" s="216">
        <v>564263.98623198015</v>
      </c>
      <c r="CO37" s="216">
        <v>600156.67821640242</v>
      </c>
      <c r="CP37" s="216">
        <v>485815.15413385612</v>
      </c>
      <c r="CQ37" s="216">
        <v>293847.62845519924</v>
      </c>
      <c r="CR37" s="216">
        <v>274342.84538315726</v>
      </c>
      <c r="CS37" s="216">
        <v>285405.182845061</v>
      </c>
      <c r="CW37" s="151"/>
      <c r="CX37" s="292"/>
      <c r="CY37" s="15" t="s">
        <v>28</v>
      </c>
      <c r="CZ37" s="20">
        <v>116491.49867964754</v>
      </c>
      <c r="DA37" s="20">
        <v>196559.66519683803</v>
      </c>
      <c r="DB37" s="20">
        <v>143190.44336244816</v>
      </c>
      <c r="DC37" s="20">
        <v>165885.95699877734</v>
      </c>
      <c r="DD37" s="20">
        <v>168014.93999895826</v>
      </c>
      <c r="DE37" s="20">
        <v>224708.57117023846</v>
      </c>
      <c r="DF37" s="20">
        <v>334985.01191056194</v>
      </c>
      <c r="DG37" s="20">
        <v>449867.18718954525</v>
      </c>
      <c r="DH37" s="20">
        <v>392143.15877642907</v>
      </c>
      <c r="DI37" s="20">
        <v>337751.81199888035</v>
      </c>
      <c r="DJ37" s="20">
        <v>247793.76914859904</v>
      </c>
      <c r="DK37" s="20">
        <v>222262.13845546212</v>
      </c>
      <c r="DL37" s="20">
        <v>249509.48642011534</v>
      </c>
      <c r="DM37" s="20">
        <v>321944.69044732186</v>
      </c>
      <c r="DN37" s="20">
        <v>246962.75301226831</v>
      </c>
      <c r="DO37" s="20">
        <v>100845.58616926862</v>
      </c>
      <c r="DP37" s="20">
        <v>127422.49440160212</v>
      </c>
      <c r="DQ37" s="20">
        <v>191471.00601967305</v>
      </c>
      <c r="DR37" s="20">
        <v>262682.7688338983</v>
      </c>
      <c r="DS37" s="20">
        <v>354188.78297288192</v>
      </c>
      <c r="DT37" s="20">
        <v>291793.54141646903</v>
      </c>
      <c r="DU37" s="20">
        <v>288002.90399346605</v>
      </c>
      <c r="DV37" s="20">
        <v>176158.92806469859</v>
      </c>
      <c r="DW37" s="20">
        <v>148988.71783347923</v>
      </c>
      <c r="DX37" s="20">
        <v>166383.33688258496</v>
      </c>
      <c r="DY37" s="222"/>
      <c r="DZ37" s="222"/>
      <c r="EA37" s="151"/>
      <c r="FH37" s="151"/>
    </row>
    <row r="38" spans="1:164" s="4" customFormat="1" ht="15" customHeight="1" outlineLevel="1" x14ac:dyDescent="0.25">
      <c r="A38" s="292"/>
      <c r="B38" s="16" t="s">
        <v>26</v>
      </c>
      <c r="C38" s="20">
        <f>IF('M3 Allocations - TD'!D54="","",'M3 Allocations - TD'!D72)</f>
        <v>0</v>
      </c>
      <c r="D38" s="20">
        <f>IF('M3 Allocations - TD'!E54="","",'M3 Allocations - TD'!E72)</f>
        <v>0</v>
      </c>
      <c r="E38" s="20">
        <f>IF('M3 Allocations - TD'!F54="","",'M3 Allocations - TD'!F72)</f>
        <v>2381.1324731369587</v>
      </c>
      <c r="F38" s="20">
        <f>IF('M3 Allocations - TD'!G54="","",'M3 Allocations - TD'!G72)</f>
        <v>41080.759711289073</v>
      </c>
      <c r="G38" s="20">
        <f>IF('M3 Allocations - TD'!H54="","",'M3 Allocations - TD'!H72)</f>
        <v>46620.227707662583</v>
      </c>
      <c r="H38" s="20">
        <f>IF('M3 Allocations - TD'!I54="","",'M3 Allocations - TD'!I72)</f>
        <v>48915.290383093015</v>
      </c>
      <c r="I38" s="20">
        <f>IF('M3 Allocations - TD'!J54="","",'M3 Allocations - TD'!J72)</f>
        <v>48689.064699160743</v>
      </c>
      <c r="J38" s="20">
        <f>IF('M3 Allocations - TD'!K54="","",'M3 Allocations - TD'!K72)</f>
        <v>45154.720570269681</v>
      </c>
      <c r="M38" s="150"/>
      <c r="N38" s="150"/>
      <c r="O38" s="292" t="s">
        <v>21</v>
      </c>
      <c r="P38" s="15"/>
      <c r="Q38" s="7"/>
      <c r="R38" s="7"/>
      <c r="S38" s="7"/>
      <c r="T38" s="7"/>
      <c r="U38" s="7"/>
      <c r="V38" s="7"/>
      <c r="W38" s="7"/>
      <c r="X38" s="7"/>
      <c r="Y38" s="7"/>
      <c r="AB38" s="159"/>
      <c r="AC38" s="124"/>
      <c r="AD38" s="124"/>
      <c r="AE38" s="124"/>
      <c r="AF38" s="124"/>
      <c r="AG38" s="124"/>
      <c r="AH38" s="124"/>
      <c r="AI38" s="124"/>
      <c r="AJ38" s="124"/>
      <c r="BF38" s="150"/>
      <c r="BG38" s="293"/>
      <c r="BH38" s="86" t="s">
        <v>70</v>
      </c>
      <c r="BI38" s="8">
        <v>0</v>
      </c>
      <c r="BJ38" s="8">
        <f>IF(OR(BJ37="",BI38=""),"",BJ37+BI38)</f>
        <v>-50010.518499999998</v>
      </c>
      <c r="BK38" s="8">
        <f>IF(OR(BK37="",BJ38=""),"",BK37+BJ38)</f>
        <v>-50022.383453838695</v>
      </c>
      <c r="BL38" s="8">
        <f t="shared" ref="BL38:BU38" si="32">IF(OR(BL37="",BK38=""),"",BL37+BK38)</f>
        <v>-50030.976423924352</v>
      </c>
      <c r="BM38" s="8">
        <f t="shared" si="32"/>
        <v>-50040.658126634546</v>
      </c>
      <c r="BN38" s="8">
        <f t="shared" si="32"/>
        <v>-50049.568449621671</v>
      </c>
      <c r="BO38" s="8">
        <f t="shared" si="32"/>
        <v>-50058.957873786741</v>
      </c>
      <c r="BP38" s="8">
        <f t="shared" si="32"/>
        <v>-50068.313559286966</v>
      </c>
      <c r="BQ38" s="8">
        <f t="shared" si="32"/>
        <v>-50076.727497657012</v>
      </c>
      <c r="BR38" s="8">
        <f t="shared" si="32"/>
        <v>-50082.550962028319</v>
      </c>
      <c r="BS38" s="8">
        <f t="shared" si="32"/>
        <v>-50091.110862961454</v>
      </c>
      <c r="BT38" s="8">
        <f t="shared" si="32"/>
        <v>-50099.176909315938</v>
      </c>
      <c r="BU38" s="8">
        <f t="shared" si="32"/>
        <v>-203856.71581392962</v>
      </c>
      <c r="BY38" s="150"/>
      <c r="BZ38" s="292"/>
      <c r="CA38" s="16" t="s">
        <v>51</v>
      </c>
      <c r="CB38" s="216">
        <v>-43533.32</v>
      </c>
      <c r="CC38" s="216">
        <v>-47580.19</v>
      </c>
      <c r="CD38" s="216">
        <v>-50865.22</v>
      </c>
      <c r="CE38" s="216">
        <v>38543.78</v>
      </c>
      <c r="CF38" s="216">
        <v>23075.85</v>
      </c>
      <c r="CG38" s="216">
        <v>21444.13</v>
      </c>
      <c r="CH38" s="216">
        <v>22179.41</v>
      </c>
      <c r="CK38" s="292"/>
      <c r="CL38" s="16" t="s">
        <v>51</v>
      </c>
      <c r="CM38" s="216">
        <v>-43533.32</v>
      </c>
      <c r="CN38" s="216">
        <v>-47580.19</v>
      </c>
      <c r="CO38" s="216">
        <v>-50865.22</v>
      </c>
      <c r="CP38" s="216">
        <v>38543.78</v>
      </c>
      <c r="CQ38" s="216">
        <v>23075.85</v>
      </c>
      <c r="CR38" s="216">
        <v>21444.13</v>
      </c>
      <c r="CS38" s="216">
        <v>22179.41</v>
      </c>
      <c r="CW38" s="150"/>
      <c r="CX38" s="292"/>
      <c r="CY38" s="16" t="s">
        <v>26</v>
      </c>
      <c r="CZ38" s="20">
        <v>68599.470346323797</v>
      </c>
      <c r="DA38" s="20">
        <v>81564.73791205966</v>
      </c>
      <c r="DB38" s="20">
        <v>242664.75286538465</v>
      </c>
      <c r="DC38" s="20">
        <v>375919.83719992841</v>
      </c>
      <c r="DD38" s="20">
        <v>300075.62636462261</v>
      </c>
      <c r="DE38" s="20">
        <v>293923.98139317043</v>
      </c>
      <c r="DF38" s="20">
        <v>350815.31218641665</v>
      </c>
      <c r="DG38" s="20">
        <v>415012.49945076351</v>
      </c>
      <c r="DH38" s="20">
        <v>415043.37829811877</v>
      </c>
      <c r="DI38" s="20">
        <v>419425.17682734353</v>
      </c>
      <c r="DJ38" s="20">
        <v>350351.57477839955</v>
      </c>
      <c r="DK38" s="20">
        <v>312397.32107489841</v>
      </c>
      <c r="DL38" s="20">
        <v>355639.37645809754</v>
      </c>
      <c r="DM38" s="20">
        <v>419510.42236398638</v>
      </c>
      <c r="DN38" s="20">
        <v>345889.73802590865</v>
      </c>
      <c r="DO38" s="20">
        <v>199586.56344967708</v>
      </c>
      <c r="DP38" s="20">
        <v>176831.15319493209</v>
      </c>
      <c r="DQ38" s="20">
        <v>171543.19774187819</v>
      </c>
      <c r="DR38" s="20">
        <v>199615.15184616181</v>
      </c>
      <c r="DS38" s="20">
        <v>238634.42662698543</v>
      </c>
      <c r="DT38" s="20">
        <v>233703.41244781748</v>
      </c>
      <c r="DU38" s="20">
        <v>214332.64423371092</v>
      </c>
      <c r="DV38" s="20">
        <v>176304.098950004</v>
      </c>
      <c r="DW38" s="20">
        <v>167898.42293823551</v>
      </c>
      <c r="DX38" s="20">
        <v>208742.33055279544</v>
      </c>
      <c r="DY38" s="209"/>
      <c r="DZ38" s="209"/>
      <c r="EA38" s="150"/>
      <c r="FH38" s="150"/>
    </row>
    <row r="39" spans="1:164" s="4" customFormat="1" ht="15" customHeight="1" outlineLevel="1" x14ac:dyDescent="0.25">
      <c r="A39" s="292"/>
      <c r="B39" s="16" t="s">
        <v>51</v>
      </c>
      <c r="C39" s="20">
        <f>IF(C38="","",0)</f>
        <v>0</v>
      </c>
      <c r="D39" s="20">
        <f t="shared" ref="D39:I39" si="33">IF(D38="","",0)</f>
        <v>0</v>
      </c>
      <c r="E39" s="20">
        <f t="shared" si="33"/>
        <v>0</v>
      </c>
      <c r="F39" s="20">
        <f t="shared" si="33"/>
        <v>0</v>
      </c>
      <c r="G39" s="20">
        <f t="shared" si="33"/>
        <v>0</v>
      </c>
      <c r="H39" s="20">
        <f t="shared" si="33"/>
        <v>0</v>
      </c>
      <c r="I39" s="20">
        <f t="shared" si="33"/>
        <v>0</v>
      </c>
      <c r="J39" s="20">
        <f>IF(J38="","",0)</f>
        <v>0</v>
      </c>
      <c r="M39" s="150"/>
      <c r="N39" s="150"/>
      <c r="O39" s="292"/>
      <c r="P39" s="15" t="s">
        <v>28</v>
      </c>
      <c r="Q39" s="20">
        <v>88043.147483850829</v>
      </c>
      <c r="R39" s="20">
        <v>103641.60510926238</v>
      </c>
      <c r="S39" s="20">
        <v>44495.668454394727</v>
      </c>
      <c r="T39" s="20">
        <v>72447.479306892477</v>
      </c>
      <c r="U39" s="20">
        <v>100242.14080653639</v>
      </c>
      <c r="V39" s="20">
        <v>144814.88878280437</v>
      </c>
      <c r="W39" s="20">
        <v>113846.66455304027</v>
      </c>
      <c r="X39" s="20">
        <v>127713.0610159208</v>
      </c>
      <c r="Y39" s="20">
        <v>102944.20736329375</v>
      </c>
      <c r="Z39" s="2"/>
      <c r="AA39" s="2"/>
      <c r="AB39" s="159"/>
      <c r="AC39" s="124"/>
      <c r="AD39" s="124"/>
      <c r="AE39" s="124"/>
      <c r="AF39" s="124"/>
      <c r="AG39" s="124"/>
      <c r="AH39" s="124"/>
      <c r="AI39" s="124"/>
      <c r="AJ39" s="124"/>
      <c r="AK39" s="2"/>
      <c r="BF39" s="150"/>
      <c r="BY39" s="150"/>
      <c r="BZ39" s="292"/>
      <c r="CA39" s="16" t="s">
        <v>52</v>
      </c>
      <c r="CB39" s="216">
        <v>476443.50051891321</v>
      </c>
      <c r="CC39" s="216">
        <v>520033.51409043762</v>
      </c>
      <c r="CD39" s="216">
        <v>555050.63091646251</v>
      </c>
      <c r="CE39" s="216">
        <v>529921.28787101444</v>
      </c>
      <c r="CF39" s="216">
        <v>318852.16891815152</v>
      </c>
      <c r="CG39" s="216">
        <v>296815.02343587007</v>
      </c>
      <c r="CH39" s="216">
        <v>307709.54328453151</v>
      </c>
      <c r="CK39" s="292"/>
      <c r="CL39" s="16" t="s">
        <v>52</v>
      </c>
      <c r="CM39" s="216">
        <v>474768.36729724292</v>
      </c>
      <c r="CN39" s="216">
        <v>516683.79623198014</v>
      </c>
      <c r="CO39" s="216">
        <v>549291.45821640245</v>
      </c>
      <c r="CP39" s="216">
        <v>524358.93413385609</v>
      </c>
      <c r="CQ39" s="216">
        <v>316923.47845519922</v>
      </c>
      <c r="CR39" s="216">
        <v>295786.97538315726</v>
      </c>
      <c r="CS39" s="216">
        <v>307584.59284506098</v>
      </c>
      <c r="CT39" s="4" t="s">
        <v>117</v>
      </c>
      <c r="CU39" s="4" t="s">
        <v>118</v>
      </c>
      <c r="CV39" s="4" t="s">
        <v>119</v>
      </c>
      <c r="CW39" s="150"/>
      <c r="CX39" s="292"/>
      <c r="CY39" s="16" t="s">
        <v>51</v>
      </c>
      <c r="CZ39" s="20">
        <v>16957.169999999998</v>
      </c>
      <c r="DA39" s="20">
        <v>20227.96</v>
      </c>
      <c r="DB39" s="20">
        <v>-27075.87</v>
      </c>
      <c r="DC39" s="20">
        <v>-41869.919999999998</v>
      </c>
      <c r="DD39" s="20">
        <v>-33303.57</v>
      </c>
      <c r="DE39" s="20">
        <v>-32560.29</v>
      </c>
      <c r="DF39" s="20">
        <v>-38841.39</v>
      </c>
      <c r="DG39" s="20">
        <v>-45977.98</v>
      </c>
      <c r="DH39" s="20">
        <v>-45995.38</v>
      </c>
      <c r="DI39" s="20">
        <v>-46474.38</v>
      </c>
      <c r="DJ39" s="20">
        <v>-38765.449999999997</v>
      </c>
      <c r="DK39" s="20">
        <v>-34659.79</v>
      </c>
      <c r="DL39" s="20">
        <v>-39489.65</v>
      </c>
      <c r="DM39" s="20">
        <v>-46633.93</v>
      </c>
      <c r="DN39" s="20">
        <v>59971.88</v>
      </c>
      <c r="DO39" s="20">
        <v>34460.21</v>
      </c>
      <c r="DP39" s="20">
        <v>30482.11</v>
      </c>
      <c r="DQ39" s="20">
        <v>29523.43</v>
      </c>
      <c r="DR39" s="20">
        <v>34337.879999999997</v>
      </c>
      <c r="DS39" s="20">
        <v>41091.919999999998</v>
      </c>
      <c r="DT39" s="20">
        <v>40250.86</v>
      </c>
      <c r="DU39" s="20">
        <v>36905.46</v>
      </c>
      <c r="DV39" s="20">
        <v>30354.95</v>
      </c>
      <c r="DW39" s="20">
        <v>28938.2</v>
      </c>
      <c r="DX39" s="20">
        <v>36146.32</v>
      </c>
      <c r="DY39" s="209"/>
      <c r="DZ39" s="209"/>
      <c r="EA39" s="150"/>
      <c r="FH39" s="150"/>
    </row>
    <row r="40" spans="1:164" s="4" customFormat="1" ht="15" customHeight="1" outlineLevel="1" x14ac:dyDescent="0.25">
      <c r="A40" s="292"/>
      <c r="B40" s="16" t="s">
        <v>52</v>
      </c>
      <c r="C40" s="7">
        <f t="shared" ref="C40:I40" si="34">IF(OR(C39="",C38=""),"",C38+C39)</f>
        <v>0</v>
      </c>
      <c r="D40" s="7">
        <f t="shared" si="34"/>
        <v>0</v>
      </c>
      <c r="E40" s="7">
        <f t="shared" si="34"/>
        <v>2381.1324731369587</v>
      </c>
      <c r="F40" s="7">
        <f t="shared" si="34"/>
        <v>41080.759711289073</v>
      </c>
      <c r="G40" s="7">
        <f t="shared" si="34"/>
        <v>46620.227707662583</v>
      </c>
      <c r="H40" s="7">
        <f t="shared" si="34"/>
        <v>48915.290383093015</v>
      </c>
      <c r="I40" s="7">
        <f t="shared" si="34"/>
        <v>48689.064699160743</v>
      </c>
      <c r="J40" s="7">
        <f>IF(OR(J39="",J38=""),"",J38+J39)</f>
        <v>45154.720570269681</v>
      </c>
      <c r="M40" s="150"/>
      <c r="N40" s="150"/>
      <c r="O40" s="292"/>
      <c r="P40" s="16" t="s">
        <v>26</v>
      </c>
      <c r="Q40" s="20">
        <v>72477.677451482814</v>
      </c>
      <c r="R40" s="20">
        <v>71928.028717536567</v>
      </c>
      <c r="S40" s="20">
        <v>55453.451619799707</v>
      </c>
      <c r="T40" s="20">
        <v>50391.746026202469</v>
      </c>
      <c r="U40" s="20">
        <v>63389.498728401399</v>
      </c>
      <c r="V40" s="20">
        <v>78881.855890584935</v>
      </c>
      <c r="W40" s="20">
        <v>76955.02703194521</v>
      </c>
      <c r="X40" s="20">
        <v>73755.388306573834</v>
      </c>
      <c r="Y40" s="20">
        <v>59772.834718849517</v>
      </c>
      <c r="AB40" s="159"/>
      <c r="AC40" s="124"/>
      <c r="AD40" s="124"/>
      <c r="AE40" s="124"/>
      <c r="AF40" s="124"/>
      <c r="AG40" s="124"/>
      <c r="AH40" s="124"/>
      <c r="AI40" s="124"/>
      <c r="AJ40" s="124"/>
      <c r="BF40" s="150"/>
      <c r="BY40" s="150"/>
      <c r="BZ40" s="292"/>
      <c r="CA40" s="16" t="s">
        <v>13</v>
      </c>
      <c r="CB40" s="216">
        <v>-132715.84841127816</v>
      </c>
      <c r="CC40" s="216">
        <v>-101183.46738778771</v>
      </c>
      <c r="CD40" s="216">
        <v>72006.352066173451</v>
      </c>
      <c r="CE40" s="216">
        <v>-54633.169777225121</v>
      </c>
      <c r="CF40" s="216">
        <v>-29854.812319360673</v>
      </c>
      <c r="CG40" s="216">
        <v>-43569.759852407646</v>
      </c>
      <c r="CH40" s="216">
        <v>30009.702663524076</v>
      </c>
      <c r="CK40" s="292"/>
      <c r="CL40" s="16" t="s">
        <v>13</v>
      </c>
      <c r="CM40" s="216">
        <v>-127904.75993472396</v>
      </c>
      <c r="CN40" s="216">
        <v>-91336.407120271237</v>
      </c>
      <c r="CO40" s="216">
        <v>88084.844143852359</v>
      </c>
      <c r="CP40" s="216">
        <v>-39466.761458990106</v>
      </c>
      <c r="CQ40" s="216">
        <v>-24433.209322472743</v>
      </c>
      <c r="CR40" s="216">
        <v>-40714.928250650148</v>
      </c>
      <c r="CS40" s="216">
        <v>30403.502298721171</v>
      </c>
      <c r="CT40" s="217">
        <f>SUM(CM40:CS40)</f>
        <v>-205367.71964453466</v>
      </c>
      <c r="CU40" s="217">
        <f>SUM(CB40:CH40)</f>
        <v>-259941.00301836175</v>
      </c>
      <c r="CV40" s="217">
        <f>CT40-CU40</f>
        <v>54573.283373827086</v>
      </c>
      <c r="CW40" s="150"/>
      <c r="CX40" s="292"/>
      <c r="CY40" s="16" t="s">
        <v>52</v>
      </c>
      <c r="CZ40" s="7">
        <v>85556.640346323795</v>
      </c>
      <c r="DA40" s="7">
        <v>101792.69791205967</v>
      </c>
      <c r="DB40" s="7">
        <v>215588.88286538466</v>
      </c>
      <c r="DC40" s="7">
        <v>334049.91719992843</v>
      </c>
      <c r="DD40" s="7">
        <v>266772.05636462261</v>
      </c>
      <c r="DE40" s="7">
        <v>261363.69139317042</v>
      </c>
      <c r="DF40" s="7">
        <v>311973.92218641663</v>
      </c>
      <c r="DG40" s="7">
        <v>369034.51945076353</v>
      </c>
      <c r="DH40" s="7">
        <v>369047.99829811876</v>
      </c>
      <c r="DI40" s="7">
        <v>372950.79682734353</v>
      </c>
      <c r="DJ40" s="7">
        <v>311586.12477839953</v>
      </c>
      <c r="DK40" s="7">
        <v>277737.53107489843</v>
      </c>
      <c r="DL40" s="7">
        <v>316149.72645809752</v>
      </c>
      <c r="DM40" s="7">
        <v>372876.49236398638</v>
      </c>
      <c r="DN40" s="7">
        <v>405861.61802590865</v>
      </c>
      <c r="DO40" s="7">
        <v>234046.77344967707</v>
      </c>
      <c r="DP40" s="7">
        <v>207313.26319493208</v>
      </c>
      <c r="DQ40" s="7">
        <v>201066.62774187818</v>
      </c>
      <c r="DR40" s="7">
        <v>233953.03184616182</v>
      </c>
      <c r="DS40" s="7">
        <v>279726.34662698541</v>
      </c>
      <c r="DT40" s="7">
        <v>273954.27244781749</v>
      </c>
      <c r="DU40" s="7">
        <v>251238.10423371091</v>
      </c>
      <c r="DV40" s="7">
        <v>206659.04895000401</v>
      </c>
      <c r="DW40" s="7">
        <v>196836.62293823552</v>
      </c>
      <c r="DX40" s="7">
        <v>244888.65055279544</v>
      </c>
      <c r="DY40" s="209"/>
      <c r="DZ40" s="209"/>
      <c r="EA40" s="150"/>
      <c r="FH40" s="150"/>
    </row>
    <row r="41" spans="1:164" s="4" customFormat="1" ht="15" outlineLevel="1" x14ac:dyDescent="0.25">
      <c r="A41" s="292"/>
      <c r="B41" s="16" t="s">
        <v>13</v>
      </c>
      <c r="C41" s="7">
        <f t="shared" ref="C41:I41" si="35">IF(OR(C38="",C37=""),"",C37-C38)</f>
        <v>0</v>
      </c>
      <c r="D41" s="7">
        <f t="shared" si="35"/>
        <v>10.498979963866001</v>
      </c>
      <c r="E41" s="7">
        <f t="shared" si="35"/>
        <v>-1304.8347875002739</v>
      </c>
      <c r="F41" s="7">
        <f t="shared" si="35"/>
        <v>-32871.913136481853</v>
      </c>
      <c r="G41" s="7">
        <f t="shared" si="35"/>
        <v>-28776.140370678135</v>
      </c>
      <c r="H41" s="7">
        <f t="shared" si="35"/>
        <v>-29091.094862599457</v>
      </c>
      <c r="I41" s="7">
        <f t="shared" si="35"/>
        <v>-26445.113629877735</v>
      </c>
      <c r="J41" s="7">
        <f>IF(OR(J38="",J37=""),"",J37-J38)</f>
        <v>-30778.388955051058</v>
      </c>
      <c r="K41" s="103" t="s">
        <v>84</v>
      </c>
      <c r="L41" s="103" t="s">
        <v>87</v>
      </c>
      <c r="M41" s="150"/>
      <c r="N41" s="150"/>
      <c r="O41" s="292"/>
      <c r="P41" s="16" t="s">
        <v>51</v>
      </c>
      <c r="Q41" s="20">
        <v>17996.03</v>
      </c>
      <c r="R41" s="20">
        <v>17828.82</v>
      </c>
      <c r="S41" s="20">
        <v>13698.34</v>
      </c>
      <c r="T41" s="20">
        <v>12419.68</v>
      </c>
      <c r="U41" s="20">
        <v>15595.43</v>
      </c>
      <c r="V41" s="20">
        <v>19419.18</v>
      </c>
      <c r="W41" s="20">
        <v>18927.88</v>
      </c>
      <c r="X41" s="20">
        <v>18118.43</v>
      </c>
      <c r="Y41" s="20">
        <v>14686.23</v>
      </c>
      <c r="AB41" s="159"/>
      <c r="AC41" s="124"/>
      <c r="AD41" s="124"/>
      <c r="AE41" s="124"/>
      <c r="AF41" s="124"/>
      <c r="AG41" s="124"/>
      <c r="AH41" s="124"/>
      <c r="AI41" s="124"/>
      <c r="AJ41" s="124"/>
      <c r="BF41" s="150"/>
      <c r="BY41" s="150"/>
      <c r="BZ41" s="292"/>
      <c r="CA41" s="17" t="s">
        <v>8</v>
      </c>
      <c r="CB41" s="216">
        <v>-0.83</v>
      </c>
      <c r="CC41" s="216">
        <v>-33.700000000000003</v>
      </c>
      <c r="CD41" s="216">
        <v>-26.21</v>
      </c>
      <c r="CE41" s="216">
        <v>-37.049999999999997</v>
      </c>
      <c r="CF41" s="216">
        <v>-90.11</v>
      </c>
      <c r="CG41" s="216">
        <v>-89.72</v>
      </c>
      <c r="CH41" s="216">
        <v>-100.68</v>
      </c>
      <c r="CK41" s="292"/>
      <c r="CL41" s="17" t="s">
        <v>8</v>
      </c>
      <c r="CM41" s="216">
        <v>-0.22</v>
      </c>
      <c r="CN41" s="216">
        <v>-30.52</v>
      </c>
      <c r="CO41" s="216">
        <v>-20.21</v>
      </c>
      <c r="CP41" s="216">
        <v>-25.73</v>
      </c>
      <c r="CQ41" s="216">
        <v>-60.66</v>
      </c>
      <c r="CR41" s="216">
        <v>-62.59</v>
      </c>
      <c r="CS41" s="216">
        <v>-57.43</v>
      </c>
      <c r="CW41" s="150"/>
      <c r="CX41" s="292"/>
      <c r="CY41" s="16" t="s">
        <v>13</v>
      </c>
      <c r="CZ41" s="7">
        <v>30934.858333323748</v>
      </c>
      <c r="DA41" s="7">
        <v>94766.967284778366</v>
      </c>
      <c r="DB41" s="7">
        <v>-72398.439502936497</v>
      </c>
      <c r="DC41" s="7">
        <v>-168163.96020115109</v>
      </c>
      <c r="DD41" s="7">
        <v>-98757.116365664348</v>
      </c>
      <c r="DE41" s="7">
        <v>-36655.120222931961</v>
      </c>
      <c r="DF41" s="7">
        <v>23011.089724145306</v>
      </c>
      <c r="DG41" s="7">
        <v>80832.667738781718</v>
      </c>
      <c r="DH41" s="7">
        <v>23095.16047831031</v>
      </c>
      <c r="DI41" s="7">
        <v>-35198.984828463173</v>
      </c>
      <c r="DJ41" s="7">
        <v>-63792.355629800499</v>
      </c>
      <c r="DK41" s="7">
        <v>-55475.392619436316</v>
      </c>
      <c r="DL41" s="7">
        <v>-66640.240037982177</v>
      </c>
      <c r="DM41" s="7">
        <v>-50931.801916664524</v>
      </c>
      <c r="DN41" s="7">
        <v>-158898.86501364034</v>
      </c>
      <c r="DO41" s="7">
        <v>-133201.18728040846</v>
      </c>
      <c r="DP41" s="7">
        <v>-79890.76879332996</v>
      </c>
      <c r="DQ41" s="7">
        <v>-9595.6217222051346</v>
      </c>
      <c r="DR41" s="7">
        <v>28729.736987736484</v>
      </c>
      <c r="DS41" s="7">
        <v>74462.436345896509</v>
      </c>
      <c r="DT41" s="7">
        <v>17839.268968651537</v>
      </c>
      <c r="DU41" s="7">
        <v>36764.799759755144</v>
      </c>
      <c r="DV41" s="126">
        <v>-3842.6495508213702</v>
      </c>
      <c r="DW41" s="7">
        <v>-47847.905104756297</v>
      </c>
      <c r="DX41" s="7">
        <v>-78505.313670210482</v>
      </c>
      <c r="DY41" s="209"/>
      <c r="DZ41" s="209"/>
      <c r="EA41" s="150"/>
      <c r="FH41" s="150"/>
    </row>
    <row r="42" spans="1:164" s="4" customFormat="1" ht="15" outlineLevel="1" x14ac:dyDescent="0.25">
      <c r="A42" s="292"/>
      <c r="B42" s="17" t="s">
        <v>8</v>
      </c>
      <c r="C42" s="7">
        <f>ROUND((C41+0)*'MEEIA 3 calcs'!F9/12,2)</f>
        <v>0</v>
      </c>
      <c r="D42" s="7">
        <f>ROUND((D41+C44)*'MEEIA 3 calcs'!G9/12,2)</f>
        <v>0.02</v>
      </c>
      <c r="E42" s="7">
        <f>ROUND((E41+D44)*'MEEIA 3 calcs'!H9/12,2)</f>
        <v>-2.89</v>
      </c>
      <c r="F42" s="7">
        <f>ROUND((F41+E44)*'MEEIA 3 calcs'!I9/12,2)</f>
        <v>-75.459999999999994</v>
      </c>
      <c r="G42" s="7">
        <f>ROUND((G41+F44)*'MEEIA 3 calcs'!J9/12,2)</f>
        <v>-136.28</v>
      </c>
      <c r="H42" s="7">
        <f>ROUND((H41+G44)*'MEEIA 3 calcs'!K9/12,2)</f>
        <v>-180.74</v>
      </c>
      <c r="I42" s="7">
        <f>ROUND((I41+H44)*'MEEIA 3 calcs'!L9/12,2)</f>
        <v>-219.61</v>
      </c>
      <c r="J42" s="7">
        <f>ROUND((J41+I44)*'MEEIA 3 calcs'!M9/12,2)</f>
        <v>-264.02</v>
      </c>
      <c r="K42" s="104">
        <f>SUM('MEEIA 3 calcs'!F62:M62)</f>
        <v>-925.55</v>
      </c>
      <c r="L42" s="112">
        <f>SUM(C42:J42)-K42</f>
        <v>46.569999999999936</v>
      </c>
      <c r="M42" s="150"/>
      <c r="N42" s="150"/>
      <c r="O42" s="292"/>
      <c r="P42" s="16" t="s">
        <v>52</v>
      </c>
      <c r="Q42" s="7">
        <v>90473.707451482813</v>
      </c>
      <c r="R42" s="7">
        <v>89756.848717536574</v>
      </c>
      <c r="S42" s="7">
        <v>69151.791619799711</v>
      </c>
      <c r="T42" s="7">
        <v>62811.426026202469</v>
      </c>
      <c r="U42" s="7">
        <v>78984.928728401399</v>
      </c>
      <c r="V42" s="7">
        <v>98301.035890584928</v>
      </c>
      <c r="W42" s="7">
        <v>95882.907031945215</v>
      </c>
      <c r="X42" s="7">
        <v>91873.818306573841</v>
      </c>
      <c r="Y42" s="7">
        <v>74459.06471884952</v>
      </c>
      <c r="AB42" s="159"/>
      <c r="AC42" s="124"/>
      <c r="AD42" s="124"/>
      <c r="AE42" s="124"/>
      <c r="AF42" s="124"/>
      <c r="AG42" s="124"/>
      <c r="AH42" s="124"/>
      <c r="AI42" s="124"/>
      <c r="AJ42" s="124"/>
      <c r="BF42" s="150"/>
      <c r="BY42" s="150"/>
      <c r="BZ42" s="292"/>
      <c r="CA42" s="16" t="s">
        <v>14</v>
      </c>
      <c r="CB42" s="216">
        <v>-132716.67841127815</v>
      </c>
      <c r="CC42" s="216">
        <v>-101217.1673877877</v>
      </c>
      <c r="CD42" s="216">
        <v>71980.142066173445</v>
      </c>
      <c r="CE42" s="216">
        <v>-54670.219777225124</v>
      </c>
      <c r="CF42" s="216">
        <v>-29944.922319360674</v>
      </c>
      <c r="CG42" s="216">
        <v>-43659.479852407647</v>
      </c>
      <c r="CH42" s="216">
        <v>29909.022663524076</v>
      </c>
      <c r="CK42" s="292"/>
      <c r="CL42" s="16" t="s">
        <v>14</v>
      </c>
      <c r="CM42" s="216">
        <v>-127904.97993472396</v>
      </c>
      <c r="CN42" s="216">
        <v>-91366.927120271241</v>
      </c>
      <c r="CO42" s="216">
        <v>88064.634143852352</v>
      </c>
      <c r="CP42" s="216">
        <v>-39492.491458990109</v>
      </c>
      <c r="CQ42" s="216">
        <v>-24493.869322472743</v>
      </c>
      <c r="CR42" s="216">
        <v>-40777.518250650144</v>
      </c>
      <c r="CS42" s="216">
        <v>30346.07229872117</v>
      </c>
      <c r="CW42" s="150"/>
      <c r="CX42" s="292"/>
      <c r="CY42" s="17" t="s">
        <v>8</v>
      </c>
      <c r="CZ42" s="7">
        <v>64.099999999999994</v>
      </c>
      <c r="DA42" s="7">
        <v>85.83</v>
      </c>
      <c r="DB42" s="7">
        <v>77.459999999999994</v>
      </c>
      <c r="DC42" s="7">
        <v>33.89</v>
      </c>
      <c r="DD42" s="7">
        <v>10.93</v>
      </c>
      <c r="DE42" s="7">
        <v>-2.04</v>
      </c>
      <c r="DF42" s="7">
        <v>-4.5</v>
      </c>
      <c r="DG42" s="7">
        <v>0.94</v>
      </c>
      <c r="DH42" s="7">
        <v>-2.5299999999999998</v>
      </c>
      <c r="DI42" s="7">
        <v>-15.54</v>
      </c>
      <c r="DJ42" s="7">
        <v>-24.88</v>
      </c>
      <c r="DK42" s="7">
        <v>-36.93</v>
      </c>
      <c r="DL42" s="7">
        <v>-85.82</v>
      </c>
      <c r="DM42" s="7">
        <v>-96.33</v>
      </c>
      <c r="DN42" s="7">
        <v>-145.97</v>
      </c>
      <c r="DO42" s="7">
        <v>-396.32</v>
      </c>
      <c r="DP42" s="7">
        <v>-370.63</v>
      </c>
      <c r="DQ42" s="7">
        <v>-570.77</v>
      </c>
      <c r="DR42" s="7">
        <v>-815.62</v>
      </c>
      <c r="DS42" s="7">
        <v>-932.3</v>
      </c>
      <c r="DT42" s="7">
        <v>-1040.1600000000001</v>
      </c>
      <c r="DU42" s="7">
        <v>-980.8</v>
      </c>
      <c r="DV42" s="7">
        <v>-1123.8599999999999</v>
      </c>
      <c r="DW42" s="7">
        <v>-1459.69</v>
      </c>
      <c r="DX42" s="7">
        <v>-1741.2</v>
      </c>
      <c r="DY42" s="209">
        <f>SUM('MEEIA 3 calcs'!AA42:AY42)</f>
        <v>-9544.9599999999991</v>
      </c>
      <c r="DZ42" s="224">
        <f>SUM(CZ42:DX42)-DY42</f>
        <v>-27.780000000000655</v>
      </c>
      <c r="EA42" s="150"/>
      <c r="FH42" s="150"/>
    </row>
    <row r="43" spans="1:164" s="4" customFormat="1" ht="15" outlineLevel="1" x14ac:dyDescent="0.25">
      <c r="A43" s="292"/>
      <c r="B43" s="16" t="s">
        <v>14</v>
      </c>
      <c r="C43" s="7">
        <f t="shared" ref="C43:J43" si="36">IF(OR(C41="",C42=""),"",C41+C42)</f>
        <v>0</v>
      </c>
      <c r="D43" s="7">
        <f t="shared" si="36"/>
        <v>10.518979963866</v>
      </c>
      <c r="E43" s="7">
        <f t="shared" si="36"/>
        <v>-1307.724787500274</v>
      </c>
      <c r="F43" s="7">
        <f t="shared" si="36"/>
        <v>-32947.373136481852</v>
      </c>
      <c r="G43" s="7">
        <f t="shared" si="36"/>
        <v>-28912.420370678134</v>
      </c>
      <c r="H43" s="7">
        <f t="shared" si="36"/>
        <v>-29271.834862599459</v>
      </c>
      <c r="I43" s="7">
        <f t="shared" si="36"/>
        <v>-26664.723629877735</v>
      </c>
      <c r="J43" s="7">
        <f t="shared" si="36"/>
        <v>-31042.408955051058</v>
      </c>
      <c r="M43" s="150"/>
      <c r="N43" s="150"/>
      <c r="O43" s="292"/>
      <c r="P43" s="16" t="s">
        <v>13</v>
      </c>
      <c r="Q43" s="7">
        <v>-2430.5599676319835</v>
      </c>
      <c r="R43" s="7">
        <v>13884.756391725808</v>
      </c>
      <c r="S43" s="7">
        <v>-24656.123165404984</v>
      </c>
      <c r="T43" s="7">
        <v>9636.0532806900083</v>
      </c>
      <c r="U43" s="7">
        <v>21257.212078134995</v>
      </c>
      <c r="V43" s="7">
        <v>46513.852892219438</v>
      </c>
      <c r="W43" s="7">
        <v>17963.75752109506</v>
      </c>
      <c r="X43" s="7">
        <v>35839.24270934696</v>
      </c>
      <c r="Y43" s="7">
        <v>28485.142644444233</v>
      </c>
      <c r="Z43" s="103" t="s">
        <v>84</v>
      </c>
      <c r="AA43" s="103" t="s">
        <v>86</v>
      </c>
      <c r="AB43" s="159"/>
      <c r="AC43" s="124"/>
      <c r="AD43" s="124"/>
      <c r="AE43" s="124"/>
      <c r="AF43" s="124"/>
      <c r="AG43" s="124"/>
      <c r="AH43" s="124"/>
      <c r="AI43" s="124"/>
      <c r="AJ43" s="124"/>
      <c r="AK43" s="135"/>
      <c r="BF43" s="150"/>
      <c r="BY43" s="150"/>
      <c r="BZ43" s="292"/>
      <c r="CA43" s="18" t="s">
        <v>17</v>
      </c>
      <c r="CB43" s="216">
        <v>-6512.098706385179</v>
      </c>
      <c r="CC43" s="216">
        <v>-155309.4560941729</v>
      </c>
      <c r="CD43" s="216">
        <v>-134194.53402799944</v>
      </c>
      <c r="CE43" s="216">
        <v>-150320.97380522458</v>
      </c>
      <c r="CF43" s="216">
        <v>-157190.04612458526</v>
      </c>
      <c r="CG43" s="216">
        <v>-179405.39597699291</v>
      </c>
      <c r="CH43" s="216">
        <v>-127316.96331346883</v>
      </c>
      <c r="CK43" s="292"/>
      <c r="CL43" s="18" t="s">
        <v>17</v>
      </c>
      <c r="CM43" s="216">
        <v>-1700.4002298309933</v>
      </c>
      <c r="CN43" s="216">
        <v>-140647.51735010225</v>
      </c>
      <c r="CO43" s="216">
        <v>-103448.1032062499</v>
      </c>
      <c r="CP43" s="216">
        <v>-104396.81466524</v>
      </c>
      <c r="CQ43" s="216">
        <v>-105814.83398771274</v>
      </c>
      <c r="CR43" s="216">
        <v>-125148.22223836288</v>
      </c>
      <c r="CS43" s="216">
        <v>-72622.739939641717</v>
      </c>
      <c r="CW43" s="150"/>
      <c r="CX43" s="292"/>
      <c r="CY43" s="16" t="s">
        <v>14</v>
      </c>
      <c r="CZ43" s="7">
        <v>30998.958333323746</v>
      </c>
      <c r="DA43" s="7">
        <v>94852.797284778368</v>
      </c>
      <c r="DB43" s="7">
        <v>-72320.97950293649</v>
      </c>
      <c r="DC43" s="7">
        <v>-168130.07020115107</v>
      </c>
      <c r="DD43" s="7">
        <v>-98746.186365664355</v>
      </c>
      <c r="DE43" s="7">
        <v>-36657.160222931961</v>
      </c>
      <c r="DF43" s="7">
        <v>23006.589724145306</v>
      </c>
      <c r="DG43" s="7">
        <v>80833.60773878172</v>
      </c>
      <c r="DH43" s="7">
        <v>23092.630478310311</v>
      </c>
      <c r="DI43" s="7">
        <v>-35214.524828463174</v>
      </c>
      <c r="DJ43" s="7">
        <v>-63817.235629800496</v>
      </c>
      <c r="DK43" s="7">
        <v>-55512.322619436316</v>
      </c>
      <c r="DL43" s="7">
        <v>-66726.060037982184</v>
      </c>
      <c r="DM43" s="7">
        <v>-51028.131916664526</v>
      </c>
      <c r="DN43" s="7">
        <v>-159044.83501364035</v>
      </c>
      <c r="DO43" s="7">
        <v>-133597.50728040846</v>
      </c>
      <c r="DP43" s="7">
        <v>-80261.398793329965</v>
      </c>
      <c r="DQ43" s="7">
        <v>-10166.391722205135</v>
      </c>
      <c r="DR43" s="7">
        <v>27914.116987736485</v>
      </c>
      <c r="DS43" s="7">
        <v>73530.136345896506</v>
      </c>
      <c r="DT43" s="7">
        <v>16799.108968651537</v>
      </c>
      <c r="DU43" s="7">
        <v>35783.999759755141</v>
      </c>
      <c r="DV43" s="7">
        <v>-4966.5095508213699</v>
      </c>
      <c r="DW43" s="7">
        <v>-49307.595104756299</v>
      </c>
      <c r="DX43" s="7">
        <v>-80246.513670210479</v>
      </c>
      <c r="DY43" s="209"/>
      <c r="DZ43" s="209"/>
      <c r="EA43" s="150"/>
      <c r="FH43" s="150"/>
    </row>
    <row r="44" spans="1:164" s="4" customFormat="1" ht="15" outlineLevel="1" x14ac:dyDescent="0.25">
      <c r="A44" s="292"/>
      <c r="B44" s="18" t="s">
        <v>18</v>
      </c>
      <c r="C44" s="7">
        <f>IF(OR(C43=""),"",C43)</f>
        <v>0</v>
      </c>
      <c r="D44" s="7">
        <f t="shared" ref="D44:J44" si="37">IF(OR(D43="",C44=""),"",D43+C44)</f>
        <v>10.518979963866</v>
      </c>
      <c r="E44" s="7">
        <f t="shared" si="37"/>
        <v>-1297.205807536408</v>
      </c>
      <c r="F44" s="7">
        <f t="shared" si="37"/>
        <v>-34244.578944018263</v>
      </c>
      <c r="G44" s="7">
        <f t="shared" si="37"/>
        <v>-63156.999314696397</v>
      </c>
      <c r="H44" s="7">
        <f t="shared" si="37"/>
        <v>-92428.834177295852</v>
      </c>
      <c r="I44" s="7">
        <f t="shared" si="37"/>
        <v>-119093.55780717358</v>
      </c>
      <c r="J44" s="7">
        <f t="shared" si="37"/>
        <v>-150135.96676222465</v>
      </c>
      <c r="M44" s="150"/>
      <c r="N44" s="150"/>
      <c r="O44" s="292"/>
      <c r="P44" s="17" t="s">
        <v>8</v>
      </c>
      <c r="Q44" s="7">
        <v>26.58</v>
      </c>
      <c r="R44" s="7">
        <v>77.78</v>
      </c>
      <c r="S44" s="7">
        <v>30.14</v>
      </c>
      <c r="T44" s="7">
        <v>6.52</v>
      </c>
      <c r="U44" s="7">
        <v>10.210000000000001</v>
      </c>
      <c r="V44" s="7">
        <v>26.38</v>
      </c>
      <c r="W44" s="7">
        <v>22.8</v>
      </c>
      <c r="X44" s="7">
        <v>26.26</v>
      </c>
      <c r="Y44" s="7">
        <v>49.59</v>
      </c>
      <c r="Z44" s="104">
        <v>197.73</v>
      </c>
      <c r="AA44" s="112">
        <v>78.53</v>
      </c>
      <c r="AB44" s="159"/>
      <c r="AC44" s="124"/>
      <c r="AD44" s="124"/>
      <c r="AE44" s="124"/>
      <c r="AF44" s="124"/>
      <c r="AG44" s="124"/>
      <c r="AH44" s="124"/>
      <c r="AI44" s="124"/>
      <c r="AJ44" s="124"/>
      <c r="AK44" s="136"/>
      <c r="BF44" s="150"/>
      <c r="BY44" s="150"/>
      <c r="BZ44" s="40"/>
      <c r="CA44" s="11"/>
      <c r="CB44" s="2"/>
      <c r="CC44" s="2"/>
      <c r="CD44" s="2"/>
      <c r="CE44" s="2"/>
      <c r="CF44" s="2"/>
      <c r="CG44" s="2"/>
      <c r="CH44" s="2"/>
      <c r="CK44" s="40"/>
      <c r="CL44" s="11"/>
      <c r="CM44" s="2"/>
      <c r="CN44" s="2"/>
      <c r="CO44" s="2"/>
      <c r="CP44" s="2"/>
      <c r="CQ44" s="2"/>
      <c r="CR44" s="2"/>
      <c r="CS44" s="2"/>
      <c r="CW44" s="150"/>
      <c r="CX44" s="292"/>
      <c r="CY44" s="18" t="s">
        <v>16</v>
      </c>
      <c r="CZ44" s="7">
        <v>384650.777299857</v>
      </c>
      <c r="DA44" s="7">
        <v>499731.5345846354</v>
      </c>
      <c r="DB44" s="7">
        <v>400334.68508169893</v>
      </c>
      <c r="DC44" s="7">
        <v>190334.69488054788</v>
      </c>
      <c r="DD44" s="7">
        <v>58284.938514883514</v>
      </c>
      <c r="DE44" s="7">
        <v>-10932.511708048449</v>
      </c>
      <c r="DF44" s="7">
        <v>-26767.311983903142</v>
      </c>
      <c r="DG44" s="7">
        <v>8088.3157548785748</v>
      </c>
      <c r="DH44" s="7">
        <v>-14814.433766811111</v>
      </c>
      <c r="DI44" s="7">
        <v>-96503.338595274283</v>
      </c>
      <c r="DJ44" s="7">
        <v>-199086.02422507477</v>
      </c>
      <c r="DK44" s="7">
        <v>-289258.13684451109</v>
      </c>
      <c r="DL44" s="7">
        <v>-395473.84688249324</v>
      </c>
      <c r="DM44" s="7">
        <v>-493135.90879915777</v>
      </c>
      <c r="DN44" s="7">
        <v>-592208.86381279817</v>
      </c>
      <c r="DO44" s="7">
        <v>-691346.16109320661</v>
      </c>
      <c r="DP44" s="7">
        <v>-741125.44988653657</v>
      </c>
      <c r="DQ44" s="7">
        <v>-721768.41160874174</v>
      </c>
      <c r="DR44" s="7">
        <v>-659516.4146210053</v>
      </c>
      <c r="DS44" s="7">
        <v>-544894.35827510874</v>
      </c>
      <c r="DT44" s="7">
        <v>-487844.38930645719</v>
      </c>
      <c r="DU44" s="7">
        <v>-415154.92954670207</v>
      </c>
      <c r="DV44" s="7">
        <v>-389766.48909752344</v>
      </c>
      <c r="DW44" s="7">
        <v>-410135.88420227973</v>
      </c>
      <c r="DX44" s="7">
        <v>-454236.07787249022</v>
      </c>
      <c r="DY44" s="209"/>
      <c r="DZ44" s="209"/>
      <c r="EA44" s="150"/>
      <c r="FH44" s="150"/>
    </row>
    <row r="45" spans="1:164" s="4" customFormat="1" ht="20.25" customHeight="1" outlineLevel="1" x14ac:dyDescent="0.25">
      <c r="A45" s="40"/>
      <c r="B45" s="11"/>
      <c r="C45" s="12"/>
      <c r="D45" s="12"/>
      <c r="E45" s="12"/>
      <c r="F45" s="12"/>
      <c r="G45" s="12"/>
      <c r="H45" s="12"/>
      <c r="I45" s="12"/>
      <c r="J45" s="12"/>
      <c r="M45" s="150"/>
      <c r="N45" s="150"/>
      <c r="O45" s="292"/>
      <c r="P45" s="16" t="s">
        <v>14</v>
      </c>
      <c r="Q45" s="7">
        <v>-2403.9799676319835</v>
      </c>
      <c r="R45" s="7">
        <v>13962.536391725809</v>
      </c>
      <c r="S45" s="7">
        <v>-24625.983165404985</v>
      </c>
      <c r="T45" s="7">
        <v>9642.5732806900087</v>
      </c>
      <c r="U45" s="7">
        <v>21267.422078134994</v>
      </c>
      <c r="V45" s="7">
        <v>46540.232892219436</v>
      </c>
      <c r="W45" s="7">
        <v>17986.557521095059</v>
      </c>
      <c r="X45" s="7">
        <v>35865.502709346962</v>
      </c>
      <c r="Y45" s="7">
        <v>28534.732644444233</v>
      </c>
      <c r="AB45" s="159"/>
      <c r="AC45" s="124"/>
      <c r="AD45" s="124"/>
      <c r="AE45" s="124"/>
      <c r="AF45" s="124"/>
      <c r="AG45" s="124"/>
      <c r="AH45" s="124"/>
      <c r="AI45" s="124"/>
      <c r="AJ45" s="124"/>
      <c r="BF45" s="150"/>
      <c r="BY45" s="150"/>
      <c r="BZ45" s="292" t="s">
        <v>23</v>
      </c>
      <c r="CA45" s="15"/>
      <c r="CB45" s="2"/>
      <c r="CC45" s="2"/>
      <c r="CD45" s="2"/>
      <c r="CE45" s="2"/>
      <c r="CF45" s="2"/>
      <c r="CG45" s="2"/>
      <c r="CH45" s="2"/>
      <c r="CK45" s="292" t="s">
        <v>23</v>
      </c>
      <c r="CL45" s="15"/>
      <c r="CM45" s="2"/>
      <c r="CN45" s="2"/>
      <c r="CO45" s="2"/>
      <c r="CP45" s="2"/>
      <c r="CQ45" s="2"/>
      <c r="CR45" s="2"/>
      <c r="CS45" s="2"/>
      <c r="CW45" s="150"/>
      <c r="CX45" s="40"/>
      <c r="CY45" s="11"/>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209"/>
      <c r="DZ45" s="209"/>
      <c r="EA45" s="150"/>
      <c r="FH45" s="150"/>
    </row>
    <row r="46" spans="1:164" s="4" customFormat="1" ht="15" customHeight="1" outlineLevel="1" x14ac:dyDescent="0.25">
      <c r="A46" s="292" t="s">
        <v>24</v>
      </c>
      <c r="B46" s="15"/>
      <c r="C46" s="7"/>
      <c r="D46" s="7"/>
      <c r="E46" s="7"/>
      <c r="F46" s="7"/>
      <c r="G46" s="7"/>
      <c r="H46" s="7"/>
      <c r="I46" s="7"/>
      <c r="J46" s="7"/>
      <c r="M46" s="150"/>
      <c r="N46" s="150"/>
      <c r="O46" s="292"/>
      <c r="P46" s="18" t="s">
        <v>16</v>
      </c>
      <c r="Q46" s="7">
        <v>17709.387711885101</v>
      </c>
      <c r="R46" s="7">
        <v>49500.744103610908</v>
      </c>
      <c r="S46" s="7">
        <v>38573.100938205927</v>
      </c>
      <c r="T46" s="7">
        <v>60635.35421889594</v>
      </c>
      <c r="U46" s="7">
        <v>97498.206297030934</v>
      </c>
      <c r="V46" s="7">
        <v>163457.61918925037</v>
      </c>
      <c r="W46" s="7">
        <v>200372.05671034544</v>
      </c>
      <c r="X46" s="7">
        <v>254355.9894196924</v>
      </c>
      <c r="Y46" s="7">
        <v>297576.95206413663</v>
      </c>
      <c r="AB46" s="159"/>
      <c r="AC46" s="124"/>
      <c r="AD46" s="124"/>
      <c r="AE46" s="124"/>
      <c r="AF46" s="124"/>
      <c r="AG46" s="124"/>
      <c r="AH46" s="124"/>
      <c r="AI46" s="124"/>
      <c r="AJ46" s="124"/>
      <c r="BF46" s="150"/>
      <c r="BY46" s="150"/>
      <c r="BZ46" s="292"/>
      <c r="CA46" s="15" t="s">
        <v>28</v>
      </c>
      <c r="CB46" s="216">
        <v>93253.892629017733</v>
      </c>
      <c r="CC46" s="216">
        <v>103488.5984224446</v>
      </c>
      <c r="CD46" s="216">
        <v>144414.82989089785</v>
      </c>
      <c r="CE46" s="216">
        <v>110066.63506595949</v>
      </c>
      <c r="CF46" s="216">
        <v>50328.1679847302</v>
      </c>
      <c r="CG46" s="216">
        <v>48818.637830727937</v>
      </c>
      <c r="CH46" s="216">
        <v>69139.5977047872</v>
      </c>
      <c r="CK46" s="292"/>
      <c r="CL46" s="15" t="s">
        <v>28</v>
      </c>
      <c r="CM46" s="216">
        <v>94499.435722133203</v>
      </c>
      <c r="CN46" s="216">
        <v>106373.63204827519</v>
      </c>
      <c r="CO46" s="216">
        <v>148860.54934641003</v>
      </c>
      <c r="CP46" s="216">
        <v>113969.38798552775</v>
      </c>
      <c r="CQ46" s="216">
        <v>51770.931765260808</v>
      </c>
      <c r="CR46" s="216">
        <v>49637.482299138559</v>
      </c>
      <c r="CS46" s="216">
        <v>69257.34742855576</v>
      </c>
      <c r="CW46" s="150"/>
      <c r="CX46" s="292" t="s">
        <v>22</v>
      </c>
      <c r="CY46" s="15"/>
      <c r="CZ46" s="7"/>
      <c r="DA46" s="7"/>
      <c r="DB46" s="7"/>
      <c r="DC46" s="7"/>
      <c r="DD46" s="7"/>
      <c r="DE46" s="7"/>
      <c r="DF46" s="7"/>
      <c r="DG46" s="7"/>
      <c r="DH46" s="7"/>
      <c r="DI46" s="7"/>
      <c r="DJ46" s="7"/>
      <c r="DK46" s="7"/>
      <c r="DL46" s="7"/>
      <c r="DM46" s="7"/>
      <c r="DN46" s="7"/>
      <c r="DO46" s="7"/>
      <c r="DP46" s="7"/>
      <c r="DQ46" s="7"/>
      <c r="DR46" s="7"/>
      <c r="DS46" s="7"/>
      <c r="DT46" s="7"/>
      <c r="DU46" s="7"/>
      <c r="DV46" s="126">
        <v>54573.283373827086</v>
      </c>
      <c r="DW46" s="7"/>
      <c r="DX46" s="7"/>
      <c r="DY46" s="209"/>
      <c r="DZ46" s="209"/>
      <c r="EA46" s="150"/>
      <c r="FH46" s="150"/>
    </row>
    <row r="47" spans="1:164" s="2" customFormat="1" ht="15" customHeight="1" outlineLevel="1" x14ac:dyDescent="0.25">
      <c r="A47" s="292"/>
      <c r="B47" s="15" t="s">
        <v>28</v>
      </c>
      <c r="C47" s="20">
        <f>C91</f>
        <v>0</v>
      </c>
      <c r="D47" s="20">
        <f t="shared" ref="D47:J47" si="38">D91</f>
        <v>0</v>
      </c>
      <c r="E47" s="20">
        <f t="shared" si="38"/>
        <v>178.04544936482247</v>
      </c>
      <c r="F47" s="20">
        <f t="shared" si="38"/>
        <v>661.15950808601849</v>
      </c>
      <c r="G47" s="20">
        <f t="shared" si="38"/>
        <v>877.99265710747466</v>
      </c>
      <c r="H47" s="20">
        <f t="shared" si="38"/>
        <v>967.48184726463296</v>
      </c>
      <c r="I47" s="20">
        <f t="shared" si="38"/>
        <v>1381.2114306574015</v>
      </c>
      <c r="J47" s="20">
        <f t="shared" si="38"/>
        <v>1095.1994877590121</v>
      </c>
      <c r="M47" s="151"/>
      <c r="N47" s="151"/>
      <c r="O47" s="40"/>
      <c r="P47" s="11"/>
      <c r="Q47" s="12"/>
      <c r="R47" s="12"/>
      <c r="S47" s="12"/>
      <c r="T47" s="12"/>
      <c r="U47" s="12"/>
      <c r="V47" s="12"/>
      <c r="W47" s="12"/>
      <c r="X47" s="12"/>
      <c r="Y47" s="12"/>
      <c r="Z47" s="4"/>
      <c r="AA47" s="4"/>
      <c r="AB47" s="159"/>
      <c r="AC47" s="124"/>
      <c r="AD47" s="124"/>
      <c r="AE47" s="124"/>
      <c r="AF47" s="124"/>
      <c r="AG47" s="124"/>
      <c r="AH47" s="124"/>
      <c r="AI47" s="124"/>
      <c r="AJ47" s="124"/>
      <c r="AK47" s="4"/>
      <c r="BF47" s="151"/>
      <c r="BY47" s="151"/>
      <c r="BZ47" s="292"/>
      <c r="CA47" s="16" t="s">
        <v>26</v>
      </c>
      <c r="CB47" s="216">
        <v>171603.607119394</v>
      </c>
      <c r="CC47" s="216">
        <v>225113.97993017494</v>
      </c>
      <c r="CD47" s="216">
        <v>217125.39653110137</v>
      </c>
      <c r="CE47" s="216">
        <v>162221.33538769459</v>
      </c>
      <c r="CF47" s="216">
        <v>84753.684454895163</v>
      </c>
      <c r="CG47" s="216">
        <v>72198.807943159496</v>
      </c>
      <c r="CH47" s="216">
        <v>84979.402614517516</v>
      </c>
      <c r="CK47" s="292"/>
      <c r="CL47" s="16" t="s">
        <v>26</v>
      </c>
      <c r="CM47" s="216">
        <v>170938.27536408586</v>
      </c>
      <c r="CN47" s="216">
        <v>223626.59508106788</v>
      </c>
      <c r="CO47" s="216">
        <v>214644.25749630781</v>
      </c>
      <c r="CP47" s="216">
        <v>159960.98877011714</v>
      </c>
      <c r="CQ47" s="216">
        <v>83957.029881736671</v>
      </c>
      <c r="CR47" s="216">
        <v>71737.991738818018</v>
      </c>
      <c r="CS47" s="216">
        <v>84924.677214678944</v>
      </c>
      <c r="CW47" s="151"/>
      <c r="CX47" s="292"/>
      <c r="CY47" s="15" t="s">
        <v>28</v>
      </c>
      <c r="CZ47" s="20">
        <v>171784.13279113677</v>
      </c>
      <c r="DA47" s="20">
        <v>283797.45031291858</v>
      </c>
      <c r="DB47" s="20">
        <v>210481.86723637651</v>
      </c>
      <c r="DC47" s="20">
        <v>232927.56555946911</v>
      </c>
      <c r="DD47" s="20">
        <v>221111.27962203597</v>
      </c>
      <c r="DE47" s="20">
        <v>314679.79966629087</v>
      </c>
      <c r="DF47" s="20">
        <v>715299.40366319334</v>
      </c>
      <c r="DG47" s="20">
        <v>953627.42461110547</v>
      </c>
      <c r="DH47" s="20">
        <v>939310.43288894033</v>
      </c>
      <c r="DI47" s="20">
        <v>659615.18241367524</v>
      </c>
      <c r="DJ47" s="20">
        <v>353569.18814987835</v>
      </c>
      <c r="DK47" s="20">
        <v>343727.65210763505</v>
      </c>
      <c r="DL47" s="20">
        <v>418850.04670264991</v>
      </c>
      <c r="DM47" s="20">
        <v>627056.98298263596</v>
      </c>
      <c r="DN47" s="20">
        <v>475288.11809378932</v>
      </c>
      <c r="DO47" s="20">
        <v>288997.35659879085</v>
      </c>
      <c r="DP47" s="20">
        <v>253245.26358346242</v>
      </c>
      <c r="DQ47" s="20">
        <v>337719.24594805558</v>
      </c>
      <c r="DR47" s="20">
        <v>917413.81462190335</v>
      </c>
      <c r="DS47" s="20">
        <v>1145597.0197120309</v>
      </c>
      <c r="DT47" s="20">
        <v>988866.58881189337</v>
      </c>
      <c r="DU47" s="20">
        <v>672365.26793086936</v>
      </c>
      <c r="DV47" s="20">
        <v>344986.1375718661</v>
      </c>
      <c r="DW47" s="20">
        <v>367525.10463732504</v>
      </c>
      <c r="DX47" s="20">
        <v>468411.57966709038</v>
      </c>
      <c r="DY47" s="222"/>
      <c r="DZ47" s="222"/>
      <c r="EA47" s="151"/>
      <c r="FH47" s="151"/>
    </row>
    <row r="48" spans="1:164" s="4" customFormat="1" ht="15" customHeight="1" outlineLevel="1" x14ac:dyDescent="0.25">
      <c r="A48" s="292"/>
      <c r="B48" s="16" t="s">
        <v>26</v>
      </c>
      <c r="C48" s="20">
        <f>IF('M3 Allocations - TD'!D55="","",'M3 Allocations - TD'!D73)</f>
        <v>0</v>
      </c>
      <c r="D48" s="20">
        <f>IF('M3 Allocations - TD'!E55="","",'M3 Allocations - TD'!E73)</f>
        <v>0</v>
      </c>
      <c r="E48" s="20">
        <f>IF('M3 Allocations - TD'!F55="","",'M3 Allocations - TD'!F73)</f>
        <v>-48.583419353926594</v>
      </c>
      <c r="F48" s="20">
        <f>IF('M3 Allocations - TD'!G55="","",'M3 Allocations - TD'!G73)</f>
        <v>4125.9071778961579</v>
      </c>
      <c r="G48" s="20">
        <f>IF('M3 Allocations - TD'!H55="","",'M3 Allocations - TD'!H73)</f>
        <v>6806.3797850987785</v>
      </c>
      <c r="H48" s="20">
        <f>IF('M3 Allocations - TD'!I55="","",'M3 Allocations - TD'!I73)</f>
        <v>7524.9044581782691</v>
      </c>
      <c r="I48" s="20">
        <f>IF('M3 Allocations - TD'!J55="","",'M3 Allocations - TD'!J73)</f>
        <v>7658.4495072300715</v>
      </c>
      <c r="J48" s="20">
        <f>IF('M3 Allocations - TD'!K55="","",'M3 Allocations - TD'!K73)</f>
        <v>7241.6490844376849</v>
      </c>
      <c r="M48" s="150"/>
      <c r="N48" s="150"/>
      <c r="O48" s="292" t="s">
        <v>22</v>
      </c>
      <c r="P48" s="15"/>
      <c r="Q48" s="7"/>
      <c r="R48" s="7"/>
      <c r="S48" s="7"/>
      <c r="T48" s="7"/>
      <c r="U48" s="7"/>
      <c r="V48" s="7"/>
      <c r="W48" s="7"/>
      <c r="X48" s="7"/>
      <c r="Y48" s="7"/>
      <c r="AB48" s="159"/>
      <c r="AC48" s="124"/>
      <c r="AD48" s="124"/>
      <c r="AE48" s="124"/>
      <c r="AF48" s="124"/>
      <c r="AG48" s="124"/>
      <c r="AH48" s="124"/>
      <c r="AI48" s="124"/>
      <c r="AJ48" s="124"/>
      <c r="BF48" s="150"/>
      <c r="BY48" s="150"/>
      <c r="BZ48" s="292"/>
      <c r="CA48" s="16" t="s">
        <v>51</v>
      </c>
      <c r="CB48" s="216">
        <v>-8146.01</v>
      </c>
      <c r="CC48" s="216">
        <v>-10707.36</v>
      </c>
      <c r="CD48" s="216">
        <v>-10340.290000000001</v>
      </c>
      <c r="CE48" s="216">
        <v>58728.46</v>
      </c>
      <c r="CF48" s="216">
        <v>30610.37</v>
      </c>
      <c r="CG48" s="216">
        <v>26134.63</v>
      </c>
      <c r="CH48" s="216">
        <v>30515.41</v>
      </c>
      <c r="CK48" s="292"/>
      <c r="CL48" s="16" t="s">
        <v>51</v>
      </c>
      <c r="CM48" s="216">
        <v>-8146.01</v>
      </c>
      <c r="CN48" s="216">
        <v>-10707.36</v>
      </c>
      <c r="CO48" s="216">
        <v>-10340.290000000001</v>
      </c>
      <c r="CP48" s="216">
        <v>58728.46</v>
      </c>
      <c r="CQ48" s="216">
        <v>30610.37</v>
      </c>
      <c r="CR48" s="216">
        <v>26134.63</v>
      </c>
      <c r="CS48" s="216">
        <v>30515.41</v>
      </c>
      <c r="CW48" s="150"/>
      <c r="CX48" s="292"/>
      <c r="CY48" s="16" t="s">
        <v>26</v>
      </c>
      <c r="CZ48" s="20">
        <v>96572.606390330679</v>
      </c>
      <c r="DA48" s="20">
        <v>102973.56100695563</v>
      </c>
      <c r="DB48" s="20">
        <v>317054.12799449282</v>
      </c>
      <c r="DC48" s="20">
        <v>555274.69988765684</v>
      </c>
      <c r="DD48" s="20">
        <v>496959.09444564459</v>
      </c>
      <c r="DE48" s="20">
        <v>507462.60422851134</v>
      </c>
      <c r="DF48" s="20">
        <v>564396.00989380945</v>
      </c>
      <c r="DG48" s="20">
        <v>660447.26760719228</v>
      </c>
      <c r="DH48" s="20">
        <v>654260.67532357096</v>
      </c>
      <c r="DI48" s="20">
        <v>666957.41235823918</v>
      </c>
      <c r="DJ48" s="20">
        <v>587413.62430156593</v>
      </c>
      <c r="DK48" s="20">
        <v>519976.82051891321</v>
      </c>
      <c r="DL48" s="20">
        <v>567613.70409043762</v>
      </c>
      <c r="DM48" s="20">
        <v>605915.85091646248</v>
      </c>
      <c r="DN48" s="20">
        <v>491377.50787101442</v>
      </c>
      <c r="DO48" s="20">
        <v>295776.31891815155</v>
      </c>
      <c r="DP48" s="20">
        <v>275370.89343587006</v>
      </c>
      <c r="DQ48" s="20">
        <v>285530.13328453153</v>
      </c>
      <c r="DR48" s="20">
        <v>320626.18147462484</v>
      </c>
      <c r="DS48" s="20">
        <v>359045.8467287785</v>
      </c>
      <c r="DT48" s="20">
        <v>356393.75583709526</v>
      </c>
      <c r="DU48" s="20">
        <v>340966.67570072628</v>
      </c>
      <c r="DV48" s="20">
        <v>293032.69252515415</v>
      </c>
      <c r="DW48" s="20">
        <v>284530.72242752794</v>
      </c>
      <c r="DX48" s="20">
        <v>315151.4942720079</v>
      </c>
      <c r="DY48" s="209"/>
      <c r="DZ48" s="209"/>
      <c r="EA48" s="150"/>
      <c r="FH48" s="150"/>
    </row>
    <row r="49" spans="1:164" s="4" customFormat="1" ht="15" customHeight="1" outlineLevel="1" x14ac:dyDescent="0.25">
      <c r="A49" s="292"/>
      <c r="B49" s="16" t="s">
        <v>51</v>
      </c>
      <c r="C49" s="20">
        <f>IF(C48="","",0)</f>
        <v>0</v>
      </c>
      <c r="D49" s="20">
        <f t="shared" ref="D49:I49" si="39">IF(D48="","",0)</f>
        <v>0</v>
      </c>
      <c r="E49" s="20">
        <f t="shared" si="39"/>
        <v>0</v>
      </c>
      <c r="F49" s="20">
        <f t="shared" si="39"/>
        <v>0</v>
      </c>
      <c r="G49" s="20">
        <f t="shared" si="39"/>
        <v>0</v>
      </c>
      <c r="H49" s="20">
        <f t="shared" si="39"/>
        <v>0</v>
      </c>
      <c r="I49" s="20">
        <f t="shared" si="39"/>
        <v>0</v>
      </c>
      <c r="J49" s="20">
        <f>IF(J48="","",0)</f>
        <v>0</v>
      </c>
      <c r="M49" s="150"/>
      <c r="N49" s="150"/>
      <c r="O49" s="292"/>
      <c r="P49" s="15" t="s">
        <v>28</v>
      </c>
      <c r="Q49" s="20">
        <v>122696.92137199735</v>
      </c>
      <c r="R49" s="20">
        <v>123411.87388052933</v>
      </c>
      <c r="S49" s="20">
        <v>47446.211556775474</v>
      </c>
      <c r="T49" s="20">
        <v>83556.534245541465</v>
      </c>
      <c r="U49" s="20">
        <v>189049.36683437167</v>
      </c>
      <c r="V49" s="20">
        <v>265484.4397628404</v>
      </c>
      <c r="W49" s="20">
        <v>248590.59560852987</v>
      </c>
      <c r="X49" s="20">
        <v>229992.78825383674</v>
      </c>
      <c r="Y49" s="20">
        <v>142655.78999924072</v>
      </c>
      <c r="Z49" s="2"/>
      <c r="AA49" s="2"/>
      <c r="AB49" s="159"/>
      <c r="AC49" s="124"/>
      <c r="AD49" s="124"/>
      <c r="AE49" s="124"/>
      <c r="AF49" s="124"/>
      <c r="AG49" s="124"/>
      <c r="AH49" s="124"/>
      <c r="AI49" s="124"/>
      <c r="AJ49" s="124"/>
      <c r="AK49" s="2"/>
      <c r="BF49" s="150"/>
      <c r="BY49" s="150"/>
      <c r="BZ49" s="292"/>
      <c r="CA49" s="16" t="s">
        <v>52</v>
      </c>
      <c r="CB49" s="216">
        <v>163457.59711939399</v>
      </c>
      <c r="CC49" s="216">
        <v>214406.61993017496</v>
      </c>
      <c r="CD49" s="216">
        <v>206785.10653110137</v>
      </c>
      <c r="CE49" s="216">
        <v>220949.79538769458</v>
      </c>
      <c r="CF49" s="216">
        <v>115364.05445489516</v>
      </c>
      <c r="CG49" s="216">
        <v>98333.437943159501</v>
      </c>
      <c r="CH49" s="216">
        <v>115494.81261451752</v>
      </c>
      <c r="CK49" s="292"/>
      <c r="CL49" s="16" t="s">
        <v>52</v>
      </c>
      <c r="CM49" s="216">
        <v>162792.26536408585</v>
      </c>
      <c r="CN49" s="216">
        <v>212919.23508106789</v>
      </c>
      <c r="CO49" s="216">
        <v>204303.9674963078</v>
      </c>
      <c r="CP49" s="216">
        <v>218689.44877011713</v>
      </c>
      <c r="CQ49" s="216">
        <v>114567.39988173667</v>
      </c>
      <c r="CR49" s="216">
        <v>97872.621738818023</v>
      </c>
      <c r="CS49" s="216">
        <v>115440.08721467895</v>
      </c>
      <c r="CT49" s="4" t="s">
        <v>117</v>
      </c>
      <c r="CU49" s="4" t="s">
        <v>118</v>
      </c>
      <c r="CV49" s="4" t="s">
        <v>119</v>
      </c>
      <c r="CW49" s="150"/>
      <c r="CX49" s="292"/>
      <c r="CY49" s="16" t="s">
        <v>51</v>
      </c>
      <c r="CZ49" s="20">
        <v>37469.9</v>
      </c>
      <c r="DA49" s="20">
        <v>40157.82</v>
      </c>
      <c r="DB49" s="20">
        <v>-26804.880000000001</v>
      </c>
      <c r="DC49" s="20">
        <v>-46741.51</v>
      </c>
      <c r="DD49" s="20">
        <v>-41624.800000000003</v>
      </c>
      <c r="DE49" s="20">
        <v>-42397.51</v>
      </c>
      <c r="DF49" s="20">
        <v>-47114.93</v>
      </c>
      <c r="DG49" s="20">
        <v>-55182.37</v>
      </c>
      <c r="DH49" s="20">
        <v>-54689.09</v>
      </c>
      <c r="DI49" s="20">
        <v>-55739.85</v>
      </c>
      <c r="DJ49" s="20">
        <v>-48995.69</v>
      </c>
      <c r="DK49" s="20">
        <v>-43533.32</v>
      </c>
      <c r="DL49" s="20">
        <v>-47580.19</v>
      </c>
      <c r="DM49" s="20">
        <v>-50865.22</v>
      </c>
      <c r="DN49" s="20">
        <v>38543.78</v>
      </c>
      <c r="DO49" s="20">
        <v>23075.85</v>
      </c>
      <c r="DP49" s="20">
        <v>21444.13</v>
      </c>
      <c r="DQ49" s="20">
        <v>22179.41</v>
      </c>
      <c r="DR49" s="20">
        <v>24889.02</v>
      </c>
      <c r="DS49" s="20">
        <v>27910.6</v>
      </c>
      <c r="DT49" s="20">
        <v>27712.27</v>
      </c>
      <c r="DU49" s="20">
        <v>26504</v>
      </c>
      <c r="DV49" s="20">
        <v>22775.33</v>
      </c>
      <c r="DW49" s="20">
        <v>22147.35</v>
      </c>
      <c r="DX49" s="20">
        <v>24687.83</v>
      </c>
      <c r="DY49" s="209"/>
      <c r="DZ49" s="209"/>
      <c r="EA49" s="150"/>
      <c r="FH49" s="150"/>
    </row>
    <row r="50" spans="1:164" s="4" customFormat="1" ht="15" customHeight="1" outlineLevel="1" x14ac:dyDescent="0.25">
      <c r="A50" s="292"/>
      <c r="B50" s="16" t="s">
        <v>52</v>
      </c>
      <c r="C50" s="7">
        <f t="shared" ref="C50:I50" si="40">IF(OR(C49="",C48=""),"",C48+C49)</f>
        <v>0</v>
      </c>
      <c r="D50" s="7">
        <f t="shared" si="40"/>
        <v>0</v>
      </c>
      <c r="E50" s="7">
        <f t="shared" si="40"/>
        <v>-48.583419353926594</v>
      </c>
      <c r="F50" s="7">
        <f t="shared" si="40"/>
        <v>4125.9071778961579</v>
      </c>
      <c r="G50" s="7">
        <f t="shared" si="40"/>
        <v>6806.3797850987785</v>
      </c>
      <c r="H50" s="7">
        <f t="shared" si="40"/>
        <v>7524.9044581782691</v>
      </c>
      <c r="I50" s="7">
        <f t="shared" si="40"/>
        <v>7658.4495072300715</v>
      </c>
      <c r="J50" s="7">
        <f>IF(OR(J49="",J48=""),"",J48+J49)</f>
        <v>7241.6490844376849</v>
      </c>
      <c r="M50" s="150"/>
      <c r="N50" s="150"/>
      <c r="O50" s="292"/>
      <c r="P50" s="16" t="s">
        <v>26</v>
      </c>
      <c r="Q50" s="20">
        <v>104313.87773241718</v>
      </c>
      <c r="R50" s="20">
        <v>98420.974410363575</v>
      </c>
      <c r="S50" s="20">
        <v>84560.155028366615</v>
      </c>
      <c r="T50" s="20">
        <v>79147.524446379844</v>
      </c>
      <c r="U50" s="20">
        <v>94049.927973792379</v>
      </c>
      <c r="V50" s="20">
        <v>109708.48677351972</v>
      </c>
      <c r="W50" s="20">
        <v>109463.73998502946</v>
      </c>
      <c r="X50" s="20">
        <v>109154.24836711264</v>
      </c>
      <c r="Y50" s="20">
        <v>93111.170115006884</v>
      </c>
      <c r="AB50" s="159"/>
      <c r="AC50" s="124"/>
      <c r="AD50" s="124"/>
      <c r="AE50" s="124"/>
      <c r="AF50" s="124"/>
      <c r="AG50" s="124"/>
      <c r="AH50" s="124"/>
      <c r="AI50" s="124"/>
      <c r="AJ50" s="124"/>
      <c r="BF50" s="150"/>
      <c r="BY50" s="150"/>
      <c r="BZ50" s="292"/>
      <c r="CA50" s="16" t="s">
        <v>13</v>
      </c>
      <c r="CB50" s="216">
        <v>-70203.704490376258</v>
      </c>
      <c r="CC50" s="216">
        <v>-110918.02150773036</v>
      </c>
      <c r="CD50" s="216">
        <v>-62370.276640203519</v>
      </c>
      <c r="CE50" s="216">
        <v>-110883.16032173509</v>
      </c>
      <c r="CF50" s="216">
        <v>-65035.886470164958</v>
      </c>
      <c r="CG50" s="216">
        <v>-49514.800112431563</v>
      </c>
      <c r="CH50" s="216">
        <v>-46355.214909730319</v>
      </c>
      <c r="CK50" s="292"/>
      <c r="CL50" s="16" t="s">
        <v>13</v>
      </c>
      <c r="CM50" s="216">
        <v>-68292.829641952645</v>
      </c>
      <c r="CN50" s="216">
        <v>-106545.6030327927</v>
      </c>
      <c r="CO50" s="216">
        <v>-55443.41814989777</v>
      </c>
      <c r="CP50" s="216">
        <v>-104720.06078458938</v>
      </c>
      <c r="CQ50" s="216">
        <v>-62796.468116475859</v>
      </c>
      <c r="CR50" s="216">
        <v>-48235.139439679464</v>
      </c>
      <c r="CS50" s="216">
        <v>-46182.739786123188</v>
      </c>
      <c r="CT50" s="217">
        <f>SUM(CM50:CS50)</f>
        <v>-492216.258951511</v>
      </c>
      <c r="CU50" s="217">
        <f>SUM(CB50:CH50)</f>
        <v>-515281.06445237203</v>
      </c>
      <c r="CV50" s="217">
        <f>CT50-CU50</f>
        <v>23064.805500861024</v>
      </c>
      <c r="CW50" s="150"/>
      <c r="CX50" s="292"/>
      <c r="CY50" s="16" t="s">
        <v>52</v>
      </c>
      <c r="CZ50" s="7">
        <v>134042.50639033067</v>
      </c>
      <c r="DA50" s="7">
        <v>143131.38100695563</v>
      </c>
      <c r="DB50" s="7">
        <v>290249.24799449282</v>
      </c>
      <c r="DC50" s="7">
        <v>508533.18988765683</v>
      </c>
      <c r="DD50" s="7">
        <v>455334.2944456446</v>
      </c>
      <c r="DE50" s="7">
        <v>465065.09422851133</v>
      </c>
      <c r="DF50" s="7">
        <v>517281.07989380945</v>
      </c>
      <c r="DG50" s="7">
        <v>605264.89760719228</v>
      </c>
      <c r="DH50" s="7">
        <v>599571.58532357099</v>
      </c>
      <c r="DI50" s="7">
        <v>611217.5623582392</v>
      </c>
      <c r="DJ50" s="7">
        <v>538417.93430156587</v>
      </c>
      <c r="DK50" s="7">
        <v>476443.50051891321</v>
      </c>
      <c r="DL50" s="7">
        <v>520033.51409043762</v>
      </c>
      <c r="DM50" s="7">
        <v>555050.63091646251</v>
      </c>
      <c r="DN50" s="7">
        <v>529921.28787101444</v>
      </c>
      <c r="DO50" s="7">
        <v>318852.16891815152</v>
      </c>
      <c r="DP50" s="7">
        <v>296815.02343587007</v>
      </c>
      <c r="DQ50" s="7">
        <v>307709.54328453151</v>
      </c>
      <c r="DR50" s="7">
        <v>345515.20147462486</v>
      </c>
      <c r="DS50" s="7">
        <v>386956.44672877848</v>
      </c>
      <c r="DT50" s="7">
        <v>384106.02583709528</v>
      </c>
      <c r="DU50" s="7">
        <v>367470.67570072628</v>
      </c>
      <c r="DV50" s="7">
        <v>315808.02252515417</v>
      </c>
      <c r="DW50" s="7">
        <v>306678.07242752792</v>
      </c>
      <c r="DX50" s="7">
        <v>339839.32427200791</v>
      </c>
      <c r="DY50" s="209"/>
      <c r="DZ50" s="209"/>
      <c r="EA50" s="150"/>
      <c r="FH50" s="150"/>
    </row>
    <row r="51" spans="1:164" s="4" customFormat="1" ht="15" outlineLevel="1" x14ac:dyDescent="0.25">
      <c r="A51" s="292"/>
      <c r="B51" s="16" t="s">
        <v>13</v>
      </c>
      <c r="C51" s="7">
        <f t="shared" ref="C51:I51" si="41">IF(OR(C48="",C47=""),"",C47-C48)</f>
        <v>0</v>
      </c>
      <c r="D51" s="7">
        <f t="shared" si="41"/>
        <v>0</v>
      </c>
      <c r="E51" s="7">
        <f t="shared" si="41"/>
        <v>226.62886871874906</v>
      </c>
      <c r="F51" s="7">
        <f t="shared" si="41"/>
        <v>-3464.7476698101395</v>
      </c>
      <c r="G51" s="7">
        <f t="shared" si="41"/>
        <v>-5928.3871279913037</v>
      </c>
      <c r="H51" s="7">
        <f t="shared" si="41"/>
        <v>-6557.4226109136362</v>
      </c>
      <c r="I51" s="7">
        <f t="shared" si="41"/>
        <v>-6277.2380765726703</v>
      </c>
      <c r="J51" s="7">
        <f>IF(OR(J48="",J47=""),"",J47-J48)</f>
        <v>-6146.4495966786726</v>
      </c>
      <c r="K51" s="103" t="s">
        <v>84</v>
      </c>
      <c r="L51" s="103" t="s">
        <v>87</v>
      </c>
      <c r="M51" s="150"/>
      <c r="N51" s="150"/>
      <c r="O51" s="292"/>
      <c r="P51" s="16" t="s">
        <v>51</v>
      </c>
      <c r="Q51" s="20">
        <v>40612.01</v>
      </c>
      <c r="R51" s="20">
        <v>38351.11</v>
      </c>
      <c r="S51" s="20">
        <v>32774.379999999997</v>
      </c>
      <c r="T51" s="20">
        <v>30569.17</v>
      </c>
      <c r="U51" s="20">
        <v>36225.06</v>
      </c>
      <c r="V51" s="20">
        <v>42295.91</v>
      </c>
      <c r="W51" s="20">
        <v>42141.33</v>
      </c>
      <c r="X51" s="20">
        <v>41942.74</v>
      </c>
      <c r="Y51" s="20">
        <v>35788.269999999997</v>
      </c>
      <c r="AB51" s="159"/>
      <c r="AC51" s="124"/>
      <c r="AD51" s="124"/>
      <c r="AE51" s="124"/>
      <c r="AF51" s="124"/>
      <c r="AG51" s="124"/>
      <c r="AH51" s="124"/>
      <c r="AI51" s="124"/>
      <c r="AJ51" s="124"/>
      <c r="BF51" s="150"/>
      <c r="BY51" s="150"/>
      <c r="BZ51" s="292"/>
      <c r="CA51" s="17" t="s">
        <v>8</v>
      </c>
      <c r="CB51" s="216">
        <v>-25.96</v>
      </c>
      <c r="CC51" s="216">
        <v>-70.53</v>
      </c>
      <c r="CD51" s="216">
        <v>-77.709999999999994</v>
      </c>
      <c r="CE51" s="216">
        <v>-110.94</v>
      </c>
      <c r="CF51" s="216">
        <v>-277.91000000000003</v>
      </c>
      <c r="CG51" s="216">
        <v>-254.26</v>
      </c>
      <c r="CH51" s="216">
        <v>-414.91</v>
      </c>
      <c r="CK51" s="292"/>
      <c r="CL51" s="17" t="s">
        <v>8</v>
      </c>
      <c r="CM51" s="216">
        <v>-25.71</v>
      </c>
      <c r="CN51" s="216">
        <v>-69.17</v>
      </c>
      <c r="CO51" s="216">
        <v>-75.13</v>
      </c>
      <c r="CP51" s="216">
        <v>-106.16</v>
      </c>
      <c r="CQ51" s="216">
        <v>-265.5</v>
      </c>
      <c r="CR51" s="216">
        <v>-242.8</v>
      </c>
      <c r="CS51" s="216">
        <v>-396.63</v>
      </c>
      <c r="CW51" s="150"/>
      <c r="CX51" s="292"/>
      <c r="CY51" s="16" t="s">
        <v>13</v>
      </c>
      <c r="CZ51" s="7">
        <v>37741.626400806097</v>
      </c>
      <c r="DA51" s="7">
        <v>140666.06930596294</v>
      </c>
      <c r="DB51" s="7">
        <v>-79767.380758116313</v>
      </c>
      <c r="DC51" s="7">
        <v>-275605.62432818773</v>
      </c>
      <c r="DD51" s="7">
        <v>-234223.01482360862</v>
      </c>
      <c r="DE51" s="7">
        <v>-150385.29456222046</v>
      </c>
      <c r="DF51" s="7">
        <v>198018.32376938389</v>
      </c>
      <c r="DG51" s="7">
        <v>348362.52700391319</v>
      </c>
      <c r="DH51" s="7">
        <v>339738.84756536933</v>
      </c>
      <c r="DI51" s="7">
        <v>48397.62005543604</v>
      </c>
      <c r="DJ51" s="7">
        <v>-184848.74615168752</v>
      </c>
      <c r="DK51" s="7">
        <v>-132715.84841127816</v>
      </c>
      <c r="DL51" s="7">
        <v>-101183.46738778771</v>
      </c>
      <c r="DM51" s="7">
        <v>72006.352066173451</v>
      </c>
      <c r="DN51" s="7">
        <v>-54633.169777225121</v>
      </c>
      <c r="DO51" s="7">
        <v>-29854.812319360673</v>
      </c>
      <c r="DP51" s="7">
        <v>-43569.759852407646</v>
      </c>
      <c r="DQ51" s="7">
        <v>30009.702663524076</v>
      </c>
      <c r="DR51" s="7">
        <v>571898.61314727855</v>
      </c>
      <c r="DS51" s="7">
        <v>758640.57298325235</v>
      </c>
      <c r="DT51" s="7">
        <v>604760.56297479803</v>
      </c>
      <c r="DU51" s="7">
        <v>304894.59223014308</v>
      </c>
      <c r="DV51" s="126">
        <v>83751.398420539015</v>
      </c>
      <c r="DW51" s="7">
        <v>60847.032209797122</v>
      </c>
      <c r="DX51" s="7">
        <v>128572.25539508247</v>
      </c>
      <c r="DY51" s="209"/>
      <c r="DZ51" s="209"/>
      <c r="EA51" s="150"/>
      <c r="FH51" s="150"/>
    </row>
    <row r="52" spans="1:164" s="4" customFormat="1" ht="15" outlineLevel="1" x14ac:dyDescent="0.25">
      <c r="A52" s="292"/>
      <c r="B52" s="17" t="s">
        <v>8</v>
      </c>
      <c r="C52" s="7">
        <f>ROUND((C51+0)*'MEEIA 3 calcs'!F9/12,2)</f>
        <v>0</v>
      </c>
      <c r="D52" s="7">
        <f>ROUND((D51+C54)*'MEEIA 3 calcs'!G9/12,2)</f>
        <v>0</v>
      </c>
      <c r="E52" s="7">
        <f>ROUND((E51+D54)*'MEEIA 3 calcs'!H9/12,2)</f>
        <v>0.51</v>
      </c>
      <c r="F52" s="7">
        <f>ROUND((F51+E54)*'MEEIA 3 calcs'!I9/12,2)</f>
        <v>-7.15</v>
      </c>
      <c r="G52" s="7">
        <f>ROUND((G51+F54)*'MEEIA 3 calcs'!J9/12,2)</f>
        <v>-19.84</v>
      </c>
      <c r="H52" s="7">
        <f>ROUND((H51+G54)*'MEEIA 3 calcs'!K9/12,2)</f>
        <v>-30.86</v>
      </c>
      <c r="I52" s="7">
        <f>ROUND((I51+H54)*'MEEIA 3 calcs'!L9/12,2)</f>
        <v>-40.75</v>
      </c>
      <c r="J52" s="7">
        <f>ROUND((J51+I54)*'MEEIA 3 calcs'!M9/12,2)</f>
        <v>-49.76</v>
      </c>
      <c r="K52" s="104">
        <f>SUM('MEEIA 3 calcs'!F72:M72)</f>
        <v>-163.53</v>
      </c>
      <c r="L52" s="112">
        <f>SUM(C52:J52)-K52</f>
        <v>15.680000000000007</v>
      </c>
      <c r="M52" s="150"/>
      <c r="N52" s="150"/>
      <c r="O52" s="292"/>
      <c r="P52" s="16" t="s">
        <v>52</v>
      </c>
      <c r="Q52" s="7">
        <v>144925.88773241718</v>
      </c>
      <c r="R52" s="7">
        <v>136772.08441036358</v>
      </c>
      <c r="S52" s="7">
        <v>117334.5350283666</v>
      </c>
      <c r="T52" s="7">
        <v>109716.69444637984</v>
      </c>
      <c r="U52" s="7">
        <v>130274.98797379238</v>
      </c>
      <c r="V52" s="7">
        <v>152004.39677351972</v>
      </c>
      <c r="W52" s="7">
        <v>151605.06998502946</v>
      </c>
      <c r="X52" s="7">
        <v>151096.98836711264</v>
      </c>
      <c r="Y52" s="7">
        <v>128899.44011500687</v>
      </c>
      <c r="AB52" s="159"/>
      <c r="AC52" s="124"/>
      <c r="AD52" s="124"/>
      <c r="AE52" s="124"/>
      <c r="AF52" s="124"/>
      <c r="AG52" s="124"/>
      <c r="AH52" s="124"/>
      <c r="AI52" s="124"/>
      <c r="AJ52" s="124"/>
      <c r="BF52" s="150"/>
      <c r="BY52" s="150"/>
      <c r="BZ52" s="292"/>
      <c r="CA52" s="16" t="s">
        <v>14</v>
      </c>
      <c r="CB52" s="216">
        <v>-70229.664490376264</v>
      </c>
      <c r="CC52" s="216">
        <v>-110988.55150773036</v>
      </c>
      <c r="CD52" s="216">
        <v>-62447.986640203519</v>
      </c>
      <c r="CE52" s="216">
        <v>-110994.1003217351</v>
      </c>
      <c r="CF52" s="216">
        <v>-65313.796470164962</v>
      </c>
      <c r="CG52" s="216">
        <v>-49769.060112431565</v>
      </c>
      <c r="CH52" s="216">
        <v>-46770.124909730323</v>
      </c>
      <c r="CK52" s="292"/>
      <c r="CL52" s="16" t="s">
        <v>14</v>
      </c>
      <c r="CM52" s="216">
        <v>-68318.539641952651</v>
      </c>
      <c r="CN52" s="216">
        <v>-106614.7730327927</v>
      </c>
      <c r="CO52" s="216">
        <v>-55518.548149897768</v>
      </c>
      <c r="CP52" s="216">
        <v>-104826.22078458939</v>
      </c>
      <c r="CQ52" s="216">
        <v>-63061.968116475859</v>
      </c>
      <c r="CR52" s="216">
        <v>-48477.939439679467</v>
      </c>
      <c r="CS52" s="216">
        <v>-46579.369786123185</v>
      </c>
      <c r="CW52" s="150"/>
      <c r="CX52" s="292"/>
      <c r="CY52" s="17" t="s">
        <v>8</v>
      </c>
      <c r="CZ52" s="7">
        <v>66.36</v>
      </c>
      <c r="DA52" s="7">
        <v>99.47</v>
      </c>
      <c r="DB52" s="7">
        <v>91.45</v>
      </c>
      <c r="DC52" s="7">
        <v>26.76</v>
      </c>
      <c r="DD52" s="7">
        <v>-23.55</v>
      </c>
      <c r="DE52" s="7">
        <v>-59.49</v>
      </c>
      <c r="DF52" s="7">
        <v>-28.14</v>
      </c>
      <c r="DG52" s="7">
        <v>14.61</v>
      </c>
      <c r="DH52" s="7">
        <v>70.2</v>
      </c>
      <c r="DI52" s="7">
        <v>64.97</v>
      </c>
      <c r="DJ52" s="7">
        <v>21.21</v>
      </c>
      <c r="DK52" s="7">
        <v>-0.83</v>
      </c>
      <c r="DL52" s="7">
        <v>-33.71</v>
      </c>
      <c r="DM52" s="7">
        <v>-26.22</v>
      </c>
      <c r="DN52" s="7">
        <v>-37.06</v>
      </c>
      <c r="DO52" s="7">
        <v>-90.13</v>
      </c>
      <c r="DP52" s="7">
        <v>-89.73</v>
      </c>
      <c r="DQ52" s="7">
        <v>-100.7</v>
      </c>
      <c r="DR52" s="7">
        <v>581.27</v>
      </c>
      <c r="DS52" s="7">
        <v>2153.65</v>
      </c>
      <c r="DT52" s="7">
        <v>4040.95</v>
      </c>
      <c r="DU52" s="7">
        <v>5272.86</v>
      </c>
      <c r="DV52" s="7">
        <v>6762.22</v>
      </c>
      <c r="DW52" s="7">
        <v>8672.91</v>
      </c>
      <c r="DX52" s="7">
        <v>9966.83</v>
      </c>
      <c r="DY52" s="209">
        <f>SUM('MEEIA 3 calcs'!AA52:AY52)</f>
        <v>37444.9</v>
      </c>
      <c r="DZ52" s="224">
        <f>SUM(CZ52:DX52)-DY52</f>
        <v>-28.739999999997963</v>
      </c>
      <c r="EA52" s="150"/>
      <c r="FH52" s="150"/>
    </row>
    <row r="53" spans="1:164" s="4" customFormat="1" ht="15" outlineLevel="1" x14ac:dyDescent="0.25">
      <c r="A53" s="292"/>
      <c r="B53" s="16" t="s">
        <v>14</v>
      </c>
      <c r="C53" s="7">
        <f t="shared" ref="C53:J53" si="42">IF(OR(C51="",C52=""),"",C51+C52)</f>
        <v>0</v>
      </c>
      <c r="D53" s="7">
        <f t="shared" si="42"/>
        <v>0</v>
      </c>
      <c r="E53" s="7">
        <f t="shared" si="42"/>
        <v>227.13886871874905</v>
      </c>
      <c r="F53" s="7">
        <f t="shared" si="42"/>
        <v>-3471.8976698101396</v>
      </c>
      <c r="G53" s="7">
        <f t="shared" si="42"/>
        <v>-5948.2271279913039</v>
      </c>
      <c r="H53" s="7">
        <f t="shared" si="42"/>
        <v>-6588.2826109136358</v>
      </c>
      <c r="I53" s="7">
        <f t="shared" si="42"/>
        <v>-6317.9880765726703</v>
      </c>
      <c r="J53" s="7">
        <f t="shared" si="42"/>
        <v>-6196.2095966786728</v>
      </c>
      <c r="M53" s="150"/>
      <c r="N53" s="150"/>
      <c r="O53" s="292"/>
      <c r="P53" s="16" t="s">
        <v>13</v>
      </c>
      <c r="Q53" s="7">
        <v>-22228.966360419829</v>
      </c>
      <c r="R53" s="7">
        <v>-13360.21052983425</v>
      </c>
      <c r="S53" s="7">
        <v>-69888.323471591139</v>
      </c>
      <c r="T53" s="7">
        <v>-26160.160200838378</v>
      </c>
      <c r="U53" s="7">
        <v>58774.378860579294</v>
      </c>
      <c r="V53" s="7">
        <v>113480.04298932067</v>
      </c>
      <c r="W53" s="7">
        <v>96985.525623500405</v>
      </c>
      <c r="X53" s="7">
        <v>78895.799886724097</v>
      </c>
      <c r="Y53" s="7">
        <v>13756.349884233845</v>
      </c>
      <c r="Z53" s="103" t="s">
        <v>84</v>
      </c>
      <c r="AA53" s="103" t="s">
        <v>87</v>
      </c>
      <c r="AB53" s="159"/>
      <c r="AC53" s="124"/>
      <c r="AD53" s="124"/>
      <c r="AE53" s="124"/>
      <c r="AF53" s="124"/>
      <c r="AG53" s="124"/>
      <c r="AH53" s="124"/>
      <c r="AI53" s="124"/>
      <c r="AJ53" s="124"/>
      <c r="AK53" s="135"/>
      <c r="BF53" s="150"/>
      <c r="BY53" s="150"/>
      <c r="BZ53" s="292"/>
      <c r="CA53" s="18" t="s">
        <v>18</v>
      </c>
      <c r="CB53" s="216">
        <v>-203337.21655740903</v>
      </c>
      <c r="CC53" s="216">
        <v>-325033.1280651394</v>
      </c>
      <c r="CD53" s="216">
        <v>-397821.40470534295</v>
      </c>
      <c r="CE53" s="216">
        <v>-450087.04502707807</v>
      </c>
      <c r="CF53" s="216">
        <v>-484790.47149724304</v>
      </c>
      <c r="CG53" s="216">
        <v>-508424.90160967462</v>
      </c>
      <c r="CH53" s="216">
        <v>-524679.61651940492</v>
      </c>
      <c r="CK53" s="292"/>
      <c r="CL53" s="18" t="s">
        <v>18</v>
      </c>
      <c r="CM53" s="216">
        <v>-201426.09170898545</v>
      </c>
      <c r="CN53" s="216">
        <v>-318748.22474177816</v>
      </c>
      <c r="CO53" s="216">
        <v>-384607.06289167592</v>
      </c>
      <c r="CP53" s="216">
        <v>-430704.82367626531</v>
      </c>
      <c r="CQ53" s="216">
        <v>-463156.42179274117</v>
      </c>
      <c r="CR53" s="216">
        <v>-485499.73123242066</v>
      </c>
      <c r="CS53" s="216">
        <v>-501563.69101854385</v>
      </c>
      <c r="CW53" s="150"/>
      <c r="CX53" s="292"/>
      <c r="CY53" s="16" t="s">
        <v>14</v>
      </c>
      <c r="CZ53" s="7">
        <v>37807.986400806098</v>
      </c>
      <c r="DA53" s="7">
        <v>140765.53930596294</v>
      </c>
      <c r="DB53" s="7">
        <v>-79675.930758116316</v>
      </c>
      <c r="DC53" s="7">
        <v>-275578.86432818772</v>
      </c>
      <c r="DD53" s="7">
        <v>-234246.56482360861</v>
      </c>
      <c r="DE53" s="7">
        <v>-150444.78456222045</v>
      </c>
      <c r="DF53" s="7">
        <v>197990.18376938388</v>
      </c>
      <c r="DG53" s="7">
        <v>348377.13700391317</v>
      </c>
      <c r="DH53" s="7">
        <v>339809.04756536934</v>
      </c>
      <c r="DI53" s="7">
        <v>48462.590055436041</v>
      </c>
      <c r="DJ53" s="7">
        <v>-184827.53615168753</v>
      </c>
      <c r="DK53" s="7">
        <v>-132716.67841127815</v>
      </c>
      <c r="DL53" s="7">
        <v>-101217.17738778771</v>
      </c>
      <c r="DM53" s="7">
        <v>71980.13206617345</v>
      </c>
      <c r="DN53" s="7">
        <v>-54670.229777225119</v>
      </c>
      <c r="DO53" s="7">
        <v>-29944.942319360674</v>
      </c>
      <c r="DP53" s="7">
        <v>-43659.489852407649</v>
      </c>
      <c r="DQ53" s="7">
        <v>29909.002663524076</v>
      </c>
      <c r="DR53" s="7">
        <v>572479.88314727857</v>
      </c>
      <c r="DS53" s="7">
        <v>760794.22298325237</v>
      </c>
      <c r="DT53" s="7">
        <v>608801.51297479798</v>
      </c>
      <c r="DU53" s="7">
        <v>310167.45223014307</v>
      </c>
      <c r="DV53" s="7">
        <v>90513.618420539016</v>
      </c>
      <c r="DW53" s="7">
        <v>69519.942209797126</v>
      </c>
      <c r="DX53" s="7">
        <v>138539.08539508245</v>
      </c>
      <c r="DY53" s="209"/>
      <c r="DZ53" s="209"/>
      <c r="EA53" s="150"/>
      <c r="FH53" s="150"/>
    </row>
    <row r="54" spans="1:164" s="4" customFormat="1" ht="15" outlineLevel="1" x14ac:dyDescent="0.25">
      <c r="A54" s="292"/>
      <c r="B54" s="18" t="s">
        <v>19</v>
      </c>
      <c r="C54" s="7">
        <f>IF(OR(C53=""),"",C53)</f>
        <v>0</v>
      </c>
      <c r="D54" s="7">
        <f t="shared" ref="D54:J54" si="43">IF(OR(D53="",C54=""),"",D53+C54)</f>
        <v>0</v>
      </c>
      <c r="E54" s="7">
        <f t="shared" si="43"/>
        <v>227.13886871874905</v>
      </c>
      <c r="F54" s="7">
        <f t="shared" si="43"/>
        <v>-3244.7588010913905</v>
      </c>
      <c r="G54" s="7">
        <f t="shared" si="43"/>
        <v>-9192.9859290826935</v>
      </c>
      <c r="H54" s="7">
        <f t="shared" si="43"/>
        <v>-15781.26853999633</v>
      </c>
      <c r="I54" s="7">
        <f t="shared" si="43"/>
        <v>-22099.256616569</v>
      </c>
      <c r="J54" s="7">
        <f t="shared" si="43"/>
        <v>-28295.466213247673</v>
      </c>
      <c r="M54" s="150"/>
      <c r="N54" s="150"/>
      <c r="O54" s="292"/>
      <c r="P54" s="17" t="s">
        <v>8</v>
      </c>
      <c r="Q54" s="7">
        <v>-419.27</v>
      </c>
      <c r="R54" s="7">
        <v>-400.36</v>
      </c>
      <c r="S54" s="7">
        <v>-228.28</v>
      </c>
      <c r="T54" s="7">
        <v>-30.95</v>
      </c>
      <c r="U54" s="7">
        <v>-20.18</v>
      </c>
      <c r="V54" s="7">
        <v>-5.97</v>
      </c>
      <c r="W54" s="7">
        <v>11.62</v>
      </c>
      <c r="X54" s="7">
        <v>23.03</v>
      </c>
      <c r="Y54" s="7">
        <v>45.42</v>
      </c>
      <c r="Z54" s="104">
        <v>-1201.2799999999997</v>
      </c>
      <c r="AA54" s="112">
        <v>176.33999999999946</v>
      </c>
      <c r="AB54" s="159"/>
      <c r="AC54" s="124"/>
      <c r="AD54" s="124"/>
      <c r="AE54" s="124"/>
      <c r="AF54" s="124"/>
      <c r="AG54" s="124"/>
      <c r="AH54" s="124"/>
      <c r="AI54" s="124"/>
      <c r="AJ54" s="124"/>
      <c r="AK54" s="136"/>
      <c r="BF54" s="150"/>
      <c r="BY54" s="150"/>
      <c r="BZ54" s="40"/>
      <c r="CA54" s="11"/>
      <c r="CB54" s="2"/>
      <c r="CC54" s="2"/>
      <c r="CD54" s="2"/>
      <c r="CE54" s="2"/>
      <c r="CF54" s="2"/>
      <c r="CG54" s="2"/>
      <c r="CH54" s="2"/>
      <c r="CK54" s="40"/>
      <c r="CL54" s="11"/>
      <c r="CM54" s="2"/>
      <c r="CN54" s="2"/>
      <c r="CO54" s="2"/>
      <c r="CP54" s="2"/>
      <c r="CQ54" s="2"/>
      <c r="CR54" s="2"/>
      <c r="CS54" s="2"/>
      <c r="CW54" s="150"/>
      <c r="CX54" s="292"/>
      <c r="CY54" s="18" t="s">
        <v>17</v>
      </c>
      <c r="CZ54" s="7">
        <v>398211.7526286483</v>
      </c>
      <c r="DA54" s="7">
        <v>579135.11193461122</v>
      </c>
      <c r="DB54" s="7">
        <v>472654.30117649492</v>
      </c>
      <c r="DC54" s="7">
        <v>150333.92684830719</v>
      </c>
      <c r="DD54" s="7">
        <v>-125537.43797530141</v>
      </c>
      <c r="DE54" s="7">
        <v>-318379.73253752186</v>
      </c>
      <c r="DF54" s="7">
        <v>-167504.47876813798</v>
      </c>
      <c r="DG54" s="7">
        <v>125690.2882357752</v>
      </c>
      <c r="DH54" s="7">
        <v>410810.24580114451</v>
      </c>
      <c r="DI54" s="7">
        <v>403532.98585658055</v>
      </c>
      <c r="DJ54" s="7">
        <v>169709.75970489302</v>
      </c>
      <c r="DK54" s="7">
        <v>-6540.2387063851347</v>
      </c>
      <c r="DL54" s="7">
        <v>-155337.60609417286</v>
      </c>
      <c r="DM54" s="7">
        <v>-134222.69402799942</v>
      </c>
      <c r="DN54" s="7">
        <v>-150349.14380522454</v>
      </c>
      <c r="DO54" s="7">
        <v>-157218.23612458521</v>
      </c>
      <c r="DP54" s="7">
        <v>-179433.59597699286</v>
      </c>
      <c r="DQ54" s="7">
        <v>-127345.18331346879</v>
      </c>
      <c r="DR54" s="7">
        <v>470023.71983380977</v>
      </c>
      <c r="DS54" s="7">
        <v>1258728.5428170622</v>
      </c>
      <c r="DT54" s="7">
        <v>1895242.3257918602</v>
      </c>
      <c r="DU54" s="7">
        <v>2231913.7780220034</v>
      </c>
      <c r="DV54" s="7">
        <v>2345202.7264425424</v>
      </c>
      <c r="DW54" s="7">
        <v>2436870.0186523395</v>
      </c>
      <c r="DX54" s="7">
        <v>2600096.9340474219</v>
      </c>
      <c r="DY54" s="209"/>
      <c r="DZ54" s="209"/>
      <c r="EA54" s="150"/>
      <c r="FH54" s="150"/>
    </row>
    <row r="55" spans="1:164" s="4" customFormat="1" ht="16.5" customHeight="1" outlineLevel="1" x14ac:dyDescent="0.25">
      <c r="A55" s="40"/>
      <c r="B55" s="11"/>
      <c r="C55" s="97"/>
      <c r="D55" s="12"/>
      <c r="E55" s="12"/>
      <c r="F55" s="12"/>
      <c r="G55" s="12"/>
      <c r="H55" s="12"/>
      <c r="I55" s="12"/>
      <c r="J55" s="12"/>
      <c r="M55" s="150"/>
      <c r="N55" s="150"/>
      <c r="O55" s="292"/>
      <c r="P55" s="16" t="s">
        <v>14</v>
      </c>
      <c r="Q55" s="7">
        <v>-22648.236360419829</v>
      </c>
      <c r="R55" s="7">
        <v>-13760.570529834251</v>
      </c>
      <c r="S55" s="7">
        <v>-70116.603471591137</v>
      </c>
      <c r="T55" s="7">
        <v>-26191.110200838379</v>
      </c>
      <c r="U55" s="7">
        <v>58754.198860579294</v>
      </c>
      <c r="V55" s="7">
        <v>113474.07298932067</v>
      </c>
      <c r="W55" s="7">
        <v>96997.145623500401</v>
      </c>
      <c r="X55" s="7">
        <v>78918.829886724096</v>
      </c>
      <c r="Y55" s="7">
        <v>13801.769884233845</v>
      </c>
      <c r="AB55" s="159"/>
      <c r="AC55" s="124"/>
      <c r="AD55" s="124"/>
      <c r="AE55" s="124"/>
      <c r="AF55" s="124"/>
      <c r="AG55" s="124"/>
      <c r="AH55" s="124"/>
      <c r="AI55" s="124"/>
      <c r="AJ55" s="124"/>
      <c r="BF55" s="150"/>
      <c r="BY55" s="150"/>
      <c r="BZ55" s="292" t="s">
        <v>24</v>
      </c>
      <c r="CA55" s="15"/>
      <c r="CB55" s="2"/>
      <c r="CC55" s="2"/>
      <c r="CD55" s="2"/>
      <c r="CE55" s="2"/>
      <c r="CF55" s="2"/>
      <c r="CG55" s="2"/>
      <c r="CH55" s="2"/>
      <c r="CK55" s="292" t="s">
        <v>24</v>
      </c>
      <c r="CL55" s="15"/>
      <c r="CM55" s="2"/>
      <c r="CN55" s="2"/>
      <c r="CO55" s="2"/>
      <c r="CP55" s="2"/>
      <c r="CQ55" s="2"/>
      <c r="CR55" s="2"/>
      <c r="CS55" s="2"/>
      <c r="CW55" s="150"/>
      <c r="CX55" s="40"/>
      <c r="CY55" s="11"/>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209"/>
      <c r="DZ55" s="209"/>
      <c r="EA55" s="150"/>
      <c r="FH55" s="150"/>
    </row>
    <row r="56" spans="1:164" ht="15" customHeight="1" x14ac:dyDescent="0.25">
      <c r="O56" s="292"/>
      <c r="P56" s="18" t="s">
        <v>17</v>
      </c>
      <c r="Q56" s="7">
        <v>-279378.1186167358</v>
      </c>
      <c r="R56" s="7">
        <v>-254787.57914657006</v>
      </c>
      <c r="S56" s="7">
        <v>-292129.80261816119</v>
      </c>
      <c r="T56" s="7">
        <v>-287751.74281899957</v>
      </c>
      <c r="U56" s="7">
        <v>-192772.48395842029</v>
      </c>
      <c r="V56" s="7">
        <v>-37002.500969099608</v>
      </c>
      <c r="W56" s="7">
        <v>102135.97465440081</v>
      </c>
      <c r="X56" s="7">
        <v>222997.54454112489</v>
      </c>
      <c r="Y56" s="7">
        <v>272587.58442535874</v>
      </c>
      <c r="Z56" s="4"/>
      <c r="AA56" s="4"/>
      <c r="AB56" s="159"/>
      <c r="AC56" s="124"/>
      <c r="AD56" s="124"/>
      <c r="AE56" s="124"/>
      <c r="AF56" s="124"/>
      <c r="AG56" s="124"/>
      <c r="AH56" s="124"/>
      <c r="AI56" s="124"/>
      <c r="AJ56" s="124"/>
      <c r="AK56" s="4"/>
      <c r="BZ56" s="292"/>
      <c r="CA56" s="15" t="s">
        <v>28</v>
      </c>
      <c r="CB56" s="216">
        <v>16125.741463642871</v>
      </c>
      <c r="CC56" s="216">
        <v>19063.36096942682</v>
      </c>
      <c r="CD56" s="216">
        <v>18825.407725594807</v>
      </c>
      <c r="CE56" s="216">
        <v>15042.280346882986</v>
      </c>
      <c r="CF56" s="216">
        <v>5372.5491881501548</v>
      </c>
      <c r="CG56" s="216">
        <v>5761.1753207721658</v>
      </c>
      <c r="CH56" s="216">
        <v>7701.1665386990999</v>
      </c>
      <c r="CK56" s="292"/>
      <c r="CL56" s="15" t="s">
        <v>28</v>
      </c>
      <c r="CM56" s="216">
        <v>16558.791766912029</v>
      </c>
      <c r="CN56" s="216">
        <v>19892.787315116471</v>
      </c>
      <c r="CO56" s="216">
        <v>20416.214708454521</v>
      </c>
      <c r="CP56" s="216">
        <v>16443.115349845692</v>
      </c>
      <c r="CQ56" s="216">
        <v>5902.3817319222526</v>
      </c>
      <c r="CR56" s="216">
        <v>6070.3877610296313</v>
      </c>
      <c r="CS56" s="216">
        <v>7738.3416483766814</v>
      </c>
      <c r="CX56" s="292" t="s">
        <v>23</v>
      </c>
      <c r="CY56" s="15"/>
      <c r="CZ56" s="7"/>
      <c r="DA56" s="7"/>
      <c r="DB56" s="7"/>
      <c r="DC56" s="7"/>
      <c r="DD56" s="7"/>
      <c r="DE56" s="7"/>
      <c r="DF56" s="7"/>
      <c r="DG56" s="7"/>
      <c r="DH56" s="7"/>
      <c r="DI56" s="7"/>
      <c r="DJ56" s="7"/>
      <c r="DK56" s="7"/>
      <c r="DL56" s="7"/>
      <c r="DM56" s="7"/>
      <c r="DN56" s="7"/>
      <c r="DO56" s="7"/>
      <c r="DP56" s="7"/>
      <c r="DQ56" s="7"/>
      <c r="DR56" s="7"/>
      <c r="DS56" s="7"/>
      <c r="DT56" s="7"/>
      <c r="DU56" s="7"/>
      <c r="DV56" s="126">
        <v>23064.805500861024</v>
      </c>
      <c r="DW56" s="7"/>
      <c r="DX56" s="7"/>
    </row>
    <row r="57" spans="1:164" ht="15" x14ac:dyDescent="0.25">
      <c r="O57" s="40"/>
      <c r="P57" s="11"/>
      <c r="Q57" s="12"/>
      <c r="R57" s="12"/>
      <c r="S57" s="12"/>
      <c r="T57" s="12"/>
      <c r="U57" s="12"/>
      <c r="V57" s="12"/>
      <c r="W57" s="12"/>
      <c r="X57" s="12"/>
      <c r="Y57" s="12"/>
      <c r="Z57" s="4"/>
      <c r="AA57" s="4"/>
      <c r="AB57" s="159"/>
      <c r="AC57" s="124"/>
      <c r="AD57" s="124"/>
      <c r="AE57" s="124"/>
      <c r="AF57" s="124"/>
      <c r="AG57" s="124"/>
      <c r="AH57" s="124"/>
      <c r="AI57" s="124"/>
      <c r="AJ57" s="124"/>
      <c r="AK57" s="4"/>
      <c r="BZ57" s="292"/>
      <c r="CA57" s="16" t="s">
        <v>26</v>
      </c>
      <c r="CB57" s="216">
        <v>31542.387518483061</v>
      </c>
      <c r="CC57" s="216">
        <v>43557.154949803051</v>
      </c>
      <c r="CD57" s="216">
        <v>40956.195027623748</v>
      </c>
      <c r="CE57" s="216">
        <v>34081.150442443461</v>
      </c>
      <c r="CF57" s="216">
        <v>5569.4805559214219</v>
      </c>
      <c r="CG57" s="216">
        <v>-23801.130148762259</v>
      </c>
      <c r="CH57" s="216">
        <v>4425.0020023903071</v>
      </c>
      <c r="CK57" s="292"/>
      <c r="CL57" s="16" t="s">
        <v>26</v>
      </c>
      <c r="CM57" s="216">
        <v>31311.065037548167</v>
      </c>
      <c r="CN57" s="216">
        <v>43129.542540372691</v>
      </c>
      <c r="CO57" s="216">
        <v>40068.371731193831</v>
      </c>
      <c r="CP57" s="216">
        <v>33269.832706991961</v>
      </c>
      <c r="CQ57" s="216">
        <v>5276.9215627583089</v>
      </c>
      <c r="CR57" s="216">
        <v>-23975.143784503343</v>
      </c>
      <c r="CS57" s="216">
        <v>4407.7244863500364</v>
      </c>
      <c r="CX57" s="292"/>
      <c r="CY57" s="15" t="s">
        <v>28</v>
      </c>
      <c r="CZ57" s="20">
        <v>51735.412802116007</v>
      </c>
      <c r="DA57" s="20">
        <v>90838.744276912417</v>
      </c>
      <c r="DB57" s="20">
        <v>65459.948883100595</v>
      </c>
      <c r="DC57" s="20">
        <v>71534.944524128558</v>
      </c>
      <c r="DD57" s="20">
        <v>71343.757771636898</v>
      </c>
      <c r="DE57" s="20">
        <v>103296.3103477702</v>
      </c>
      <c r="DF57" s="20">
        <v>256562.81120160531</v>
      </c>
      <c r="DG57" s="20">
        <v>319479.07850425603</v>
      </c>
      <c r="DH57" s="20">
        <v>309875.12991512951</v>
      </c>
      <c r="DI57" s="20">
        <v>200668.49634980995</v>
      </c>
      <c r="DJ57" s="20">
        <v>111417.50190042912</v>
      </c>
      <c r="DK57" s="20">
        <v>93253.892629017733</v>
      </c>
      <c r="DL57" s="20">
        <v>103488.5984224446</v>
      </c>
      <c r="DM57" s="20">
        <v>144414.82989089785</v>
      </c>
      <c r="DN57" s="20">
        <v>110066.63506595949</v>
      </c>
      <c r="DO57" s="20">
        <v>50328.1679847302</v>
      </c>
      <c r="DP57" s="20">
        <v>48818.637830727937</v>
      </c>
      <c r="DQ57" s="20">
        <v>69139.5977047872</v>
      </c>
      <c r="DR57" s="20">
        <v>204404.00741586328</v>
      </c>
      <c r="DS57" s="20">
        <v>281050.68735267245</v>
      </c>
      <c r="DT57" s="20">
        <v>243115.17544525067</v>
      </c>
      <c r="DU57" s="20">
        <v>160177.67633933009</v>
      </c>
      <c r="DV57" s="20">
        <v>71401.608823197399</v>
      </c>
      <c r="DW57" s="20">
        <v>68759.703767405808</v>
      </c>
      <c r="DX57" s="20">
        <v>79423.074388787179</v>
      </c>
    </row>
    <row r="58" spans="1:164" s="1" customFormat="1" ht="15" x14ac:dyDescent="0.25">
      <c r="B58"/>
      <c r="C58"/>
      <c r="D58"/>
      <c r="E58"/>
      <c r="F58"/>
      <c r="G58"/>
      <c r="H58"/>
      <c r="I58"/>
      <c r="J58"/>
      <c r="K58"/>
      <c r="L58"/>
      <c r="M58" s="149"/>
      <c r="N58" s="149"/>
      <c r="O58" s="292" t="s">
        <v>23</v>
      </c>
      <c r="P58" s="15"/>
      <c r="Q58" s="7"/>
      <c r="R58" s="7"/>
      <c r="S58" s="7"/>
      <c r="T58" s="7"/>
      <c r="U58" s="7"/>
      <c r="V58" s="7"/>
      <c r="W58" s="7"/>
      <c r="X58" s="7"/>
      <c r="Y58" s="7"/>
      <c r="Z58" s="4"/>
      <c r="AA58" s="4"/>
      <c r="AB58" s="159"/>
      <c r="AC58" s="124"/>
      <c r="AD58" s="124"/>
      <c r="AE58" s="124"/>
      <c r="AF58" s="124"/>
      <c r="AG58" s="124"/>
      <c r="AH58" s="124"/>
      <c r="AI58" s="124"/>
      <c r="AJ58" s="124"/>
      <c r="AK58" s="4"/>
      <c r="BF58" s="183"/>
      <c r="BY58" s="183"/>
      <c r="BZ58" s="292"/>
      <c r="CA58" s="16" t="s">
        <v>51</v>
      </c>
      <c r="CB58" s="216">
        <v>3698.89</v>
      </c>
      <c r="CC58" s="216">
        <v>5186.1400000000003</v>
      </c>
      <c r="CD58" s="216">
        <v>4832.3100000000004</v>
      </c>
      <c r="CE58" s="216">
        <v>75442.73</v>
      </c>
      <c r="CF58" s="216">
        <v>13631.28</v>
      </c>
      <c r="CG58" s="216">
        <v>-48097.27</v>
      </c>
      <c r="CH58" s="216">
        <v>10628.22</v>
      </c>
      <c r="CK58" s="292"/>
      <c r="CL58" s="16" t="s">
        <v>51</v>
      </c>
      <c r="CM58" s="216">
        <v>3698.89</v>
      </c>
      <c r="CN58" s="216">
        <v>5186.1400000000003</v>
      </c>
      <c r="CO58" s="216">
        <v>4832.3100000000004</v>
      </c>
      <c r="CP58" s="216">
        <v>75442.73</v>
      </c>
      <c r="CQ58" s="216">
        <v>13631.28</v>
      </c>
      <c r="CR58" s="216">
        <v>-48097.27</v>
      </c>
      <c r="CS58" s="216">
        <v>10628.22</v>
      </c>
      <c r="CW58" s="183"/>
      <c r="CX58" s="292"/>
      <c r="CY58" s="16" t="s">
        <v>26</v>
      </c>
      <c r="CZ58" s="20">
        <v>41188.257144152223</v>
      </c>
      <c r="DA58" s="20">
        <v>40226.995717895465</v>
      </c>
      <c r="DB58" s="20">
        <v>108585.49808616596</v>
      </c>
      <c r="DC58" s="20">
        <v>181792.64072508441</v>
      </c>
      <c r="DD58" s="20">
        <v>183572.05910467496</v>
      </c>
      <c r="DE58" s="20">
        <v>190770.53370651661</v>
      </c>
      <c r="DF58" s="20">
        <v>183881.99525765545</v>
      </c>
      <c r="DG58" s="20">
        <v>245635.92921565124</v>
      </c>
      <c r="DH58" s="20">
        <v>225402.14448890529</v>
      </c>
      <c r="DI58" s="20">
        <v>228315.5064563354</v>
      </c>
      <c r="DJ58" s="20">
        <v>197613.76683715408</v>
      </c>
      <c r="DK58" s="20">
        <v>171603.607119394</v>
      </c>
      <c r="DL58" s="20">
        <v>225113.97993017494</v>
      </c>
      <c r="DM58" s="20">
        <v>217125.39653110137</v>
      </c>
      <c r="DN58" s="20">
        <v>162221.33538769459</v>
      </c>
      <c r="DO58" s="20">
        <v>84753.684454895163</v>
      </c>
      <c r="DP58" s="20">
        <v>72198.807943159496</v>
      </c>
      <c r="DQ58" s="20">
        <v>84979.402614517516</v>
      </c>
      <c r="DR58" s="20">
        <v>96900.261492082005</v>
      </c>
      <c r="DS58" s="20">
        <v>100482.39287136923</v>
      </c>
      <c r="DT58" s="20">
        <v>99567.440007197365</v>
      </c>
      <c r="DU58" s="20">
        <v>97105.740111514999</v>
      </c>
      <c r="DV58" s="20">
        <v>86103.564631792964</v>
      </c>
      <c r="DW58" s="20">
        <v>86765.912910017505</v>
      </c>
      <c r="DX58" s="20">
        <v>89195.654381293964</v>
      </c>
      <c r="DY58" s="223"/>
      <c r="DZ58" s="223"/>
      <c r="EA58" s="183"/>
      <c r="FH58" s="183"/>
    </row>
    <row r="59" spans="1:164" ht="15" x14ac:dyDescent="0.25">
      <c r="C59" s="10">
        <v>43525</v>
      </c>
      <c r="D59" s="10">
        <v>43556</v>
      </c>
      <c r="E59" s="10">
        <v>43586</v>
      </c>
      <c r="F59" s="10">
        <v>43617</v>
      </c>
      <c r="G59" s="10">
        <v>43677</v>
      </c>
      <c r="H59" s="10">
        <v>43708</v>
      </c>
      <c r="I59" s="10">
        <v>43738</v>
      </c>
      <c r="J59" s="10">
        <v>43769</v>
      </c>
      <c r="O59" s="292"/>
      <c r="P59" s="15" t="s">
        <v>28</v>
      </c>
      <c r="Q59" s="20">
        <v>29425.974245256413</v>
      </c>
      <c r="R59" s="20">
        <v>32165.147795809222</v>
      </c>
      <c r="S59" s="20">
        <v>21213.003373036219</v>
      </c>
      <c r="T59" s="20">
        <v>41395.000804902586</v>
      </c>
      <c r="U59" s="20">
        <v>92952.761963081415</v>
      </c>
      <c r="V59" s="20">
        <v>123951.10916307675</v>
      </c>
      <c r="W59" s="20">
        <v>122809.27801030048</v>
      </c>
      <c r="X59" s="20">
        <v>96049.861338882605</v>
      </c>
      <c r="Y59" s="20">
        <v>51830.00376307463</v>
      </c>
      <c r="Z59" s="2"/>
      <c r="AA59" s="2"/>
      <c r="AB59" s="159"/>
      <c r="AC59" s="124"/>
      <c r="AD59" s="124"/>
      <c r="AE59" s="124"/>
      <c r="AF59" s="124"/>
      <c r="AG59" s="124"/>
      <c r="AH59" s="124"/>
      <c r="AI59" s="124"/>
      <c r="AJ59" s="124"/>
      <c r="AK59" s="2"/>
      <c r="BZ59" s="292"/>
      <c r="CA59" s="16" t="s">
        <v>52</v>
      </c>
      <c r="CB59" s="216">
        <v>35241.277518483061</v>
      </c>
      <c r="CC59" s="216">
        <v>48743.29494980305</v>
      </c>
      <c r="CD59" s="216">
        <v>45788.505027623745</v>
      </c>
      <c r="CE59" s="216">
        <v>109523.88044244345</v>
      </c>
      <c r="CF59" s="216">
        <v>19200.760555921421</v>
      </c>
      <c r="CG59" s="216">
        <v>-71898.400148762259</v>
      </c>
      <c r="CH59" s="216">
        <v>15053.222002390306</v>
      </c>
      <c r="CK59" s="292"/>
      <c r="CL59" s="16" t="s">
        <v>52</v>
      </c>
      <c r="CM59" s="216">
        <v>35009.95503754817</v>
      </c>
      <c r="CN59" s="216">
        <v>48315.682540372691</v>
      </c>
      <c r="CO59" s="216">
        <v>44900.681731193828</v>
      </c>
      <c r="CP59" s="216">
        <v>108712.56270699196</v>
      </c>
      <c r="CQ59" s="216">
        <v>18908.20156275831</v>
      </c>
      <c r="CR59" s="216">
        <v>-72072.41378450334</v>
      </c>
      <c r="CS59" s="216">
        <v>15035.944486350036</v>
      </c>
      <c r="CT59" s="4" t="s">
        <v>117</v>
      </c>
      <c r="CU59" s="4" t="s">
        <v>118</v>
      </c>
      <c r="CV59" s="4" t="s">
        <v>119</v>
      </c>
      <c r="CX59" s="292"/>
      <c r="CY59" s="16" t="s">
        <v>51</v>
      </c>
      <c r="CZ59" s="20">
        <v>19565.84</v>
      </c>
      <c r="DA59" s="20">
        <v>19211.02</v>
      </c>
      <c r="DB59" s="20">
        <v>-5225.53</v>
      </c>
      <c r="DC59" s="20">
        <v>-8688.59</v>
      </c>
      <c r="DD59" s="20">
        <v>-8718.77</v>
      </c>
      <c r="DE59" s="20">
        <v>-9032.2099999999991</v>
      </c>
      <c r="DF59" s="20">
        <v>-8700.5300000000007</v>
      </c>
      <c r="DG59" s="20">
        <v>-11631.74</v>
      </c>
      <c r="DH59" s="20">
        <v>-10679.45</v>
      </c>
      <c r="DI59" s="20">
        <v>-10815</v>
      </c>
      <c r="DJ59" s="20">
        <v>-9338.6</v>
      </c>
      <c r="DK59" s="20">
        <v>-8146.01</v>
      </c>
      <c r="DL59" s="20">
        <v>-10707.36</v>
      </c>
      <c r="DM59" s="20">
        <v>-10340.290000000001</v>
      </c>
      <c r="DN59" s="20">
        <v>58728.46</v>
      </c>
      <c r="DO59" s="20">
        <v>30610.37</v>
      </c>
      <c r="DP59" s="20">
        <v>26134.63</v>
      </c>
      <c r="DQ59" s="20">
        <v>30515.41</v>
      </c>
      <c r="DR59" s="20">
        <v>34741.599999999999</v>
      </c>
      <c r="DS59" s="20">
        <v>36119.75</v>
      </c>
      <c r="DT59" s="20">
        <v>35830</v>
      </c>
      <c r="DU59" s="20">
        <v>34903.65</v>
      </c>
      <c r="DV59" s="20">
        <v>30944.84</v>
      </c>
      <c r="DW59" s="20">
        <v>31250.06</v>
      </c>
      <c r="DX59" s="20">
        <v>32438.34</v>
      </c>
    </row>
    <row r="60" spans="1:164" ht="15" x14ac:dyDescent="0.25">
      <c r="B60" s="36" t="s">
        <v>38</v>
      </c>
      <c r="C60" s="29"/>
      <c r="D60" s="29"/>
      <c r="E60" s="29"/>
      <c r="F60" s="29"/>
      <c r="G60" s="29"/>
      <c r="H60" s="29"/>
      <c r="I60" s="29"/>
      <c r="J60" s="29"/>
      <c r="O60" s="292"/>
      <c r="P60" s="16" t="s">
        <v>26</v>
      </c>
      <c r="Q60" s="20">
        <v>43471.756585125317</v>
      </c>
      <c r="R60" s="20">
        <v>37573.855689531287</v>
      </c>
      <c r="S60" s="20">
        <v>36905.295455925545</v>
      </c>
      <c r="T60" s="20">
        <v>34871.894488322658</v>
      </c>
      <c r="U60" s="20">
        <v>40727.091457001268</v>
      </c>
      <c r="V60" s="20">
        <v>42825.077518324979</v>
      </c>
      <c r="W60" s="20">
        <v>44954.202556147626</v>
      </c>
      <c r="X60" s="20">
        <v>45054.75137109276</v>
      </c>
      <c r="Y60" s="20">
        <v>40035.738044047088</v>
      </c>
      <c r="Z60" s="4"/>
      <c r="AA60" s="4"/>
      <c r="AB60" s="159"/>
      <c r="AC60" s="124"/>
      <c r="AD60" s="124"/>
      <c r="AE60" s="124"/>
      <c r="AF60" s="124"/>
      <c r="AG60" s="124"/>
      <c r="AH60" s="124"/>
      <c r="AI60" s="124"/>
      <c r="AJ60" s="124"/>
      <c r="AK60" s="4"/>
      <c r="BZ60" s="292"/>
      <c r="CA60" s="16" t="s">
        <v>13</v>
      </c>
      <c r="CB60" s="216">
        <v>-19115.536054840188</v>
      </c>
      <c r="CC60" s="216">
        <v>-29679.93398037623</v>
      </c>
      <c r="CD60" s="216">
        <v>-26963.097302028938</v>
      </c>
      <c r="CE60" s="216">
        <v>-94481.600095560469</v>
      </c>
      <c r="CF60" s="216">
        <v>-13828.211367771266</v>
      </c>
      <c r="CG60" s="216">
        <v>77659.575469534422</v>
      </c>
      <c r="CH60" s="216">
        <v>-7352.0554636912066</v>
      </c>
      <c r="CK60" s="292"/>
      <c r="CL60" s="16" t="s">
        <v>13</v>
      </c>
      <c r="CM60" s="216">
        <v>-18451.163270636142</v>
      </c>
      <c r="CN60" s="216">
        <v>-28422.895225256219</v>
      </c>
      <c r="CO60" s="216">
        <v>-24484.467022739307</v>
      </c>
      <c r="CP60" s="216">
        <v>-92269.447357146273</v>
      </c>
      <c r="CQ60" s="216">
        <v>-13005.819830836057</v>
      </c>
      <c r="CR60" s="216">
        <v>78142.801545532973</v>
      </c>
      <c r="CS60" s="216">
        <v>-7297.6028379733543</v>
      </c>
      <c r="CT60" s="217">
        <f>SUM(CM60:CS60)</f>
        <v>-105788.59399905437</v>
      </c>
      <c r="CU60" s="217">
        <f>SUM(CB60:CH60)</f>
        <v>-113760.85879473387</v>
      </c>
      <c r="CV60" s="217">
        <f>CT60-CU60</f>
        <v>7972.2647956794972</v>
      </c>
      <c r="CX60" s="292"/>
      <c r="CY60" s="16" t="s">
        <v>52</v>
      </c>
      <c r="CZ60" s="7">
        <v>60754.097144152227</v>
      </c>
      <c r="DA60" s="7">
        <v>59438.015717895469</v>
      </c>
      <c r="DB60" s="7">
        <v>103359.96808616596</v>
      </c>
      <c r="DC60" s="7">
        <v>173104.05072508441</v>
      </c>
      <c r="DD60" s="7">
        <v>174853.28910467497</v>
      </c>
      <c r="DE60" s="7">
        <v>181738.32370651662</v>
      </c>
      <c r="DF60" s="7">
        <v>175181.46525765545</v>
      </c>
      <c r="DG60" s="7">
        <v>234004.18921565125</v>
      </c>
      <c r="DH60" s="7">
        <v>214722.69448890528</v>
      </c>
      <c r="DI60" s="7">
        <v>217500.5064563354</v>
      </c>
      <c r="DJ60" s="7">
        <v>188275.16683715407</v>
      </c>
      <c r="DK60" s="7">
        <v>163457.59711939399</v>
      </c>
      <c r="DL60" s="7">
        <v>214406.61993017496</v>
      </c>
      <c r="DM60" s="7">
        <v>206785.10653110137</v>
      </c>
      <c r="DN60" s="7">
        <v>220949.79538769458</v>
      </c>
      <c r="DO60" s="7">
        <v>115364.05445489516</v>
      </c>
      <c r="DP60" s="7">
        <v>98333.437943159501</v>
      </c>
      <c r="DQ60" s="7">
        <v>115494.81261451752</v>
      </c>
      <c r="DR60" s="7">
        <v>131641.86149208201</v>
      </c>
      <c r="DS60" s="7">
        <v>136602.14287136923</v>
      </c>
      <c r="DT60" s="7">
        <v>135397.44000719738</v>
      </c>
      <c r="DU60" s="7">
        <v>132009.39011151501</v>
      </c>
      <c r="DV60" s="7">
        <v>117048.40463179296</v>
      </c>
      <c r="DW60" s="7">
        <v>118015.9729100175</v>
      </c>
      <c r="DX60" s="7">
        <v>121633.99438129396</v>
      </c>
    </row>
    <row r="61" spans="1:164" ht="15" x14ac:dyDescent="0.25">
      <c r="B61" t="s">
        <v>33</v>
      </c>
      <c r="C61" s="41">
        <v>0</v>
      </c>
      <c r="D61" s="41">
        <v>3542.7066619947968</v>
      </c>
      <c r="E61" s="41">
        <v>30136.455518898227</v>
      </c>
      <c r="F61" s="41">
        <v>273500.38459568418</v>
      </c>
      <c r="G61" s="41">
        <v>714630.19454973028</v>
      </c>
      <c r="H61" s="41">
        <v>1252115.2720556506</v>
      </c>
      <c r="I61" s="41">
        <v>1625934.6179925092</v>
      </c>
      <c r="J61" s="41">
        <v>1762960.5580065004</v>
      </c>
      <c r="O61" s="292"/>
      <c r="P61" s="16" t="s">
        <v>51</v>
      </c>
      <c r="Q61" s="20">
        <v>20708.53</v>
      </c>
      <c r="R61" s="20">
        <v>17927.830000000002</v>
      </c>
      <c r="S61" s="20">
        <v>17511.97</v>
      </c>
      <c r="T61" s="20">
        <v>16485.95</v>
      </c>
      <c r="U61" s="20">
        <v>19200.04</v>
      </c>
      <c r="V61" s="20">
        <v>20208.66</v>
      </c>
      <c r="W61" s="20">
        <v>21182.03</v>
      </c>
      <c r="X61" s="20">
        <v>21187.42</v>
      </c>
      <c r="Y61" s="20">
        <v>18832.849999999999</v>
      </c>
      <c r="Z61" s="4"/>
      <c r="AA61" s="4"/>
      <c r="AB61" s="159"/>
      <c r="AC61" s="124"/>
      <c r="AD61" s="124"/>
      <c r="AE61" s="124"/>
      <c r="AF61" s="124"/>
      <c r="AG61" s="124"/>
      <c r="AH61" s="124"/>
      <c r="AI61" s="124"/>
      <c r="AJ61" s="124"/>
      <c r="AK61" s="4"/>
      <c r="BZ61" s="292"/>
      <c r="CA61" s="17" t="s">
        <v>8</v>
      </c>
      <c r="CB61" s="216">
        <v>-16.3</v>
      </c>
      <c r="CC61" s="216">
        <v>-33.03</v>
      </c>
      <c r="CD61" s="216">
        <v>-34.06</v>
      </c>
      <c r="CE61" s="216">
        <v>-47.68</v>
      </c>
      <c r="CF61" s="216">
        <v>-111.07</v>
      </c>
      <c r="CG61" s="216">
        <v>-82.15</v>
      </c>
      <c r="CH61" s="216">
        <v>-127.42</v>
      </c>
      <c r="CK61" s="292"/>
      <c r="CL61" s="17" t="s">
        <v>8</v>
      </c>
      <c r="CM61" s="216">
        <v>-16.21</v>
      </c>
      <c r="CN61" s="216">
        <v>-32.61</v>
      </c>
      <c r="CO61" s="216">
        <v>-33.200000000000003</v>
      </c>
      <c r="CP61" s="216">
        <v>-46.05</v>
      </c>
      <c r="CQ61" s="216">
        <v>-106.81</v>
      </c>
      <c r="CR61" s="216">
        <v>-78.19</v>
      </c>
      <c r="CS61" s="216">
        <v>-121.1</v>
      </c>
      <c r="CX61" s="292"/>
      <c r="CY61" s="16" t="s">
        <v>13</v>
      </c>
      <c r="CZ61" s="7">
        <v>-9018.6843420362202</v>
      </c>
      <c r="DA61" s="7">
        <v>31400.728559016949</v>
      </c>
      <c r="DB61" s="7">
        <v>-37900.019203065363</v>
      </c>
      <c r="DC61" s="7">
        <v>-101569.10620095585</v>
      </c>
      <c r="DD61" s="7">
        <v>-103509.53133303807</v>
      </c>
      <c r="DE61" s="7">
        <v>-78442.013358746422</v>
      </c>
      <c r="DF61" s="7">
        <v>81381.345943949855</v>
      </c>
      <c r="DG61" s="7">
        <v>85474.889288604783</v>
      </c>
      <c r="DH61" s="7">
        <v>95152.435426224227</v>
      </c>
      <c r="DI61" s="7">
        <v>-16832.010106525442</v>
      </c>
      <c r="DJ61" s="7">
        <v>-76857.664936724948</v>
      </c>
      <c r="DK61" s="7">
        <v>-70203.704490376258</v>
      </c>
      <c r="DL61" s="7">
        <v>-110918.02150773036</v>
      </c>
      <c r="DM61" s="7">
        <v>-62370.276640203519</v>
      </c>
      <c r="DN61" s="7">
        <v>-110883.16032173509</v>
      </c>
      <c r="DO61" s="7">
        <v>-65035.886470164958</v>
      </c>
      <c r="DP61" s="7">
        <v>-49514.800112431563</v>
      </c>
      <c r="DQ61" s="7">
        <v>-46355.214909730319</v>
      </c>
      <c r="DR61" s="7">
        <v>72762.145923781267</v>
      </c>
      <c r="DS61" s="7">
        <v>144448.54448130322</v>
      </c>
      <c r="DT61" s="7">
        <v>107717.73543805329</v>
      </c>
      <c r="DU61" s="7">
        <v>28168.286227815086</v>
      </c>
      <c r="DV61" s="126">
        <v>-22581.990307734537</v>
      </c>
      <c r="DW61" s="7">
        <v>-49256.269142611694</v>
      </c>
      <c r="DX61" s="7">
        <v>-42210.919992506781</v>
      </c>
    </row>
    <row r="62" spans="1:164" ht="15" x14ac:dyDescent="0.25">
      <c r="B62" t="s">
        <v>34</v>
      </c>
      <c r="C62" s="41">
        <v>0.34412602678174997</v>
      </c>
      <c r="D62" s="41">
        <v>594.19753610000055</v>
      </c>
      <c r="E62" s="41">
        <v>8962.7201321071716</v>
      </c>
      <c r="F62" s="41">
        <v>32604.534313513876</v>
      </c>
      <c r="G62" s="41">
        <v>80268.39554484954</v>
      </c>
      <c r="H62" s="41">
        <v>133550.07117798761</v>
      </c>
      <c r="I62" s="41">
        <v>205226.49945065699</v>
      </c>
      <c r="J62" s="41">
        <v>266976.49556192581</v>
      </c>
      <c r="O62" s="292"/>
      <c r="P62" s="16" t="s">
        <v>52</v>
      </c>
      <c r="Q62" s="7">
        <v>64180.286585125315</v>
      </c>
      <c r="R62" s="7">
        <v>55501.685689531289</v>
      </c>
      <c r="S62" s="7">
        <v>54417.265455925546</v>
      </c>
      <c r="T62" s="7">
        <v>51357.844488322662</v>
      </c>
      <c r="U62" s="7">
        <v>59927.131457001269</v>
      </c>
      <c r="V62" s="7">
        <v>63033.737518324982</v>
      </c>
      <c r="W62" s="7">
        <v>66136.232556147617</v>
      </c>
      <c r="X62" s="7">
        <v>66242.171371092758</v>
      </c>
      <c r="Y62" s="7">
        <v>58868.588044047086</v>
      </c>
      <c r="Z62" s="4"/>
      <c r="AA62" s="4"/>
      <c r="AB62" s="159"/>
      <c r="AC62" s="124"/>
      <c r="AD62" s="124"/>
      <c r="AE62" s="124"/>
      <c r="AF62" s="124"/>
      <c r="AG62" s="124"/>
      <c r="AH62" s="124"/>
      <c r="AI62" s="124"/>
      <c r="AJ62" s="124"/>
      <c r="AK62" s="4"/>
      <c r="BZ62" s="292"/>
      <c r="CA62" s="16" t="s">
        <v>14</v>
      </c>
      <c r="CB62" s="216">
        <v>-19131.836054840187</v>
      </c>
      <c r="CC62" s="216">
        <v>-29712.963980376229</v>
      </c>
      <c r="CD62" s="216">
        <v>-26997.15730202894</v>
      </c>
      <c r="CE62" s="216">
        <v>-94529.280095560462</v>
      </c>
      <c r="CF62" s="216">
        <v>-13939.281367771266</v>
      </c>
      <c r="CG62" s="216">
        <v>77577.425469534428</v>
      </c>
      <c r="CH62" s="216">
        <v>-7479.4754636912066</v>
      </c>
      <c r="CK62" s="292"/>
      <c r="CL62" s="16" t="s">
        <v>14</v>
      </c>
      <c r="CM62" s="216">
        <v>-18467.373270636141</v>
      </c>
      <c r="CN62" s="216">
        <v>-28455.50522525622</v>
      </c>
      <c r="CO62" s="216">
        <v>-24517.667022739308</v>
      </c>
      <c r="CP62" s="216">
        <v>-92315.497357146276</v>
      </c>
      <c r="CQ62" s="216">
        <v>-13112.629830836056</v>
      </c>
      <c r="CR62" s="216">
        <v>78064.611545532971</v>
      </c>
      <c r="CS62" s="216">
        <v>-7418.7028379733547</v>
      </c>
      <c r="CX62" s="292"/>
      <c r="CY62" s="17" t="s">
        <v>8</v>
      </c>
      <c r="CZ62" s="7">
        <v>10.08</v>
      </c>
      <c r="DA62" s="7">
        <v>19.079999999999998</v>
      </c>
      <c r="DB62" s="7">
        <v>13.15</v>
      </c>
      <c r="DC62" s="7">
        <v>-7.53</v>
      </c>
      <c r="DD62" s="7">
        <v>-28.99</v>
      </c>
      <c r="DE62" s="7">
        <v>-45.23</v>
      </c>
      <c r="DF62" s="7">
        <v>-28.46</v>
      </c>
      <c r="DG62" s="7">
        <v>-11.11</v>
      </c>
      <c r="DH62" s="7">
        <v>-1.9</v>
      </c>
      <c r="DI62" s="7">
        <v>-6.24</v>
      </c>
      <c r="DJ62" s="7">
        <v>-15.62</v>
      </c>
      <c r="DK62" s="7">
        <v>-25.96</v>
      </c>
      <c r="DL62" s="7">
        <v>-70.540000000000006</v>
      </c>
      <c r="DM62" s="7">
        <v>-77.709999999999994</v>
      </c>
      <c r="DN62" s="7">
        <v>-110.94</v>
      </c>
      <c r="DO62" s="7">
        <v>-277.91000000000003</v>
      </c>
      <c r="DP62" s="7">
        <v>-254.26</v>
      </c>
      <c r="DQ62" s="7">
        <v>-414.92</v>
      </c>
      <c r="DR62" s="7">
        <v>-516.55999999999995</v>
      </c>
      <c r="DS62" s="7">
        <v>-406.42</v>
      </c>
      <c r="DT62" s="7">
        <v>-200.82</v>
      </c>
      <c r="DU62" s="7">
        <v>-73.69</v>
      </c>
      <c r="DV62" s="7">
        <v>-66.010000000000005</v>
      </c>
      <c r="DW62" s="7">
        <v>-146.08000000000001</v>
      </c>
      <c r="DX62" s="7">
        <v>-195.55</v>
      </c>
      <c r="DY62" s="209">
        <f>SUM('MEEIA 3 calcs'!AA62:AY62)</f>
        <v>-2935.78</v>
      </c>
      <c r="DZ62" s="224">
        <f>SUM(CZ62:DX62)-DY62</f>
        <v>-4.3600000000001273</v>
      </c>
    </row>
    <row r="63" spans="1:164" ht="15" x14ac:dyDescent="0.25">
      <c r="B63" t="s">
        <v>35</v>
      </c>
      <c r="C63" s="41">
        <v>0.38250960519337501</v>
      </c>
      <c r="D63" s="41">
        <v>592.84700439506275</v>
      </c>
      <c r="E63" s="41">
        <v>3788.6582603776305</v>
      </c>
      <c r="F63" s="41">
        <v>18535.810544392894</v>
      </c>
      <c r="G63" s="41">
        <v>43757.113824202133</v>
      </c>
      <c r="H63" s="41">
        <v>58774.468786924044</v>
      </c>
      <c r="I63" s="41">
        <v>83102.627859122615</v>
      </c>
      <c r="J63" s="41">
        <v>59438.654651636796</v>
      </c>
      <c r="O63" s="292"/>
      <c r="P63" s="16" t="s">
        <v>13</v>
      </c>
      <c r="Q63" s="7">
        <v>-34754.312339868906</v>
      </c>
      <c r="R63" s="7">
        <v>-23336.537893722067</v>
      </c>
      <c r="S63" s="7">
        <v>-33204.262082889327</v>
      </c>
      <c r="T63" s="7">
        <v>-9962.8436834200766</v>
      </c>
      <c r="U63" s="7">
        <v>33025.630506080146</v>
      </c>
      <c r="V63" s="7">
        <v>60917.371644751765</v>
      </c>
      <c r="W63" s="7">
        <v>56673.04545415286</v>
      </c>
      <c r="X63" s="7">
        <v>29807.689967789847</v>
      </c>
      <c r="Y63" s="7">
        <v>-7038.5842809724563</v>
      </c>
      <c r="Z63" s="103" t="s">
        <v>84</v>
      </c>
      <c r="AA63" s="103" t="s">
        <v>87</v>
      </c>
      <c r="AB63" s="159"/>
      <c r="AC63" s="124"/>
      <c r="AD63" s="124"/>
      <c r="AE63" s="124"/>
      <c r="AF63" s="124"/>
      <c r="AG63" s="124"/>
      <c r="AH63" s="124"/>
      <c r="AI63" s="124"/>
      <c r="AJ63" s="124"/>
      <c r="AK63" s="135"/>
      <c r="BZ63" s="292"/>
      <c r="CA63" s="18" t="s">
        <v>19</v>
      </c>
      <c r="CB63" s="216">
        <v>-127671.70965678364</v>
      </c>
      <c r="CC63" s="216">
        <v>-152198.53363715988</v>
      </c>
      <c r="CD63" s="216">
        <v>-174363.38093918882</v>
      </c>
      <c r="CE63" s="216">
        <v>-193449.93103474929</v>
      </c>
      <c r="CF63" s="216">
        <v>-193757.93240252056</v>
      </c>
      <c r="CG63" s="216">
        <v>-164277.77693298613</v>
      </c>
      <c r="CH63" s="216">
        <v>-161129.03239667733</v>
      </c>
      <c r="CK63" s="292"/>
      <c r="CL63" s="18" t="s">
        <v>19</v>
      </c>
      <c r="CM63" s="216">
        <v>-127007.24687257959</v>
      </c>
      <c r="CN63" s="216">
        <v>-150276.61209783581</v>
      </c>
      <c r="CO63" s="216">
        <v>-169961.96912057512</v>
      </c>
      <c r="CP63" s="216">
        <v>-186834.7364777214</v>
      </c>
      <c r="CQ63" s="216">
        <v>-186316.08630855745</v>
      </c>
      <c r="CR63" s="216">
        <v>-156348.74476302447</v>
      </c>
      <c r="CS63" s="216">
        <v>-153139.22760099784</v>
      </c>
      <c r="CX63" s="292"/>
      <c r="CY63" s="16" t="s">
        <v>14</v>
      </c>
      <c r="CZ63" s="7">
        <v>-9008.6043420362203</v>
      </c>
      <c r="DA63" s="7">
        <v>31419.80855901695</v>
      </c>
      <c r="DB63" s="7">
        <v>-37886.869203065362</v>
      </c>
      <c r="DC63" s="7">
        <v>-101576.63620095585</v>
      </c>
      <c r="DD63" s="7">
        <v>-103538.52133303808</v>
      </c>
      <c r="DE63" s="7">
        <v>-78487.243358746418</v>
      </c>
      <c r="DF63" s="7">
        <v>81352.885943949848</v>
      </c>
      <c r="DG63" s="7">
        <v>85463.779288604783</v>
      </c>
      <c r="DH63" s="7">
        <v>95150.535426224233</v>
      </c>
      <c r="DI63" s="7">
        <v>-16838.250106525444</v>
      </c>
      <c r="DJ63" s="7">
        <v>-76873.284936724944</v>
      </c>
      <c r="DK63" s="7">
        <v>-70229.664490376264</v>
      </c>
      <c r="DL63" s="7">
        <v>-110988.56150773035</v>
      </c>
      <c r="DM63" s="7">
        <v>-62447.986640203519</v>
      </c>
      <c r="DN63" s="7">
        <v>-110994.1003217351</v>
      </c>
      <c r="DO63" s="7">
        <v>-65313.796470164962</v>
      </c>
      <c r="DP63" s="7">
        <v>-49769.060112431565</v>
      </c>
      <c r="DQ63" s="7">
        <v>-46770.134909730317</v>
      </c>
      <c r="DR63" s="7">
        <v>72245.585923781269</v>
      </c>
      <c r="DS63" s="7">
        <v>144042.12448130321</v>
      </c>
      <c r="DT63" s="7">
        <v>107516.91543805329</v>
      </c>
      <c r="DU63" s="7">
        <v>28094.596227815087</v>
      </c>
      <c r="DV63" s="7">
        <v>-22648.000307734535</v>
      </c>
      <c r="DW63" s="7">
        <v>-49402.349142611696</v>
      </c>
      <c r="DX63" s="7">
        <v>-42406.469992506783</v>
      </c>
    </row>
    <row r="64" spans="1:164" ht="15" x14ac:dyDescent="0.25">
      <c r="B64" t="s">
        <v>36</v>
      </c>
      <c r="C64" s="41">
        <v>0</v>
      </c>
      <c r="D64" s="41">
        <v>10.498979963866001</v>
      </c>
      <c r="E64" s="41">
        <v>1076.2976856366847</v>
      </c>
      <c r="F64" s="41">
        <v>8208.8465748072213</v>
      </c>
      <c r="G64" s="41">
        <v>17844.087336984448</v>
      </c>
      <c r="H64" s="41">
        <v>19693.510444666666</v>
      </c>
      <c r="I64" s="41">
        <v>21979.473223835281</v>
      </c>
      <c r="J64" s="41">
        <v>14165.40710660777</v>
      </c>
      <c r="O64" s="292"/>
      <c r="P64" s="17" t="s">
        <v>8</v>
      </c>
      <c r="Q64" s="7">
        <v>-328.55</v>
      </c>
      <c r="R64" s="7">
        <v>-353.07</v>
      </c>
      <c r="S64" s="7">
        <v>-187.99</v>
      </c>
      <c r="T64" s="7">
        <v>-25.17</v>
      </c>
      <c r="U64" s="7">
        <v>-19.04</v>
      </c>
      <c r="V64" s="7">
        <v>-16.260000000000002</v>
      </c>
      <c r="W64" s="7">
        <v>-2.61</v>
      </c>
      <c r="X64" s="7">
        <v>2.9</v>
      </c>
      <c r="Y64" s="7">
        <v>6.65</v>
      </c>
      <c r="Z64" s="104">
        <v>-1011.1099999999999</v>
      </c>
      <c r="AA64" s="112">
        <v>87.969999999999914</v>
      </c>
      <c r="AB64" s="159"/>
      <c r="AC64" s="124"/>
      <c r="AD64" s="124"/>
      <c r="AE64" s="124"/>
      <c r="AF64" s="124"/>
      <c r="AG64" s="124"/>
      <c r="AH64" s="124"/>
      <c r="AI64" s="124"/>
      <c r="AJ64" s="124"/>
      <c r="AK64" s="136"/>
      <c r="CX64" s="292"/>
      <c r="CY64" s="18" t="s">
        <v>18</v>
      </c>
      <c r="CZ64" s="7">
        <v>60467.393854227506</v>
      </c>
      <c r="DA64" s="7">
        <v>111098.22241324445</v>
      </c>
      <c r="DB64" s="7">
        <v>67985.823210179093</v>
      </c>
      <c r="DC64" s="7">
        <v>-42279.402990776754</v>
      </c>
      <c r="DD64" s="7">
        <v>-154536.69432381482</v>
      </c>
      <c r="DE64" s="7">
        <v>-242056.14768256125</v>
      </c>
      <c r="DF64" s="7">
        <v>-169403.79173861141</v>
      </c>
      <c r="DG64" s="7">
        <v>-95571.752450006636</v>
      </c>
      <c r="DH64" s="7">
        <v>-11100.6670237824</v>
      </c>
      <c r="DI64" s="7">
        <v>-38753.917130307847</v>
      </c>
      <c r="DJ64" s="7">
        <v>-124965.8020670328</v>
      </c>
      <c r="DK64" s="7">
        <v>-203341.47655740904</v>
      </c>
      <c r="DL64" s="7">
        <v>-325037.39806513942</v>
      </c>
      <c r="DM64" s="7">
        <v>-397825.67470534297</v>
      </c>
      <c r="DN64" s="7">
        <v>-450091.31502707809</v>
      </c>
      <c r="DO64" s="7">
        <v>-484794.74149724306</v>
      </c>
      <c r="DP64" s="7">
        <v>-508429.17160967464</v>
      </c>
      <c r="DQ64" s="7">
        <v>-524683.89651940495</v>
      </c>
      <c r="DR64" s="7">
        <v>-417696.71059562371</v>
      </c>
      <c r="DS64" s="7">
        <v>-237534.8361143205</v>
      </c>
      <c r="DT64" s="7">
        <v>-94187.920676267211</v>
      </c>
      <c r="DU64" s="7">
        <v>-31189.674448452119</v>
      </c>
      <c r="DV64" s="7">
        <v>-22892.834756186654</v>
      </c>
      <c r="DW64" s="7">
        <v>-41045.123898798352</v>
      </c>
      <c r="DX64" s="7">
        <v>-51013.253891305139</v>
      </c>
    </row>
    <row r="65" spans="2:130" ht="15" x14ac:dyDescent="0.25">
      <c r="B65" t="s">
        <v>37</v>
      </c>
      <c r="C65" s="41">
        <v>0</v>
      </c>
      <c r="D65" s="41">
        <v>0</v>
      </c>
      <c r="E65" s="41">
        <v>178.04544936482247</v>
      </c>
      <c r="F65" s="41">
        <v>661.15950808601849</v>
      </c>
      <c r="G65" s="41">
        <v>877.99265710747466</v>
      </c>
      <c r="H65" s="41">
        <v>909.22642550037904</v>
      </c>
      <c r="I65" s="41">
        <v>1261.0041997151543</v>
      </c>
      <c r="J65" s="41">
        <v>997.60306748635742</v>
      </c>
      <c r="O65" s="292"/>
      <c r="P65" s="16" t="s">
        <v>14</v>
      </c>
      <c r="Q65" s="7">
        <v>-35082.862339868909</v>
      </c>
      <c r="R65" s="7">
        <v>-23689.607893722066</v>
      </c>
      <c r="S65" s="7">
        <v>-33392.252082889325</v>
      </c>
      <c r="T65" s="7">
        <v>-9988.0136834200766</v>
      </c>
      <c r="U65" s="7">
        <v>33006.590506080145</v>
      </c>
      <c r="V65" s="7">
        <v>60901.111644751763</v>
      </c>
      <c r="W65" s="7">
        <v>56670.435454152859</v>
      </c>
      <c r="X65" s="7">
        <v>29810.589967789849</v>
      </c>
      <c r="Y65" s="7">
        <v>-7031.9342809724567</v>
      </c>
      <c r="Z65" s="4"/>
      <c r="AA65" s="4"/>
      <c r="AB65" s="159"/>
      <c r="AC65" s="124"/>
      <c r="AD65" s="124"/>
      <c r="AE65" s="124"/>
      <c r="AF65" s="124"/>
      <c r="AG65" s="124"/>
      <c r="AH65" s="124"/>
      <c r="AI65" s="124"/>
      <c r="AJ65" s="124"/>
      <c r="AK65" s="4"/>
      <c r="CX65" s="40"/>
      <c r="CY65" s="11"/>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row>
    <row r="66" spans="2:130" ht="15" customHeight="1" x14ac:dyDescent="0.25">
      <c r="B66" t="s">
        <v>29</v>
      </c>
      <c r="C66" s="41">
        <v>0</v>
      </c>
      <c r="D66" s="41">
        <v>0</v>
      </c>
      <c r="E66" s="41">
        <v>0</v>
      </c>
      <c r="F66" s="41">
        <v>0</v>
      </c>
      <c r="G66" s="41">
        <v>0</v>
      </c>
      <c r="H66" s="41">
        <v>1171.3068451326408</v>
      </c>
      <c r="I66" s="41">
        <v>3700.907022561827</v>
      </c>
      <c r="J66" s="41">
        <v>5539.3571582453487</v>
      </c>
      <c r="O66" s="292"/>
      <c r="P66" s="18" t="s">
        <v>18</v>
      </c>
      <c r="Q66" s="7">
        <v>-218928.41939694106</v>
      </c>
      <c r="R66" s="7">
        <v>-224690.19729066311</v>
      </c>
      <c r="S66" s="7">
        <v>-240570.47937355243</v>
      </c>
      <c r="T66" s="7">
        <v>-234072.5430569725</v>
      </c>
      <c r="U66" s="7">
        <v>-181865.91255089236</v>
      </c>
      <c r="V66" s="7">
        <v>-100756.1409061406</v>
      </c>
      <c r="W66" s="7">
        <v>-22903.675451987743</v>
      </c>
      <c r="X66" s="7">
        <v>28094.334515802104</v>
      </c>
      <c r="Y66" s="7">
        <v>39895.250234829648</v>
      </c>
      <c r="Z66" s="4"/>
      <c r="AA66" s="4"/>
      <c r="AB66" s="159"/>
      <c r="AC66" s="124"/>
      <c r="AD66" s="124"/>
      <c r="AE66" s="124"/>
      <c r="AF66" s="124"/>
      <c r="AG66" s="124"/>
      <c r="AH66" s="124"/>
      <c r="AI66" s="124"/>
      <c r="AJ66" s="124"/>
      <c r="AK66" s="4"/>
      <c r="CX66" s="292" t="s">
        <v>24</v>
      </c>
      <c r="CY66" s="15"/>
      <c r="CZ66" s="7"/>
      <c r="DA66" s="7"/>
      <c r="DB66" s="7"/>
      <c r="DC66" s="7"/>
      <c r="DD66" s="7"/>
      <c r="DE66" s="7"/>
      <c r="DF66" s="7"/>
      <c r="DG66" s="7"/>
      <c r="DH66" s="7"/>
      <c r="DI66" s="7"/>
      <c r="DJ66" s="7"/>
      <c r="DK66" s="7"/>
      <c r="DL66" s="7"/>
      <c r="DM66" s="7"/>
      <c r="DN66" s="7"/>
      <c r="DO66" s="7"/>
      <c r="DP66" s="7"/>
      <c r="DQ66" s="7"/>
      <c r="DR66" s="7"/>
      <c r="DS66" s="7"/>
      <c r="DT66" s="7"/>
      <c r="DU66" s="7"/>
      <c r="DV66" s="126">
        <v>7972.2647956794972</v>
      </c>
      <c r="DW66" s="7"/>
      <c r="DX66" s="7"/>
    </row>
    <row r="67" spans="2:130" ht="15" x14ac:dyDescent="0.25">
      <c r="B67" s="33" t="s">
        <v>31</v>
      </c>
      <c r="C67" s="44">
        <f>SUM(C61:C66)</f>
        <v>0.72663563197512504</v>
      </c>
      <c r="D67" s="44">
        <f t="shared" ref="D67:J67" si="44">SUM(D61:D66)</f>
        <v>4740.2501824537267</v>
      </c>
      <c r="E67" s="44">
        <f t="shared" si="44"/>
        <v>44142.177046384539</v>
      </c>
      <c r="F67" s="44">
        <f t="shared" si="44"/>
        <v>333510.73553648428</v>
      </c>
      <c r="G67" s="44">
        <f t="shared" si="44"/>
        <v>857377.78391287383</v>
      </c>
      <c r="H67" s="44">
        <f t="shared" si="44"/>
        <v>1466213.8557358622</v>
      </c>
      <c r="I67" s="44">
        <f t="shared" si="44"/>
        <v>1941205.129748401</v>
      </c>
      <c r="J67" s="44">
        <f t="shared" si="44"/>
        <v>2110078.0755524025</v>
      </c>
      <c r="O67" s="40"/>
      <c r="P67" s="11"/>
      <c r="Q67" s="12"/>
      <c r="R67" s="12"/>
      <c r="S67" s="12"/>
      <c r="T67" s="12"/>
      <c r="U67" s="12"/>
      <c r="V67" s="12"/>
      <c r="W67" s="12"/>
      <c r="X67" s="12"/>
      <c r="Y67" s="12"/>
      <c r="Z67" s="4"/>
      <c r="AA67" s="4"/>
      <c r="AB67" s="159"/>
      <c r="AC67" s="124"/>
      <c r="AD67" s="124"/>
      <c r="AE67" s="124"/>
      <c r="AF67" s="124"/>
      <c r="AG67" s="124"/>
      <c r="AH67" s="124"/>
      <c r="AI67" s="124"/>
      <c r="AJ67" s="124"/>
      <c r="AK67" s="4"/>
      <c r="BZ67" s="27"/>
      <c r="CA67" s="27" t="s">
        <v>32</v>
      </c>
      <c r="CK67" s="27"/>
      <c r="CL67" s="27" t="s">
        <v>32</v>
      </c>
      <c r="CX67" s="292"/>
      <c r="CY67" s="15" t="s">
        <v>28</v>
      </c>
      <c r="CZ67" s="20">
        <v>12471.245557264963</v>
      </c>
      <c r="DA67" s="20">
        <v>12960.956487818141</v>
      </c>
      <c r="DB67" s="20">
        <v>11180.008563256184</v>
      </c>
      <c r="DC67" s="20">
        <v>10723.724250200386</v>
      </c>
      <c r="DD67" s="20">
        <v>12186.584798764601</v>
      </c>
      <c r="DE67" s="20">
        <v>21281.154475581399</v>
      </c>
      <c r="DF67" s="20">
        <v>66612.208134140514</v>
      </c>
      <c r="DG67" s="20">
        <v>73408.187300820806</v>
      </c>
      <c r="DH67" s="20">
        <v>73181.995355948209</v>
      </c>
      <c r="DI67" s="20">
        <v>44682.245754003154</v>
      </c>
      <c r="DJ67" s="20">
        <v>19447.902145822471</v>
      </c>
      <c r="DK67" s="20">
        <v>16125.741463642871</v>
      </c>
      <c r="DL67" s="20">
        <v>19063.36096942682</v>
      </c>
      <c r="DM67" s="20">
        <v>18825.407725594807</v>
      </c>
      <c r="DN67" s="20">
        <v>15042.280346882986</v>
      </c>
      <c r="DO67" s="20">
        <v>5372.5491881501548</v>
      </c>
      <c r="DP67" s="20">
        <v>5761.1753207721658</v>
      </c>
      <c r="DQ67" s="20">
        <v>7701.1665386990999</v>
      </c>
      <c r="DR67" s="20">
        <v>20816.695916117322</v>
      </c>
      <c r="DS67" s="20">
        <v>29321.450972661642</v>
      </c>
      <c r="DT67" s="20">
        <v>29057.042020850196</v>
      </c>
      <c r="DU67" s="20">
        <v>22639.119300577775</v>
      </c>
      <c r="DV67" s="20">
        <v>10522.674846079888</v>
      </c>
      <c r="DW67" s="20">
        <v>8402.9395721317924</v>
      </c>
      <c r="DX67" s="20">
        <v>10147.866510048789</v>
      </c>
    </row>
    <row r="68" spans="2:130" ht="15" x14ac:dyDescent="0.25">
      <c r="C68" s="45"/>
      <c r="D68" s="45"/>
      <c r="E68" s="45"/>
      <c r="F68" s="45"/>
      <c r="G68" s="45"/>
      <c r="H68" s="45"/>
      <c r="I68" s="45"/>
      <c r="J68" s="45"/>
      <c r="O68" s="292" t="s">
        <v>24</v>
      </c>
      <c r="P68" s="15"/>
      <c r="Q68" s="7"/>
      <c r="R68" s="7"/>
      <c r="S68" s="7"/>
      <c r="T68" s="7"/>
      <c r="U68" s="7"/>
      <c r="V68" s="7"/>
      <c r="W68" s="7"/>
      <c r="X68" s="7"/>
      <c r="Y68" s="7"/>
      <c r="Z68" s="4"/>
      <c r="AA68" s="4"/>
      <c r="AB68" s="159"/>
      <c r="AC68" s="124"/>
      <c r="AD68" s="124"/>
      <c r="AE68" s="124"/>
      <c r="AF68" s="124"/>
      <c r="AG68" s="124"/>
      <c r="AH68" s="124"/>
      <c r="AI68" s="124"/>
      <c r="AJ68" s="124"/>
      <c r="AK68" s="4"/>
      <c r="CA68" t="s">
        <v>33</v>
      </c>
      <c r="CB68" s="43">
        <v>849229853</v>
      </c>
      <c r="CC68" s="43">
        <v>1063566547</v>
      </c>
      <c r="CD68" s="43">
        <v>1372451320</v>
      </c>
      <c r="CE68" s="43">
        <v>1445914846</v>
      </c>
      <c r="CF68" s="43">
        <v>1156058653</v>
      </c>
      <c r="CG68" s="43">
        <v>900363528</v>
      </c>
      <c r="CH68" s="43">
        <v>837159184</v>
      </c>
      <c r="CL68" t="s">
        <v>33</v>
      </c>
      <c r="CM68" s="43">
        <v>616534565.60039997</v>
      </c>
      <c r="CN68" s="43">
        <v>621003419.78059995</v>
      </c>
      <c r="CO68" s="43">
        <v>656971283.38569999</v>
      </c>
      <c r="CP68" s="43">
        <v>646272651.48329997</v>
      </c>
      <c r="CQ68" s="43">
        <v>615981334.59430003</v>
      </c>
      <c r="CR68" s="43">
        <v>577077250.67460001</v>
      </c>
      <c r="CS68" s="43">
        <v>787949883.91209996</v>
      </c>
      <c r="CX68" s="292"/>
      <c r="CY68" s="16" t="s">
        <v>26</v>
      </c>
      <c r="CZ68" s="20">
        <v>22338.840952659717</v>
      </c>
      <c r="DA68" s="20">
        <v>20382.980401475455</v>
      </c>
      <c r="DB68" s="20">
        <v>32953.904164207008</v>
      </c>
      <c r="DC68" s="20">
        <v>23500.247497740351</v>
      </c>
      <c r="DD68" s="20">
        <v>40293.609086971141</v>
      </c>
      <c r="DE68" s="20">
        <v>41000.534789952151</v>
      </c>
      <c r="DF68" s="20">
        <v>39665.300517775315</v>
      </c>
      <c r="DG68" s="20">
        <v>50592.172457307752</v>
      </c>
      <c r="DH68" s="20">
        <v>48111.888839753803</v>
      </c>
      <c r="DI68" s="20">
        <v>52046.073170238742</v>
      </c>
      <c r="DJ68" s="20">
        <v>47917.124744080225</v>
      </c>
      <c r="DK68" s="20">
        <v>31542.387518483061</v>
      </c>
      <c r="DL68" s="20">
        <v>43557.154949803051</v>
      </c>
      <c r="DM68" s="20">
        <v>40956.195027623748</v>
      </c>
      <c r="DN68" s="20">
        <v>34081.150442443461</v>
      </c>
      <c r="DO68" s="20">
        <v>5569.4805559214219</v>
      </c>
      <c r="DP68" s="20">
        <v>-23801.130148762259</v>
      </c>
      <c r="DQ68" s="20">
        <v>4425.0020023903071</v>
      </c>
      <c r="DR68" s="20">
        <v>5427.3573983012948</v>
      </c>
      <c r="DS68" s="20">
        <v>6149.5954103370386</v>
      </c>
      <c r="DT68" s="20">
        <v>6063.694935624073</v>
      </c>
      <c r="DU68" s="20">
        <v>6340.9099918320171</v>
      </c>
      <c r="DV68" s="20">
        <v>5452.5804092461303</v>
      </c>
      <c r="DW68" s="20">
        <v>5374.9963437301585</v>
      </c>
      <c r="DX68" s="20">
        <v>4968.6713975309985</v>
      </c>
    </row>
    <row r="69" spans="2:130" ht="15" x14ac:dyDescent="0.25">
      <c r="B69" s="36" t="s">
        <v>39</v>
      </c>
      <c r="C69" s="45"/>
      <c r="D69" s="45"/>
      <c r="E69" s="45"/>
      <c r="F69" s="45"/>
      <c r="G69" s="45"/>
      <c r="H69" s="45"/>
      <c r="I69" s="45"/>
      <c r="J69" s="45"/>
      <c r="O69" s="292"/>
      <c r="P69" s="15" t="s">
        <v>28</v>
      </c>
      <c r="Q69" s="20">
        <v>4714.4220035550234</v>
      </c>
      <c r="R69" s="20">
        <v>4933.2233077077817</v>
      </c>
      <c r="S69" s="20">
        <v>4340.5509347173938</v>
      </c>
      <c r="T69" s="20">
        <v>11799.946486826884</v>
      </c>
      <c r="U69" s="20">
        <v>38257.943252341713</v>
      </c>
      <c r="V69" s="20">
        <v>40690.592006909494</v>
      </c>
      <c r="W69" s="20">
        <v>41885.585703975645</v>
      </c>
      <c r="X69" s="20">
        <v>26780.761635291285</v>
      </c>
      <c r="Y69" s="20">
        <v>10597.262650374174</v>
      </c>
      <c r="Z69" s="2"/>
      <c r="AA69" s="2"/>
      <c r="AB69" s="159"/>
      <c r="AC69" s="124"/>
      <c r="AD69" s="124"/>
      <c r="AE69" s="124"/>
      <c r="AF69" s="124"/>
      <c r="AG69" s="124"/>
      <c r="AH69" s="124"/>
      <c r="AI69" s="124"/>
      <c r="AJ69" s="124"/>
      <c r="AK69" s="2"/>
      <c r="CA69" t="s">
        <v>34</v>
      </c>
      <c r="CB69" s="43">
        <v>219607166</v>
      </c>
      <c r="CC69" s="43">
        <v>250466096</v>
      </c>
      <c r="CD69" s="43">
        <v>295383726</v>
      </c>
      <c r="CE69" s="43">
        <v>301077290</v>
      </c>
      <c r="CF69" s="43">
        <v>261058604</v>
      </c>
      <c r="CG69" s="43">
        <v>230949228</v>
      </c>
      <c r="CH69" s="43">
        <v>223998788</v>
      </c>
      <c r="CL69" t="s">
        <v>34</v>
      </c>
      <c r="CM69" s="43">
        <v>219607159</v>
      </c>
      <c r="CN69" s="43">
        <v>250528302</v>
      </c>
      <c r="CO69" s="43">
        <v>295412831</v>
      </c>
      <c r="CP69" s="43">
        <v>301068791</v>
      </c>
      <c r="CQ69" s="43">
        <v>261058604</v>
      </c>
      <c r="CR69" s="43">
        <v>230949228</v>
      </c>
      <c r="CS69" s="43">
        <v>223998788</v>
      </c>
      <c r="CX69" s="292"/>
      <c r="CY69" s="16" t="s">
        <v>51</v>
      </c>
      <c r="CZ69" s="20">
        <v>2985.57</v>
      </c>
      <c r="DA69" s="20">
        <v>2730.44</v>
      </c>
      <c r="DB69" s="20">
        <v>3897.15</v>
      </c>
      <c r="DC69" s="20">
        <v>2784.02</v>
      </c>
      <c r="DD69" s="20">
        <v>4719.3</v>
      </c>
      <c r="DE69" s="20">
        <v>4794.6000000000004</v>
      </c>
      <c r="DF69" s="20">
        <v>4627.3500000000004</v>
      </c>
      <c r="DG69" s="20">
        <v>5905.37</v>
      </c>
      <c r="DH69" s="20">
        <v>5621.67</v>
      </c>
      <c r="DI69" s="20">
        <v>6078.73</v>
      </c>
      <c r="DJ69" s="20">
        <v>5571.58</v>
      </c>
      <c r="DK69" s="20">
        <v>3698.89</v>
      </c>
      <c r="DL69" s="20">
        <v>5186.1400000000003</v>
      </c>
      <c r="DM69" s="20">
        <v>4832.3100000000004</v>
      </c>
      <c r="DN69" s="20">
        <v>75442.73</v>
      </c>
      <c r="DO69" s="20">
        <v>13631.28</v>
      </c>
      <c r="DP69" s="20">
        <v>-48097.27</v>
      </c>
      <c r="DQ69" s="20">
        <v>10628.22</v>
      </c>
      <c r="DR69" s="20">
        <v>12955.95</v>
      </c>
      <c r="DS69" s="20">
        <v>14863.58</v>
      </c>
      <c r="DT69" s="20">
        <v>14696.75</v>
      </c>
      <c r="DU69" s="20">
        <v>15321.62</v>
      </c>
      <c r="DV69" s="20">
        <v>13162.71</v>
      </c>
      <c r="DW69" s="20">
        <v>13147.52</v>
      </c>
      <c r="DX69" s="20">
        <v>12907.03</v>
      </c>
    </row>
    <row r="70" spans="2:130" ht="15" x14ac:dyDescent="0.25">
      <c r="B70" s="38" t="s">
        <v>33</v>
      </c>
      <c r="C70" s="45">
        <v>0</v>
      </c>
      <c r="D70" s="45">
        <v>3542.7066619947968</v>
      </c>
      <c r="E70" s="45">
        <v>26593.748856903429</v>
      </c>
      <c r="F70" s="45">
        <v>243363.92907678595</v>
      </c>
      <c r="G70" s="45">
        <v>441129.8099540461</v>
      </c>
      <c r="H70" s="45">
        <v>537485.07750592032</v>
      </c>
      <c r="I70" s="45">
        <v>373819.34593685856</v>
      </c>
      <c r="J70" s="45">
        <v>137025.9400139912</v>
      </c>
      <c r="O70" s="292"/>
      <c r="P70" s="16" t="s">
        <v>26</v>
      </c>
      <c r="Q70" s="20">
        <v>10792.766596240668</v>
      </c>
      <c r="R70" s="20">
        <v>19312.38401960209</v>
      </c>
      <c r="S70" s="20">
        <v>21254.31297935671</v>
      </c>
      <c r="T70" s="20">
        <v>21637.663415217026</v>
      </c>
      <c r="U70" s="20">
        <v>16834.533975023267</v>
      </c>
      <c r="V70" s="20">
        <v>24355.538593432568</v>
      </c>
      <c r="W70" s="20">
        <v>25113.656296491379</v>
      </c>
      <c r="X70" s="20">
        <v>25507.793919774442</v>
      </c>
      <c r="Y70" s="20">
        <v>22463.576853042847</v>
      </c>
      <c r="Z70" s="4"/>
      <c r="AA70" s="4"/>
      <c r="AB70" s="159"/>
      <c r="AC70" s="124"/>
      <c r="AD70" s="124"/>
      <c r="AE70" s="124"/>
      <c r="AF70" s="124"/>
      <c r="AG70" s="124"/>
      <c r="AH70" s="124"/>
      <c r="AI70" s="124"/>
      <c r="AJ70" s="124"/>
      <c r="AK70" s="4"/>
      <c r="CA70" t="s">
        <v>35</v>
      </c>
      <c r="CB70" s="43">
        <v>505304455</v>
      </c>
      <c r="CC70" s="43">
        <v>555282313.60000002</v>
      </c>
      <c r="CD70" s="43">
        <v>590675076</v>
      </c>
      <c r="CE70" s="43">
        <v>582248455</v>
      </c>
      <c r="CF70" s="43">
        <v>534070902</v>
      </c>
      <c r="CG70" s="43">
        <v>506459043</v>
      </c>
      <c r="CH70" s="43">
        <v>516003997</v>
      </c>
      <c r="CL70" t="s">
        <v>35</v>
      </c>
      <c r="CM70" s="43">
        <v>505304455</v>
      </c>
      <c r="CN70" s="43">
        <v>552284069</v>
      </c>
      <c r="CO70" s="43">
        <v>590858313</v>
      </c>
      <c r="CP70" s="43">
        <v>582248455</v>
      </c>
      <c r="CQ70" s="43">
        <v>534070902</v>
      </c>
      <c r="CR70" s="43">
        <v>506459043</v>
      </c>
      <c r="CS70" s="43">
        <v>516003997</v>
      </c>
      <c r="CX70" s="292"/>
      <c r="CY70" s="16" t="s">
        <v>52</v>
      </c>
      <c r="CZ70" s="7">
        <v>25324.410952659717</v>
      </c>
      <c r="DA70" s="7">
        <v>23113.420401475454</v>
      </c>
      <c r="DB70" s="7">
        <v>36851.054164207009</v>
      </c>
      <c r="DC70" s="7">
        <v>26284.267497740351</v>
      </c>
      <c r="DD70" s="7">
        <v>45012.909086971144</v>
      </c>
      <c r="DE70" s="7">
        <v>45795.13478995215</v>
      </c>
      <c r="DF70" s="7">
        <v>44292.650517775313</v>
      </c>
      <c r="DG70" s="7">
        <v>56497.542457307754</v>
      </c>
      <c r="DH70" s="7">
        <v>53733.558839753801</v>
      </c>
      <c r="DI70" s="7">
        <v>58124.803170238738</v>
      </c>
      <c r="DJ70" s="7">
        <v>53488.704744080227</v>
      </c>
      <c r="DK70" s="7">
        <v>35241.277518483061</v>
      </c>
      <c r="DL70" s="7">
        <v>48743.29494980305</v>
      </c>
      <c r="DM70" s="7">
        <v>45788.505027623745</v>
      </c>
      <c r="DN70" s="7">
        <v>109523.88044244345</v>
      </c>
      <c r="DO70" s="7">
        <v>19200.760555921421</v>
      </c>
      <c r="DP70" s="7">
        <v>-71898.400148762259</v>
      </c>
      <c r="DQ70" s="7">
        <v>15053.222002390306</v>
      </c>
      <c r="DR70" s="7">
        <v>18383.307398301295</v>
      </c>
      <c r="DS70" s="7">
        <v>21013.17541033704</v>
      </c>
      <c r="DT70" s="7">
        <v>20760.444935624073</v>
      </c>
      <c r="DU70" s="7">
        <v>21662.529991832016</v>
      </c>
      <c r="DV70" s="7">
        <v>18615.290409246129</v>
      </c>
      <c r="DW70" s="7">
        <v>18522.51634373016</v>
      </c>
      <c r="DX70" s="7">
        <v>17875.701397531</v>
      </c>
    </row>
    <row r="71" spans="2:130" ht="15" x14ac:dyDescent="0.25">
      <c r="B71" s="38" t="s">
        <v>34</v>
      </c>
      <c r="C71" s="45">
        <v>0.34412602678174997</v>
      </c>
      <c r="D71" s="45">
        <v>593.85341007321881</v>
      </c>
      <c r="E71" s="45">
        <v>8368.5225960071712</v>
      </c>
      <c r="F71" s="45">
        <v>23641.814181406706</v>
      </c>
      <c r="G71" s="45">
        <v>47663.861231335664</v>
      </c>
      <c r="H71" s="45">
        <v>53281.675633138075</v>
      </c>
      <c r="I71" s="45">
        <v>71676.428272669378</v>
      </c>
      <c r="J71" s="45">
        <v>61749.996111268818</v>
      </c>
      <c r="O71" s="292"/>
      <c r="P71" s="16" t="s">
        <v>51</v>
      </c>
      <c r="Q71" s="20">
        <v>1504.68</v>
      </c>
      <c r="R71" s="20">
        <v>2591.88</v>
      </c>
      <c r="S71" s="20">
        <v>2838.35</v>
      </c>
      <c r="T71" s="20">
        <v>2881.77</v>
      </c>
      <c r="U71" s="20">
        <v>2250.5100000000002</v>
      </c>
      <c r="V71" s="20">
        <v>3239.4</v>
      </c>
      <c r="W71" s="20">
        <v>3336.64</v>
      </c>
      <c r="X71" s="20">
        <v>3384.12</v>
      </c>
      <c r="Y71" s="20">
        <v>2980.87</v>
      </c>
      <c r="Z71" s="4"/>
      <c r="AA71" s="4"/>
      <c r="AB71" s="159"/>
      <c r="AC71" s="124"/>
      <c r="AD71" s="124"/>
      <c r="AE71" s="124"/>
      <c r="AF71" s="124"/>
      <c r="AG71" s="124"/>
      <c r="AH71" s="124"/>
      <c r="AI71" s="124"/>
      <c r="AJ71" s="124"/>
      <c r="AK71" s="4"/>
      <c r="CA71" t="s">
        <v>36</v>
      </c>
      <c r="CB71" s="43">
        <v>200697530</v>
      </c>
      <c r="CC71" s="43">
        <v>269908616.5</v>
      </c>
      <c r="CD71" s="43">
        <v>254759231</v>
      </c>
      <c r="CE71" s="43">
        <v>236605471</v>
      </c>
      <c r="CF71" s="43">
        <v>220600472</v>
      </c>
      <c r="CG71" s="43">
        <v>227017145</v>
      </c>
      <c r="CH71" s="43">
        <v>225997805</v>
      </c>
      <c r="CL71" t="s">
        <v>36</v>
      </c>
      <c r="CM71" s="43">
        <v>200697530</v>
      </c>
      <c r="CN71" s="43">
        <v>263803028</v>
      </c>
      <c r="CO71" s="43">
        <v>254759231</v>
      </c>
      <c r="CP71" s="43">
        <v>236605471</v>
      </c>
      <c r="CQ71" s="43">
        <v>220600472</v>
      </c>
      <c r="CR71" s="43">
        <v>227017145</v>
      </c>
      <c r="CS71" s="43">
        <v>225997805</v>
      </c>
      <c r="CX71" s="292"/>
      <c r="CY71" s="16" t="s">
        <v>13</v>
      </c>
      <c r="CZ71" s="7">
        <v>-12853.165395394753</v>
      </c>
      <c r="DA71" s="7">
        <v>-10152.463913657313</v>
      </c>
      <c r="DB71" s="7">
        <v>-25671.045600950827</v>
      </c>
      <c r="DC71" s="7">
        <v>-15560.543247539965</v>
      </c>
      <c r="DD71" s="7">
        <v>-32826.324288206539</v>
      </c>
      <c r="DE71" s="7">
        <v>-24513.98031437075</v>
      </c>
      <c r="DF71" s="7">
        <v>22319.5576163652</v>
      </c>
      <c r="DG71" s="7">
        <v>16910.644843513051</v>
      </c>
      <c r="DH71" s="7">
        <v>19448.436516194408</v>
      </c>
      <c r="DI71" s="7">
        <v>-13442.557416235584</v>
      </c>
      <c r="DJ71" s="7">
        <v>-34040.802598257753</v>
      </c>
      <c r="DK71" s="7">
        <v>-19115.536054840188</v>
      </c>
      <c r="DL71" s="7">
        <v>-29679.93398037623</v>
      </c>
      <c r="DM71" s="7">
        <v>-26963.097302028938</v>
      </c>
      <c r="DN71" s="7">
        <v>-94481.600095560469</v>
      </c>
      <c r="DO71" s="7">
        <v>-13828.211367771266</v>
      </c>
      <c r="DP71" s="7">
        <v>77659.575469534422</v>
      </c>
      <c r="DQ71" s="7">
        <v>-7352.0554636912066</v>
      </c>
      <c r="DR71" s="7">
        <v>2433.3885178160272</v>
      </c>
      <c r="DS71" s="7">
        <v>8308.2755623246012</v>
      </c>
      <c r="DT71" s="7">
        <v>8296.5970852261235</v>
      </c>
      <c r="DU71" s="7">
        <v>976.5893087457589</v>
      </c>
      <c r="DV71" s="126">
        <v>-120.35076748674328</v>
      </c>
      <c r="DW71" s="7">
        <v>-10119.576771598367</v>
      </c>
      <c r="DX71" s="7">
        <v>-7727.8348874822113</v>
      </c>
    </row>
    <row r="72" spans="2:130" ht="15" x14ac:dyDescent="0.25">
      <c r="B72" s="38" t="s">
        <v>35</v>
      </c>
      <c r="C72" s="45">
        <v>0.38250960519337501</v>
      </c>
      <c r="D72" s="45">
        <v>592.84700439506275</v>
      </c>
      <c r="E72" s="45">
        <v>3788.6582603776305</v>
      </c>
      <c r="F72" s="45">
        <v>18535.810544392894</v>
      </c>
      <c r="G72" s="45">
        <v>43757.113824202133</v>
      </c>
      <c r="H72" s="45">
        <v>58774.468786924044</v>
      </c>
      <c r="I72" s="45">
        <v>83102.627859122615</v>
      </c>
      <c r="J72" s="45">
        <v>59438.654651636796</v>
      </c>
      <c r="O72" s="292"/>
      <c r="P72" s="16" t="s">
        <v>52</v>
      </c>
      <c r="Q72" s="7">
        <v>12297.446596240668</v>
      </c>
      <c r="R72" s="7">
        <v>21904.264019602091</v>
      </c>
      <c r="S72" s="7">
        <v>24092.662979356708</v>
      </c>
      <c r="T72" s="7">
        <v>24519.433415217027</v>
      </c>
      <c r="U72" s="7">
        <v>19085.043975023269</v>
      </c>
      <c r="V72" s="7">
        <v>27594.938593432569</v>
      </c>
      <c r="W72" s="7">
        <v>28450.296296491379</v>
      </c>
      <c r="X72" s="7">
        <v>28891.913919774441</v>
      </c>
      <c r="Y72" s="7">
        <v>25444.446853042846</v>
      </c>
      <c r="Z72" s="4"/>
      <c r="AA72" s="4"/>
      <c r="AB72" s="159"/>
      <c r="AC72" s="124"/>
      <c r="AD72" s="124"/>
      <c r="AE72" s="124"/>
      <c r="AF72" s="124"/>
      <c r="AG72" s="124"/>
      <c r="AH72" s="124"/>
      <c r="AI72" s="124"/>
      <c r="AJ72" s="124"/>
      <c r="AK72" s="4"/>
      <c r="CA72" t="s">
        <v>37</v>
      </c>
      <c r="CB72" s="43">
        <v>69778498</v>
      </c>
      <c r="CC72" s="43">
        <v>120928612.40000001</v>
      </c>
      <c r="CD72" s="43">
        <v>91160220</v>
      </c>
      <c r="CE72" s="43">
        <v>84926008</v>
      </c>
      <c r="CF72" s="43">
        <v>81012090</v>
      </c>
      <c r="CG72" s="43">
        <v>85726323</v>
      </c>
      <c r="CH72" s="43">
        <v>71350428</v>
      </c>
      <c r="CL72" t="s">
        <v>37</v>
      </c>
      <c r="CM72" s="43">
        <v>69778498</v>
      </c>
      <c r="CN72" s="43">
        <v>110311543</v>
      </c>
      <c r="CO72" s="43">
        <v>91160220</v>
      </c>
      <c r="CP72" s="43">
        <v>84926008</v>
      </c>
      <c r="CQ72" s="43">
        <v>81012090</v>
      </c>
      <c r="CR72" s="43">
        <v>85726323</v>
      </c>
      <c r="CS72" s="43">
        <v>71350428</v>
      </c>
      <c r="CX72" s="292"/>
      <c r="CY72" s="17" t="s">
        <v>8</v>
      </c>
      <c r="CZ72" s="7">
        <v>-10.210000000000001</v>
      </c>
      <c r="DA72" s="7">
        <v>-11.8</v>
      </c>
      <c r="DB72" s="7">
        <v>-17.510000000000002</v>
      </c>
      <c r="DC72" s="7">
        <v>-18.39</v>
      </c>
      <c r="DD72" s="7">
        <v>-24.65</v>
      </c>
      <c r="DE72" s="7">
        <v>-28.25</v>
      </c>
      <c r="DF72" s="7">
        <v>-20.87</v>
      </c>
      <c r="DG72" s="7">
        <v>-11.79</v>
      </c>
      <c r="DH72" s="7">
        <v>-13.05</v>
      </c>
      <c r="DI72" s="7">
        <v>-13.48</v>
      </c>
      <c r="DJ72" s="7">
        <v>-14.03</v>
      </c>
      <c r="DK72" s="7">
        <v>-16.3</v>
      </c>
      <c r="DL72" s="7">
        <v>-33.03</v>
      </c>
      <c r="DM72" s="7">
        <v>-34.06</v>
      </c>
      <c r="DN72" s="7">
        <v>-47.68</v>
      </c>
      <c r="DO72" s="7">
        <v>-111.07</v>
      </c>
      <c r="DP72" s="7">
        <v>-82.15</v>
      </c>
      <c r="DQ72" s="7">
        <v>-127.42</v>
      </c>
      <c r="DR72" s="7">
        <v>-180.45</v>
      </c>
      <c r="DS72" s="7">
        <v>-210.37</v>
      </c>
      <c r="DT72" s="7">
        <v>-213.59</v>
      </c>
      <c r="DU72" s="7">
        <v>-198.63</v>
      </c>
      <c r="DV72" s="7">
        <v>-205.41</v>
      </c>
      <c r="DW72" s="7">
        <v>-243.63</v>
      </c>
      <c r="DX72" s="7">
        <v>-243.48</v>
      </c>
      <c r="DY72" s="209">
        <f>SUM('MEEIA 3 calcs'!AA72:AY72)</f>
        <v>-2135.6999999999998</v>
      </c>
      <c r="DZ72" s="224">
        <f>SUM(CZ72:DX72)-DY72</f>
        <v>4.4000000000000909</v>
      </c>
    </row>
    <row r="73" spans="2:130" ht="15" x14ac:dyDescent="0.25">
      <c r="B73" s="38" t="s">
        <v>35</v>
      </c>
      <c r="C73" s="45">
        <v>0</v>
      </c>
      <c r="D73" s="45">
        <v>10.498979963866001</v>
      </c>
      <c r="E73" s="45">
        <v>1076.2976856366847</v>
      </c>
      <c r="F73" s="45">
        <v>8208.8465748072213</v>
      </c>
      <c r="G73" s="45">
        <v>17844.087336984448</v>
      </c>
      <c r="H73" s="45">
        <v>19693.510444666666</v>
      </c>
      <c r="I73" s="45">
        <v>21979.473223835281</v>
      </c>
      <c r="J73" s="45">
        <v>14165.40710660777</v>
      </c>
      <c r="O73" s="292"/>
      <c r="P73" s="16" t="s">
        <v>13</v>
      </c>
      <c r="Q73" s="7">
        <v>-7583.0245926856451</v>
      </c>
      <c r="R73" s="7">
        <v>-16971.040711894311</v>
      </c>
      <c r="S73" s="7">
        <v>-19752.112044639314</v>
      </c>
      <c r="T73" s="7">
        <v>-12719.486928390143</v>
      </c>
      <c r="U73" s="7">
        <v>19172.899277318444</v>
      </c>
      <c r="V73" s="7">
        <v>13095.653413476924</v>
      </c>
      <c r="W73" s="7">
        <v>13435.289407484266</v>
      </c>
      <c r="X73" s="7">
        <v>-2111.1522844831561</v>
      </c>
      <c r="Y73" s="7">
        <v>-14847.184202668672</v>
      </c>
      <c r="Z73" s="103" t="s">
        <v>84</v>
      </c>
      <c r="AA73" s="103" t="s">
        <v>87</v>
      </c>
      <c r="AB73" s="159"/>
      <c r="AC73" s="124"/>
      <c r="AD73" s="124"/>
      <c r="AE73" s="124"/>
      <c r="AF73" s="124"/>
      <c r="AG73" s="124"/>
      <c r="AH73" s="124"/>
      <c r="AI73" s="124"/>
      <c r="AJ73" s="124"/>
      <c r="AK73" s="135"/>
      <c r="BZ73" s="33"/>
      <c r="CA73" s="33" t="s">
        <v>31</v>
      </c>
      <c r="CB73" s="34">
        <v>1844617502</v>
      </c>
      <c r="CC73" s="34">
        <v>2260152185.5</v>
      </c>
      <c r="CD73" s="34">
        <v>2604429573</v>
      </c>
      <c r="CE73" s="34">
        <v>2650772070</v>
      </c>
      <c r="CF73" s="34">
        <v>2252800721</v>
      </c>
      <c r="CG73" s="34">
        <v>1950515267</v>
      </c>
      <c r="CH73" s="34">
        <v>1874510202</v>
      </c>
      <c r="CK73" s="33"/>
      <c r="CL73" s="33" t="s">
        <v>31</v>
      </c>
      <c r="CM73" s="34">
        <v>1611922207.6004</v>
      </c>
      <c r="CN73" s="34">
        <v>1797930361.7806001</v>
      </c>
      <c r="CO73" s="34">
        <v>1889161878.3857</v>
      </c>
      <c r="CP73" s="34">
        <v>1851121376.4833</v>
      </c>
      <c r="CQ73" s="34">
        <v>1712723402.5943</v>
      </c>
      <c r="CR73" s="34">
        <v>1627228989.6746001</v>
      </c>
      <c r="CS73" s="34">
        <v>1825300901.9120998</v>
      </c>
      <c r="CX73" s="292"/>
      <c r="CY73" s="16" t="s">
        <v>14</v>
      </c>
      <c r="CZ73" s="7">
        <v>-12863.375395394753</v>
      </c>
      <c r="DA73" s="7">
        <v>-10164.263913657313</v>
      </c>
      <c r="DB73" s="7">
        <v>-25688.555600950825</v>
      </c>
      <c r="DC73" s="7">
        <v>-15578.933247539964</v>
      </c>
      <c r="DD73" s="7">
        <v>-32850.97428820654</v>
      </c>
      <c r="DE73" s="7">
        <v>-24542.23031437075</v>
      </c>
      <c r="DF73" s="7">
        <v>22298.687616365201</v>
      </c>
      <c r="DG73" s="7">
        <v>16898.854843513051</v>
      </c>
      <c r="DH73" s="7">
        <v>19435.386516194409</v>
      </c>
      <c r="DI73" s="7">
        <v>-13456.037416235584</v>
      </c>
      <c r="DJ73" s="7">
        <v>-34054.832598257752</v>
      </c>
      <c r="DK73" s="7">
        <v>-19131.836054840187</v>
      </c>
      <c r="DL73" s="7">
        <v>-29712.963980376229</v>
      </c>
      <c r="DM73" s="7">
        <v>-26997.15730202894</v>
      </c>
      <c r="DN73" s="7">
        <v>-94529.280095560462</v>
      </c>
      <c r="DO73" s="7">
        <v>-13939.281367771266</v>
      </c>
      <c r="DP73" s="7">
        <v>77577.425469534428</v>
      </c>
      <c r="DQ73" s="7">
        <v>-7479.4754636912066</v>
      </c>
      <c r="DR73" s="7">
        <v>2252.9385178160273</v>
      </c>
      <c r="DS73" s="7">
        <v>8097.9055623246013</v>
      </c>
      <c r="DT73" s="7">
        <v>8083.0070852261233</v>
      </c>
      <c r="DU73" s="7">
        <v>777.9593087457589</v>
      </c>
      <c r="DV73" s="7">
        <v>-325.76076748674325</v>
      </c>
      <c r="DW73" s="7">
        <v>-10363.206771598367</v>
      </c>
      <c r="DX73" s="7">
        <v>-7971.3148874822109</v>
      </c>
    </row>
    <row r="74" spans="2:130" ht="15" x14ac:dyDescent="0.25">
      <c r="B74" s="38" t="s">
        <v>35</v>
      </c>
      <c r="C74" s="45">
        <v>0</v>
      </c>
      <c r="D74" s="45">
        <v>0</v>
      </c>
      <c r="E74" s="45">
        <v>178.04544936482247</v>
      </c>
      <c r="F74" s="45">
        <v>661.15950808601849</v>
      </c>
      <c r="G74" s="45">
        <v>877.99265710747466</v>
      </c>
      <c r="H74" s="45">
        <v>909.22642550037904</v>
      </c>
      <c r="I74" s="45">
        <v>1261.0041997151543</v>
      </c>
      <c r="J74" s="45">
        <v>997.60306748635742</v>
      </c>
      <c r="O74" s="292"/>
      <c r="P74" s="17" t="s">
        <v>8</v>
      </c>
      <c r="Q74" s="7">
        <v>-63.9</v>
      </c>
      <c r="R74" s="7">
        <v>-89.64</v>
      </c>
      <c r="S74" s="7">
        <v>-57.84</v>
      </c>
      <c r="T74" s="7">
        <v>-9.02</v>
      </c>
      <c r="U74" s="7">
        <v>-6.54</v>
      </c>
      <c r="V74" s="7">
        <v>-7.44</v>
      </c>
      <c r="W74" s="7">
        <v>-3.34</v>
      </c>
      <c r="X74" s="7">
        <v>-2.9</v>
      </c>
      <c r="Y74" s="7">
        <v>-6.66</v>
      </c>
      <c r="Z74" s="104">
        <v>-258.16000000000003</v>
      </c>
      <c r="AA74" s="112">
        <v>10.880000000000024</v>
      </c>
      <c r="AB74" s="159"/>
      <c r="AC74" s="124"/>
      <c r="AD74" s="124"/>
      <c r="AE74" s="124"/>
      <c r="AF74" s="124"/>
      <c r="AG74" s="124"/>
      <c r="AH74" s="124"/>
      <c r="AI74" s="124"/>
      <c r="AJ74" s="124"/>
      <c r="AK74" s="136"/>
      <c r="CX74" s="292"/>
      <c r="CY74" s="18" t="s">
        <v>19</v>
      </c>
      <c r="CZ74" s="7">
        <v>-61261.755198797422</v>
      </c>
      <c r="DA74" s="7">
        <v>-68695.57911245474</v>
      </c>
      <c r="DB74" s="7">
        <v>-90486.98471340556</v>
      </c>
      <c r="DC74" s="7">
        <v>-103281.89796094553</v>
      </c>
      <c r="DD74" s="7">
        <v>-131413.57224915206</v>
      </c>
      <c r="DE74" s="7">
        <v>-151161.20256352279</v>
      </c>
      <c r="DF74" s="7">
        <v>-124235.16494715758</v>
      </c>
      <c r="DG74" s="7">
        <v>-101430.94010364453</v>
      </c>
      <c r="DH74" s="7">
        <v>-76373.883587450124</v>
      </c>
      <c r="DI74" s="7">
        <v>-83751.191003685701</v>
      </c>
      <c r="DJ74" s="7">
        <v>-112234.44360194345</v>
      </c>
      <c r="DK74" s="7">
        <v>-127667.38965678363</v>
      </c>
      <c r="DL74" s="7">
        <v>-152194.21363715988</v>
      </c>
      <c r="DM74" s="7">
        <v>-174359.06093918881</v>
      </c>
      <c r="DN74" s="7">
        <v>-193445.61103474928</v>
      </c>
      <c r="DO74" s="7">
        <v>-193753.61240252055</v>
      </c>
      <c r="DP74" s="7">
        <v>-164273.45693298613</v>
      </c>
      <c r="DQ74" s="7">
        <v>-161124.71239667732</v>
      </c>
      <c r="DR74" s="7">
        <v>-145915.82387886129</v>
      </c>
      <c r="DS74" s="7">
        <v>-122954.3383165367</v>
      </c>
      <c r="DT74" s="7">
        <v>-100174.58123131057</v>
      </c>
      <c r="DU74" s="7">
        <v>-84075.001922564814</v>
      </c>
      <c r="DV74" s="7">
        <v>-71238.052690051554</v>
      </c>
      <c r="DW74" s="7">
        <v>-68453.739461649922</v>
      </c>
      <c r="DX74" s="7">
        <v>-63518.024349132131</v>
      </c>
    </row>
    <row r="75" spans="2:130" ht="15" x14ac:dyDescent="0.25">
      <c r="B75" s="38" t="s">
        <v>35</v>
      </c>
      <c r="C75" s="45">
        <v>0</v>
      </c>
      <c r="D75" s="45">
        <v>0</v>
      </c>
      <c r="E75" s="45">
        <v>0</v>
      </c>
      <c r="F75" s="45">
        <v>0</v>
      </c>
      <c r="G75" s="45">
        <v>0</v>
      </c>
      <c r="H75" s="45">
        <v>1252.115980693439</v>
      </c>
      <c r="I75" s="45">
        <v>2448.7910418683878</v>
      </c>
      <c r="J75" s="45">
        <v>1841.3720541763271</v>
      </c>
      <c r="O75" s="292"/>
      <c r="P75" s="16" t="s">
        <v>14</v>
      </c>
      <c r="Q75" s="7">
        <v>-7646.9245926856447</v>
      </c>
      <c r="R75" s="7">
        <v>-17060.680711894311</v>
      </c>
      <c r="S75" s="7">
        <v>-19809.952044639314</v>
      </c>
      <c r="T75" s="7">
        <v>-12728.506928390143</v>
      </c>
      <c r="U75" s="7">
        <v>19166.359277318443</v>
      </c>
      <c r="V75" s="7">
        <v>13088.213413476924</v>
      </c>
      <c r="W75" s="7">
        <v>13431.949407484266</v>
      </c>
      <c r="X75" s="7">
        <v>-2114.0522844831562</v>
      </c>
      <c r="Y75" s="7">
        <v>-14853.844202668672</v>
      </c>
      <c r="Z75" s="4"/>
      <c r="AA75" s="4"/>
      <c r="AB75" s="159"/>
      <c r="AC75" s="124"/>
      <c r="AD75" s="124"/>
      <c r="AE75" s="124"/>
      <c r="AF75" s="124"/>
      <c r="AG75" s="124"/>
      <c r="AH75" s="124"/>
      <c r="AI75" s="124"/>
      <c r="AJ75" s="124"/>
      <c r="AK75" s="4"/>
      <c r="CX75" s="40"/>
      <c r="CY75" s="11"/>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row>
    <row r="76" spans="2:130" ht="15" customHeight="1" x14ac:dyDescent="0.25">
      <c r="B76" s="35" t="s">
        <v>31</v>
      </c>
      <c r="C76" s="44">
        <f>SUM(C70:C75)</f>
        <v>0.72663563197512504</v>
      </c>
      <c r="D76" s="44">
        <f t="shared" ref="D76:J76" si="45">SUM(D70:D75)</f>
        <v>4739.9060564269448</v>
      </c>
      <c r="E76" s="44">
        <f t="shared" si="45"/>
        <v>40005.272848289744</v>
      </c>
      <c r="F76" s="44">
        <f t="shared" si="45"/>
        <v>294411.55988547887</v>
      </c>
      <c r="G76" s="44">
        <f t="shared" si="45"/>
        <v>551272.8650036758</v>
      </c>
      <c r="H76" s="44">
        <f t="shared" si="45"/>
        <v>671396.07477684284</v>
      </c>
      <c r="I76" s="44">
        <f t="shared" si="45"/>
        <v>554287.6705340693</v>
      </c>
      <c r="J76" s="44">
        <f t="shared" si="45"/>
        <v>275218.97300516727</v>
      </c>
      <c r="O76" s="292"/>
      <c r="P76" s="18" t="s">
        <v>19</v>
      </c>
      <c r="Q76" s="7">
        <v>-42579.034760106762</v>
      </c>
      <c r="R76" s="7">
        <v>-57047.835472001068</v>
      </c>
      <c r="S76" s="7">
        <v>-74019.437516640377</v>
      </c>
      <c r="T76" s="7">
        <v>-83866.174445030512</v>
      </c>
      <c r="U76" s="7">
        <v>-62449.305167712067</v>
      </c>
      <c r="V76" s="7">
        <v>-46121.691754235144</v>
      </c>
      <c r="W76" s="7">
        <v>-29353.102346750878</v>
      </c>
      <c r="X76" s="7">
        <v>-28083.034631234033</v>
      </c>
      <c r="Y76" s="7">
        <v>-39956.008833902706</v>
      </c>
      <c r="Z76" s="4"/>
      <c r="AA76" s="4"/>
      <c r="AB76" s="159"/>
      <c r="AC76" s="124"/>
      <c r="AD76" s="124"/>
      <c r="AE76" s="124"/>
      <c r="AF76" s="124"/>
      <c r="AG76" s="124"/>
      <c r="AH76" s="124"/>
      <c r="AI76" s="124"/>
      <c r="AJ76" s="124"/>
      <c r="AK76" s="4"/>
      <c r="CX76" s="293" t="s">
        <v>65</v>
      </c>
      <c r="CY76" s="84"/>
      <c r="CZ76" s="153"/>
      <c r="DA76" s="153"/>
      <c r="DB76" s="152">
        <v>-50000</v>
      </c>
      <c r="DC76" s="29"/>
      <c r="DD76" s="29"/>
      <c r="DE76" s="29"/>
      <c r="DF76" s="175"/>
      <c r="DG76" s="29"/>
      <c r="DH76" s="29"/>
      <c r="DI76" s="29"/>
      <c r="DJ76" s="152">
        <v>-153732.06</v>
      </c>
      <c r="DK76" s="152">
        <v>-31.022527238338242</v>
      </c>
      <c r="DL76" s="29"/>
      <c r="DM76" s="29"/>
      <c r="DN76" s="211">
        <v>13638.67728098213</v>
      </c>
      <c r="DO76" s="29"/>
      <c r="DP76" s="29"/>
      <c r="DQ76" s="29"/>
      <c r="DR76" s="29"/>
      <c r="DS76" s="29"/>
      <c r="DT76" s="29"/>
      <c r="DU76" s="29"/>
      <c r="DV76" s="29"/>
      <c r="DW76" s="29"/>
      <c r="DX76" s="29"/>
    </row>
    <row r="77" spans="2:130" ht="15" x14ac:dyDescent="0.25">
      <c r="B77" s="35"/>
      <c r="O77" s="40"/>
      <c r="P77" s="11"/>
      <c r="Q77" s="146"/>
      <c r="R77" s="146"/>
      <c r="S77" s="146"/>
      <c r="T77" s="146"/>
      <c r="U77" s="146"/>
      <c r="V77" s="146"/>
      <c r="W77" s="146"/>
      <c r="X77" s="146"/>
      <c r="Y77" s="146"/>
      <c r="Z77" s="4"/>
      <c r="AA77" s="4"/>
      <c r="AB77" s="159"/>
      <c r="AC77" s="124"/>
      <c r="AD77" s="124"/>
      <c r="AE77" s="124"/>
      <c r="AF77" s="124"/>
      <c r="AG77" s="124"/>
      <c r="AH77" s="124"/>
      <c r="AI77" s="124"/>
      <c r="AJ77" s="124"/>
      <c r="AK77" s="4"/>
      <c r="CX77" s="293"/>
      <c r="CY77" s="84" t="s">
        <v>66</v>
      </c>
      <c r="CZ77" s="22"/>
      <c r="DA77" s="22">
        <v>0</v>
      </c>
      <c r="DB77" s="22">
        <v>0</v>
      </c>
      <c r="DC77" s="22">
        <v>0</v>
      </c>
      <c r="DD77" s="22">
        <v>0</v>
      </c>
      <c r="DE77" s="22">
        <v>0</v>
      </c>
      <c r="DF77" s="22">
        <v>0</v>
      </c>
      <c r="DG77" s="22">
        <v>0</v>
      </c>
      <c r="DH77" s="22">
        <v>0</v>
      </c>
      <c r="DI77" s="22">
        <v>0</v>
      </c>
      <c r="DJ77" s="22">
        <v>0</v>
      </c>
      <c r="DK77" s="22">
        <v>0</v>
      </c>
      <c r="DL77" s="22">
        <v>0</v>
      </c>
      <c r="DM77" s="22">
        <v>0</v>
      </c>
      <c r="DN77" s="22">
        <v>-7656.73</v>
      </c>
      <c r="DO77" s="22">
        <v>-17111.14</v>
      </c>
      <c r="DP77" s="22">
        <v>-14510.33</v>
      </c>
      <c r="DQ77" s="22">
        <v>-14291.36</v>
      </c>
      <c r="DR77" s="22">
        <v>-17612.43</v>
      </c>
      <c r="DS77" s="22">
        <v>-22392.62</v>
      </c>
      <c r="DT77" s="22">
        <v>-21403.22</v>
      </c>
      <c r="DU77" s="22">
        <v>-19009.3</v>
      </c>
      <c r="DV77" s="22">
        <v>-14623.32</v>
      </c>
      <c r="DW77" s="22">
        <v>-13738.07</v>
      </c>
      <c r="DX77" s="22">
        <v>-18464.63</v>
      </c>
    </row>
    <row r="78" spans="2:130" ht="15" x14ac:dyDescent="0.25">
      <c r="B78" s="27" t="s">
        <v>32</v>
      </c>
      <c r="O78" s="145"/>
      <c r="P78" s="138"/>
      <c r="Q78" s="29"/>
      <c r="R78" s="29"/>
      <c r="S78" s="29"/>
      <c r="T78" s="29"/>
      <c r="U78" s="29"/>
      <c r="V78" s="107"/>
      <c r="W78" s="29"/>
      <c r="X78" s="29"/>
      <c r="Y78" s="29"/>
      <c r="Z78" s="124"/>
      <c r="AA78" s="29"/>
      <c r="AB78" s="157"/>
      <c r="AC78" s="29"/>
      <c r="AD78" s="29"/>
      <c r="AE78" s="29"/>
      <c r="AF78" s="29"/>
      <c r="AG78" s="29"/>
      <c r="AH78" s="29"/>
      <c r="AI78" s="29"/>
      <c r="AJ78" s="29"/>
      <c r="CX78" s="293"/>
      <c r="CY78" s="84" t="s">
        <v>67</v>
      </c>
      <c r="CZ78" s="8"/>
      <c r="DA78" s="8">
        <v>0</v>
      </c>
      <c r="DB78" s="8">
        <v>-50000</v>
      </c>
      <c r="DC78" s="8">
        <v>0</v>
      </c>
      <c r="DD78" s="8">
        <v>0</v>
      </c>
      <c r="DE78" s="8">
        <v>0</v>
      </c>
      <c r="DF78" s="8">
        <v>0</v>
      </c>
      <c r="DG78" s="8">
        <v>0</v>
      </c>
      <c r="DH78" s="8">
        <v>0</v>
      </c>
      <c r="DI78" s="8">
        <v>0</v>
      </c>
      <c r="DJ78" s="8">
        <v>-153732.06</v>
      </c>
      <c r="DK78" s="113">
        <v>1793.31</v>
      </c>
      <c r="DL78" s="8">
        <v>0</v>
      </c>
      <c r="DM78" s="8">
        <v>0</v>
      </c>
      <c r="DN78" s="8">
        <v>7656.73</v>
      </c>
      <c r="DO78" s="8">
        <v>17111.14</v>
      </c>
      <c r="DP78" s="8">
        <v>14510.33</v>
      </c>
      <c r="DQ78" s="8">
        <v>14291.36</v>
      </c>
      <c r="DR78" s="8">
        <v>17612.43</v>
      </c>
      <c r="DS78" s="8">
        <v>22392.62</v>
      </c>
      <c r="DT78" s="8">
        <v>21403.22</v>
      </c>
      <c r="DU78" s="8">
        <v>19009.3</v>
      </c>
      <c r="DV78" s="8">
        <v>14623.32</v>
      </c>
      <c r="DW78" s="8">
        <v>13738.07</v>
      </c>
      <c r="DX78" s="8">
        <v>18464.63</v>
      </c>
    </row>
    <row r="79" spans="2:130" ht="15" x14ac:dyDescent="0.25">
      <c r="B79" t="s">
        <v>33</v>
      </c>
      <c r="C79" s="43">
        <v>1268128455</v>
      </c>
      <c r="D79" s="43">
        <v>872933544</v>
      </c>
      <c r="E79" s="43">
        <v>738196558</v>
      </c>
      <c r="F79" s="43">
        <v>978975302</v>
      </c>
      <c r="G79" s="43">
        <v>1243909773</v>
      </c>
      <c r="H79" s="43">
        <v>1310015315</v>
      </c>
      <c r="I79" s="43">
        <v>1208033233</v>
      </c>
      <c r="J79" s="109">
        <v>993546162</v>
      </c>
      <c r="O79" s="145"/>
      <c r="P79" s="138"/>
      <c r="Q79" s="124"/>
      <c r="R79" s="124"/>
      <c r="S79" s="124"/>
      <c r="T79" s="124"/>
      <c r="U79" s="124"/>
      <c r="V79" s="124"/>
      <c r="W79" s="133"/>
      <c r="X79" s="124"/>
      <c r="Y79" s="124"/>
      <c r="Z79" s="133"/>
      <c r="AA79" s="124"/>
      <c r="AB79" s="159"/>
      <c r="AC79" s="124"/>
      <c r="AD79" s="124"/>
      <c r="AE79" s="124"/>
      <c r="AF79" s="124"/>
      <c r="AG79" s="124"/>
      <c r="AH79" s="124"/>
      <c r="AI79" s="124"/>
      <c r="AJ79" s="124"/>
      <c r="AK79" s="3"/>
      <c r="CX79" s="293"/>
      <c r="CY79" s="85" t="s">
        <v>8</v>
      </c>
      <c r="CZ79" s="8" t="s">
        <v>129</v>
      </c>
      <c r="DA79" s="8">
        <v>0</v>
      </c>
      <c r="DB79" s="8">
        <v>-9.6757083333333345</v>
      </c>
      <c r="DC79" s="8">
        <v>-8.9048062060853468</v>
      </c>
      <c r="DD79" s="8">
        <v>-9.38361075097888</v>
      </c>
      <c r="DE79" s="8">
        <v>-9.3498929752559405</v>
      </c>
      <c r="DF79" s="8">
        <v>-8.4087289230078603</v>
      </c>
      <c r="DG79" s="8">
        <v>-5.8198588030395255</v>
      </c>
      <c r="DH79" s="8">
        <v>-8.55460111412191</v>
      </c>
      <c r="DI79" s="8">
        <v>-8.0610523030172327</v>
      </c>
      <c r="DJ79" s="8">
        <v>-25.475027282426108</v>
      </c>
      <c r="DK79" s="113">
        <v>-1850.1308041894602</v>
      </c>
      <c r="DL79" s="8">
        <v>-44.253379291805963</v>
      </c>
      <c r="DM79" s="8">
        <v>-39.842192194484952</v>
      </c>
      <c r="DN79" s="8">
        <v>-45.035910461108607</v>
      </c>
      <c r="DO79" s="8">
        <v>-94.987772278237017</v>
      </c>
      <c r="DP79" s="8">
        <v>-75.647290480831003</v>
      </c>
      <c r="DQ79" s="8">
        <v>-108.40411153673763</v>
      </c>
      <c r="DR79" s="8">
        <v>-147.93036414362186</v>
      </c>
      <c r="DS79" s="8">
        <v>-166.63529957939139</v>
      </c>
      <c r="DT79" s="8">
        <v>-162.36603398091862</v>
      </c>
      <c r="DU79" s="8">
        <v>-135.31637544471974</v>
      </c>
      <c r="DV79" s="8">
        <v>-123.34485306500206</v>
      </c>
      <c r="DW79" s="8">
        <v>-103.72028699292817</v>
      </c>
      <c r="DX79" s="8">
        <v>-41.089627469559161</v>
      </c>
    </row>
    <row r="80" spans="2:130" ht="15" x14ac:dyDescent="0.25">
      <c r="B80" t="s">
        <v>34</v>
      </c>
      <c r="C80" s="43">
        <v>290178959</v>
      </c>
      <c r="D80" s="43">
        <v>235096003</v>
      </c>
      <c r="E80" s="43">
        <v>221772499</v>
      </c>
      <c r="F80" s="43">
        <v>258735845</v>
      </c>
      <c r="G80" s="43">
        <v>295975497</v>
      </c>
      <c r="H80" s="43">
        <v>304175879</v>
      </c>
      <c r="I80" s="43">
        <v>293549572</v>
      </c>
      <c r="J80" s="109">
        <v>264736629</v>
      </c>
      <c r="O80" s="145"/>
      <c r="P80" s="138"/>
      <c r="Q80" s="124"/>
      <c r="R80" s="124"/>
      <c r="S80" s="124"/>
      <c r="T80" s="124"/>
      <c r="U80" s="124"/>
      <c r="V80" s="124"/>
      <c r="W80" s="124"/>
      <c r="X80" s="124"/>
      <c r="Y80" s="124"/>
      <c r="Z80" s="124"/>
      <c r="AA80" s="124"/>
      <c r="AB80" s="159"/>
      <c r="AC80" s="124"/>
      <c r="AD80" s="124"/>
      <c r="AE80" s="124"/>
      <c r="AF80" s="124"/>
      <c r="AG80" s="124"/>
      <c r="AH80" s="124"/>
      <c r="AI80" s="124"/>
      <c r="AJ80" s="124"/>
      <c r="AK80" s="3"/>
      <c r="CX80" s="293"/>
      <c r="CY80" s="85" t="s">
        <v>6</v>
      </c>
      <c r="CZ80" s="8" t="s">
        <v>129</v>
      </c>
      <c r="DA80" s="8">
        <v>0</v>
      </c>
      <c r="DB80" s="8">
        <v>-9.6757083333333345</v>
      </c>
      <c r="DC80" s="8">
        <v>-18.580514539418679</v>
      </c>
      <c r="DD80" s="8">
        <v>-27.964125290397561</v>
      </c>
      <c r="DE80" s="8">
        <v>-37.314018265653502</v>
      </c>
      <c r="DF80" s="8">
        <v>-45.722747188661359</v>
      </c>
      <c r="DG80" s="8">
        <v>-51.542605991700881</v>
      </c>
      <c r="DH80" s="8">
        <v>-60.09720710582279</v>
      </c>
      <c r="DI80" s="8">
        <v>-68.158259408840024</v>
      </c>
      <c r="DJ80" s="8">
        <v>-93.633286691266136</v>
      </c>
      <c r="DK80" s="8">
        <v>-1943.7640908807264</v>
      </c>
      <c r="DL80" s="8">
        <v>-1988.0174701725323</v>
      </c>
      <c r="DM80" s="8">
        <v>-2027.8596623670173</v>
      </c>
      <c r="DN80" s="8">
        <v>-2072.8955728281258</v>
      </c>
      <c r="DO80" s="8">
        <v>-2167.8833451063629</v>
      </c>
      <c r="DP80" s="8">
        <v>-2243.530635587194</v>
      </c>
      <c r="DQ80" s="8">
        <v>-2351.9347471239316</v>
      </c>
      <c r="DR80" s="8">
        <v>-2499.8651112675534</v>
      </c>
      <c r="DS80" s="8">
        <v>-2666.5004108469448</v>
      </c>
      <c r="DT80" s="8">
        <v>-2828.8664448278632</v>
      </c>
      <c r="DU80" s="8">
        <v>-2964.1828202725828</v>
      </c>
      <c r="DV80" s="8">
        <v>-3087.5276733375849</v>
      </c>
      <c r="DW80" s="8">
        <v>-3191.2479603305133</v>
      </c>
      <c r="DX80" s="8">
        <v>-3232.3375878000725</v>
      </c>
      <c r="DY80" s="45">
        <f>'MEEIA 3 calcs'!AY80</f>
        <v>-3232.3346728124429</v>
      </c>
      <c r="DZ80" s="224">
        <f>DX80-DY80</f>
        <v>-2.9149876295377908E-3</v>
      </c>
    </row>
    <row r="81" spans="2:164" ht="15" x14ac:dyDescent="0.25">
      <c r="B81" t="s">
        <v>35</v>
      </c>
      <c r="C81" s="43">
        <v>599641261</v>
      </c>
      <c r="D81" s="43">
        <v>546450417</v>
      </c>
      <c r="E81" s="43">
        <v>548775486</v>
      </c>
      <c r="F81" s="43">
        <v>609609142</v>
      </c>
      <c r="G81" s="43">
        <v>656813642</v>
      </c>
      <c r="H81" s="43">
        <v>671886437</v>
      </c>
      <c r="I81" s="43">
        <v>678219627</v>
      </c>
      <c r="J81" s="109">
        <v>622550219</v>
      </c>
      <c r="O81" s="55"/>
      <c r="P81" s="139"/>
      <c r="Q81" s="124"/>
      <c r="R81" s="124"/>
      <c r="S81" s="124"/>
      <c r="T81" s="124"/>
      <c r="U81" s="124"/>
      <c r="V81" s="124"/>
      <c r="W81" s="124"/>
      <c r="X81" s="124"/>
      <c r="Y81" s="124"/>
      <c r="Z81" s="124"/>
      <c r="AA81" s="124"/>
      <c r="AB81" s="159"/>
      <c r="AC81" s="124"/>
      <c r="AD81" s="124"/>
      <c r="AE81" s="124"/>
      <c r="AF81" s="124"/>
      <c r="AG81" s="124"/>
      <c r="AH81" s="124"/>
      <c r="AI81" s="124"/>
      <c r="AJ81" s="124"/>
      <c r="AK81" s="3"/>
      <c r="CX81" s="293"/>
      <c r="CY81" s="84" t="s">
        <v>69</v>
      </c>
      <c r="CZ81" s="8" t="s">
        <v>129</v>
      </c>
      <c r="DA81" s="8">
        <v>0</v>
      </c>
      <c r="DB81" s="8">
        <v>-50009.675708333336</v>
      </c>
      <c r="DC81" s="8">
        <v>-8.9048062060853468</v>
      </c>
      <c r="DD81" s="8">
        <v>-9.38361075097888</v>
      </c>
      <c r="DE81" s="8">
        <v>-9.3498929752559405</v>
      </c>
      <c r="DF81" s="8">
        <v>-8.4087289230078603</v>
      </c>
      <c r="DG81" s="8">
        <v>-5.8198588030395255</v>
      </c>
      <c r="DH81" s="8">
        <v>-8.55460111412191</v>
      </c>
      <c r="DI81" s="8">
        <v>-8.0610523030172327</v>
      </c>
      <c r="DJ81" s="8">
        <v>-153757.53502728243</v>
      </c>
      <c r="DK81" s="8">
        <v>-56.820804189460205</v>
      </c>
      <c r="DL81" s="8">
        <v>-44.253379291805963</v>
      </c>
      <c r="DM81" s="8">
        <v>-39.842192194484952</v>
      </c>
      <c r="DN81" s="8">
        <v>7611.6940895388907</v>
      </c>
      <c r="DO81" s="8">
        <v>17016.152227721763</v>
      </c>
      <c r="DP81" s="8">
        <v>14434.682709519169</v>
      </c>
      <c r="DQ81" s="8">
        <v>14182.955888463262</v>
      </c>
      <c r="DR81" s="8">
        <v>17464.499635856377</v>
      </c>
      <c r="DS81" s="8">
        <v>22225.984700420606</v>
      </c>
      <c r="DT81" s="8">
        <v>21240.853966019084</v>
      </c>
      <c r="DU81" s="8">
        <v>18873.98362455528</v>
      </c>
      <c r="DV81" s="8">
        <v>14499.975146934998</v>
      </c>
      <c r="DW81" s="8">
        <v>13634.349713007072</v>
      </c>
      <c r="DX81" s="8">
        <v>18423.540372530442</v>
      </c>
    </row>
    <row r="82" spans="2:164" ht="15" x14ac:dyDescent="0.25">
      <c r="B82" t="s">
        <v>36</v>
      </c>
      <c r="C82" s="43">
        <v>242499726</v>
      </c>
      <c r="D82" s="43">
        <v>232539680</v>
      </c>
      <c r="E82" s="43">
        <v>229224298</v>
      </c>
      <c r="F82" s="43">
        <v>266349220</v>
      </c>
      <c r="G82" s="43">
        <v>267674678</v>
      </c>
      <c r="H82" s="43">
        <v>281003685</v>
      </c>
      <c r="I82" s="43">
        <v>279302255</v>
      </c>
      <c r="J82" s="109">
        <v>258807768</v>
      </c>
      <c r="O82" s="145"/>
      <c r="P82" s="139"/>
      <c r="Q82" s="124"/>
      <c r="R82" s="124"/>
      <c r="S82" s="124"/>
      <c r="T82" s="124"/>
      <c r="U82" s="124"/>
      <c r="V82" s="124"/>
      <c r="W82" s="124"/>
      <c r="X82" s="124"/>
      <c r="Y82" s="124"/>
      <c r="Z82" s="124"/>
      <c r="AA82" s="124"/>
      <c r="AB82" s="159"/>
      <c r="AC82" s="124"/>
      <c r="AD82" s="124"/>
      <c r="AE82" s="124"/>
      <c r="AF82" s="124"/>
      <c r="AG82" s="124"/>
      <c r="AH82" s="124"/>
      <c r="AI82" s="124"/>
      <c r="AJ82" s="124"/>
      <c r="AK82" s="3"/>
      <c r="CX82" s="293"/>
      <c r="CY82" s="86" t="s">
        <v>70</v>
      </c>
      <c r="CZ82" s="8">
        <v>0</v>
      </c>
      <c r="DA82" s="8">
        <v>0</v>
      </c>
      <c r="DB82" s="8">
        <v>-50009.675708333336</v>
      </c>
      <c r="DC82" s="8">
        <v>-50018.580514539419</v>
      </c>
      <c r="DD82" s="8">
        <v>-50027.964125290397</v>
      </c>
      <c r="DE82" s="8">
        <v>-50037.31401826565</v>
      </c>
      <c r="DF82" s="8">
        <v>-50045.722747188658</v>
      </c>
      <c r="DG82" s="8">
        <v>-50051.542605991701</v>
      </c>
      <c r="DH82" s="8">
        <v>-50060.09720710582</v>
      </c>
      <c r="DI82" s="8">
        <v>-50068.15825940884</v>
      </c>
      <c r="DJ82" s="8">
        <v>-203825.69328669127</v>
      </c>
      <c r="DK82" s="8">
        <v>-203882.51409088072</v>
      </c>
      <c r="DL82" s="8">
        <v>-203926.76747017252</v>
      </c>
      <c r="DM82" s="8">
        <v>-203966.609662367</v>
      </c>
      <c r="DN82" s="8">
        <v>-182716.23829184598</v>
      </c>
      <c r="DO82" s="8">
        <v>-165700.08606412422</v>
      </c>
      <c r="DP82" s="8">
        <v>-151265.40335460505</v>
      </c>
      <c r="DQ82" s="8">
        <v>-137082.44746614178</v>
      </c>
      <c r="DR82" s="8">
        <v>-119617.9478302854</v>
      </c>
      <c r="DS82" s="8">
        <v>-97391.963129864787</v>
      </c>
      <c r="DT82" s="8">
        <v>-76151.1091638457</v>
      </c>
      <c r="DU82" s="8">
        <v>-57277.12553929042</v>
      </c>
      <c r="DV82" s="8">
        <v>-42777.150392355426</v>
      </c>
      <c r="DW82" s="8">
        <v>-29142.800679348355</v>
      </c>
      <c r="DX82" s="8">
        <v>-10719.260306817912</v>
      </c>
    </row>
    <row r="83" spans="2:164" ht="15" x14ac:dyDescent="0.25">
      <c r="B83" t="s">
        <v>37</v>
      </c>
      <c r="C83" s="43">
        <v>99309923</v>
      </c>
      <c r="D83" s="43">
        <v>98876748</v>
      </c>
      <c r="E83" s="43">
        <v>96480454</v>
      </c>
      <c r="F83" s="43">
        <v>121526151</v>
      </c>
      <c r="G83" s="43">
        <v>113123855</v>
      </c>
      <c r="H83" s="43">
        <v>125262874</v>
      </c>
      <c r="I83" s="43">
        <v>126945040</v>
      </c>
      <c r="J83" s="109">
        <v>119752379</v>
      </c>
      <c r="O83" s="145"/>
      <c r="P83" s="138"/>
      <c r="Q83" s="124"/>
      <c r="R83" s="124"/>
      <c r="S83" s="124"/>
      <c r="T83" s="124"/>
      <c r="U83" s="124"/>
      <c r="V83" s="124"/>
      <c r="W83" s="124"/>
      <c r="X83" s="124"/>
      <c r="Y83" s="124"/>
      <c r="Z83" s="124"/>
      <c r="AA83" s="124"/>
      <c r="AB83" s="159"/>
      <c r="AC83" s="124"/>
      <c r="AD83" s="124"/>
      <c r="AE83" s="124"/>
      <c r="AF83" s="124"/>
      <c r="AG83" s="124"/>
      <c r="AH83" s="124"/>
      <c r="AI83" s="124"/>
      <c r="AJ83" s="124"/>
      <c r="AK83" s="3"/>
      <c r="CX83" s="40"/>
      <c r="CY83" s="11"/>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row>
    <row r="84" spans="2:164" s="1" customFormat="1" ht="15" x14ac:dyDescent="0.25">
      <c r="B84" s="33" t="s">
        <v>31</v>
      </c>
      <c r="C84" s="34">
        <f>SUM(C79:C83)</f>
        <v>2499758324</v>
      </c>
      <c r="D84" s="34">
        <f t="shared" ref="D84:J84" si="46">SUM(D79:D83)</f>
        <v>1985896392</v>
      </c>
      <c r="E84" s="34">
        <f t="shared" si="46"/>
        <v>1834449295</v>
      </c>
      <c r="F84" s="34">
        <f t="shared" si="46"/>
        <v>2235195660</v>
      </c>
      <c r="G84" s="34">
        <f t="shared" si="46"/>
        <v>2577497445</v>
      </c>
      <c r="H84" s="34">
        <f t="shared" si="46"/>
        <v>2692344190</v>
      </c>
      <c r="I84" s="34">
        <f t="shared" si="46"/>
        <v>2586049727</v>
      </c>
      <c r="J84" s="34">
        <f t="shared" si="46"/>
        <v>2259393157</v>
      </c>
      <c r="K84"/>
      <c r="L84"/>
      <c r="M84" s="149"/>
      <c r="N84" s="149"/>
      <c r="O84" s="55"/>
      <c r="P84" s="92"/>
      <c r="Q84" s="124"/>
      <c r="R84" s="124"/>
      <c r="S84" s="124"/>
      <c r="T84" s="124"/>
      <c r="U84" s="124"/>
      <c r="V84" s="124"/>
      <c r="W84" s="124"/>
      <c r="X84" s="124"/>
      <c r="Y84" s="124"/>
      <c r="Z84" s="124"/>
      <c r="AA84" s="124"/>
      <c r="AB84" s="159"/>
      <c r="AC84" s="124"/>
      <c r="AD84" s="124"/>
      <c r="AE84" s="124"/>
      <c r="AF84" s="124"/>
      <c r="AG84" s="124"/>
      <c r="AH84" s="124"/>
      <c r="AI84" s="124"/>
      <c r="AJ84" s="124"/>
      <c r="AK84" s="3"/>
      <c r="BF84" s="183"/>
      <c r="BY84" s="183"/>
      <c r="CW84" s="183"/>
      <c r="CX84" s="123"/>
      <c r="CY84" s="52"/>
      <c r="CZ84" s="7"/>
      <c r="DA84" s="7"/>
      <c r="DB84" s="7"/>
      <c r="DC84" s="7"/>
      <c r="DD84" s="7"/>
      <c r="DE84" s="7"/>
      <c r="DF84" s="7"/>
      <c r="DG84" s="7"/>
      <c r="DH84" s="7"/>
      <c r="DI84" s="113">
        <v>9481708.5997034572</v>
      </c>
      <c r="DJ84" s="7"/>
      <c r="DK84" s="7"/>
      <c r="DL84" s="7"/>
      <c r="DM84" s="7"/>
      <c r="DN84" s="211">
        <v>-172092.00566277982</v>
      </c>
      <c r="DO84" s="7"/>
      <c r="DP84" s="7"/>
      <c r="DQ84" s="7"/>
      <c r="DR84" s="7"/>
      <c r="DS84" s="7"/>
      <c r="DT84" s="113">
        <v>11747686.43</v>
      </c>
      <c r="DU84" s="7"/>
      <c r="DV84" s="113">
        <v>-197.32</v>
      </c>
      <c r="DW84" s="7"/>
      <c r="DX84" s="113">
        <v>10734309.9</v>
      </c>
      <c r="DY84" s="223"/>
      <c r="DZ84" s="223"/>
      <c r="EA84" s="183"/>
      <c r="FH84" s="183"/>
    </row>
    <row r="85" spans="2:164" s="1" customFormat="1" ht="15" customHeight="1" x14ac:dyDescent="0.25">
      <c r="B85"/>
      <c r="C85"/>
      <c r="D85"/>
      <c r="E85"/>
      <c r="F85"/>
      <c r="G85"/>
      <c r="H85"/>
      <c r="I85"/>
      <c r="J85"/>
      <c r="K85"/>
      <c r="L85"/>
      <c r="M85" s="149"/>
      <c r="N85" s="149"/>
      <c r="O85" s="147"/>
      <c r="P85" s="92"/>
      <c r="Q85" s="124"/>
      <c r="R85" s="124"/>
      <c r="S85" s="124"/>
      <c r="T85" s="124"/>
      <c r="U85" s="124"/>
      <c r="V85" s="124"/>
      <c r="W85" s="124"/>
      <c r="X85" s="124"/>
      <c r="Y85" s="124"/>
      <c r="Z85" s="124"/>
      <c r="AA85" s="124"/>
      <c r="AB85" s="159"/>
      <c r="AC85" s="124"/>
      <c r="AD85" s="124"/>
      <c r="AE85" s="124"/>
      <c r="AF85" s="124"/>
      <c r="AG85" s="124"/>
      <c r="AH85" s="124"/>
      <c r="AI85" s="124"/>
      <c r="AJ85" s="124"/>
      <c r="AK85" s="4"/>
      <c r="BF85" s="183"/>
      <c r="BY85" s="183"/>
      <c r="CW85" s="183"/>
      <c r="CX85" s="294" t="s">
        <v>81</v>
      </c>
      <c r="CY85" s="52" t="s">
        <v>72</v>
      </c>
      <c r="CZ85" s="60"/>
      <c r="DA85" s="60"/>
      <c r="DB85" s="118">
        <v>519948.38999999996</v>
      </c>
      <c r="DC85" s="60">
        <v>519948.38999999996</v>
      </c>
      <c r="DD85" s="60">
        <v>519948.38999999996</v>
      </c>
      <c r="DE85" s="60">
        <v>519948.38999999996</v>
      </c>
      <c r="DF85" s="60">
        <v>519948.38999999996</v>
      </c>
      <c r="DG85" s="60">
        <v>519948.38999999996</v>
      </c>
      <c r="DH85" s="60">
        <v>519948.38999999996</v>
      </c>
      <c r="DI85" s="60">
        <v>519948.38999999996</v>
      </c>
      <c r="DJ85" s="60">
        <v>519948.38999999996</v>
      </c>
      <c r="DK85" s="60">
        <v>519948.38999999996</v>
      </c>
      <c r="DL85" s="60">
        <v>519948.38999999996</v>
      </c>
      <c r="DM85" s="60">
        <v>519948.38999999996</v>
      </c>
      <c r="DN85" s="60">
        <v>788489.91666666663</v>
      </c>
      <c r="DO85" s="60">
        <v>788489.91666666663</v>
      </c>
      <c r="DP85" s="60">
        <v>788489.91666666663</v>
      </c>
      <c r="DQ85" s="60">
        <v>788489.91666666663</v>
      </c>
      <c r="DR85" s="60">
        <v>788489.91666666663</v>
      </c>
      <c r="DS85" s="60">
        <v>788489.91666666663</v>
      </c>
      <c r="DT85" s="60">
        <v>788489.91666666663</v>
      </c>
      <c r="DU85" s="60">
        <v>788489.91666666663</v>
      </c>
      <c r="DV85" s="60">
        <v>788489.91666666663</v>
      </c>
      <c r="DW85" s="60">
        <v>788489.91666666663</v>
      </c>
      <c r="DX85" s="60">
        <v>788489.91666666663</v>
      </c>
      <c r="DY85" s="223"/>
      <c r="DZ85" s="223"/>
      <c r="EA85" s="183"/>
      <c r="FH85" s="183"/>
    </row>
    <row r="86" spans="2:164" s="1" customFormat="1" ht="15" x14ac:dyDescent="0.25">
      <c r="B86" s="27" t="s">
        <v>40</v>
      </c>
      <c r="C86"/>
      <c r="D86"/>
      <c r="E86"/>
      <c r="F86"/>
      <c r="G86"/>
      <c r="H86"/>
      <c r="I86"/>
      <c r="J86"/>
      <c r="K86"/>
      <c r="L86"/>
      <c r="M86" s="149"/>
      <c r="N86" s="149"/>
      <c r="O86" s="147"/>
      <c r="P86" s="138"/>
      <c r="Q86" s="29"/>
      <c r="R86" s="29"/>
      <c r="S86" s="29"/>
      <c r="T86" s="124"/>
      <c r="U86" s="124"/>
      <c r="V86" s="124"/>
      <c r="W86" s="124"/>
      <c r="X86" s="124"/>
      <c r="Y86" s="124"/>
      <c r="Z86" s="124"/>
      <c r="AA86" s="124"/>
      <c r="AB86" s="159"/>
      <c r="AC86" s="124"/>
      <c r="AD86" s="124"/>
      <c r="AE86" s="124"/>
      <c r="AF86" s="124"/>
      <c r="AG86" s="124"/>
      <c r="AH86" s="137"/>
      <c r="AI86" s="124"/>
      <c r="AJ86" s="124"/>
      <c r="AK86" s="4"/>
      <c r="BF86" s="183"/>
      <c r="BY86" s="183"/>
      <c r="CW86" s="183"/>
      <c r="CX86" s="294"/>
      <c r="CY86" s="52" t="s">
        <v>73</v>
      </c>
      <c r="CZ86" s="22">
        <v>0</v>
      </c>
      <c r="DA86" s="22">
        <v>0</v>
      </c>
      <c r="DB86" s="22">
        <v>285104.73</v>
      </c>
      <c r="DC86" s="22">
        <v>522237.53</v>
      </c>
      <c r="DD86" s="22">
        <v>417802.47</v>
      </c>
      <c r="DE86" s="22">
        <v>410351.7</v>
      </c>
      <c r="DF86" s="22">
        <v>482532.64</v>
      </c>
      <c r="DG86" s="22">
        <v>608996.41</v>
      </c>
      <c r="DH86" s="22">
        <v>606777.69999999995</v>
      </c>
      <c r="DI86" s="22">
        <v>608116.79</v>
      </c>
      <c r="DJ86" s="22">
        <v>477518.56</v>
      </c>
      <c r="DK86" s="22">
        <v>427851.21</v>
      </c>
      <c r="DL86" s="22">
        <v>515247.16</v>
      </c>
      <c r="DM86" s="22">
        <v>600539.75</v>
      </c>
      <c r="DN86" s="22">
        <v>2037727.16</v>
      </c>
      <c r="DO86" s="22">
        <v>795668.03</v>
      </c>
      <c r="DP86" s="22">
        <v>562116.91</v>
      </c>
      <c r="DQ86" s="22">
        <v>655732.05000000005</v>
      </c>
      <c r="DR86" s="22">
        <v>784339.36</v>
      </c>
      <c r="DS86" s="22">
        <v>965777.55</v>
      </c>
      <c r="DT86" s="22">
        <v>941053.79</v>
      </c>
      <c r="DU86" s="22">
        <v>844973.28</v>
      </c>
      <c r="DV86" s="22">
        <v>672120.46</v>
      </c>
      <c r="DW86" s="22">
        <v>651071.71</v>
      </c>
      <c r="DX86" s="22">
        <v>829595.91</v>
      </c>
      <c r="DY86" s="223"/>
      <c r="DZ86" s="223"/>
      <c r="EA86" s="183"/>
      <c r="FH86" s="183"/>
    </row>
    <row r="87" spans="2:164" s="1" customFormat="1" ht="15" x14ac:dyDescent="0.25">
      <c r="B87" t="s">
        <v>33</v>
      </c>
      <c r="C87" s="45">
        <f t="shared" ref="C87:J87" si="47">C70+(C$75*(C79/C$84))</f>
        <v>0</v>
      </c>
      <c r="D87" s="45">
        <f t="shared" si="47"/>
        <v>3542.7066619947968</v>
      </c>
      <c r="E87" s="45">
        <f t="shared" si="47"/>
        <v>26593.748856903429</v>
      </c>
      <c r="F87" s="45">
        <f t="shared" si="47"/>
        <v>243363.92907678595</v>
      </c>
      <c r="G87" s="45">
        <f t="shared" si="47"/>
        <v>441129.8099540461</v>
      </c>
      <c r="H87" s="45">
        <f t="shared" si="47"/>
        <v>538094.32023088727</v>
      </c>
      <c r="I87" s="45">
        <f t="shared" si="47"/>
        <v>374963.26089269412</v>
      </c>
      <c r="J87" s="45">
        <f t="shared" si="47"/>
        <v>137835.66546242539</v>
      </c>
      <c r="K87"/>
      <c r="L87"/>
      <c r="M87" s="149"/>
      <c r="N87" s="149"/>
      <c r="O87" s="145"/>
      <c r="P87" s="138"/>
      <c r="Q87" s="133"/>
      <c r="R87" s="133"/>
      <c r="S87" s="133"/>
      <c r="T87" s="133"/>
      <c r="U87" s="133"/>
      <c r="V87" s="133"/>
      <c r="W87" s="133"/>
      <c r="X87" s="133"/>
      <c r="Y87" s="133"/>
      <c r="Z87" s="133"/>
      <c r="AA87" s="133"/>
      <c r="AB87" s="158"/>
      <c r="AC87" s="133"/>
      <c r="AD87" s="133"/>
      <c r="AE87" s="133"/>
      <c r="AF87" s="133"/>
      <c r="AG87" s="133"/>
      <c r="AH87" s="133"/>
      <c r="AI87" s="133"/>
      <c r="AJ87" s="133"/>
      <c r="AK87"/>
      <c r="BF87" s="183"/>
      <c r="BY87" s="183"/>
      <c r="CW87" s="183"/>
      <c r="CX87" s="294"/>
      <c r="CY87" s="52" t="s">
        <v>74</v>
      </c>
      <c r="CZ87" s="8" t="s">
        <v>129</v>
      </c>
      <c r="DA87" s="8" t="s">
        <v>129</v>
      </c>
      <c r="DB87" s="7">
        <v>234843.65999999997</v>
      </c>
      <c r="DC87" s="7">
        <v>-2289.1400000000722</v>
      </c>
      <c r="DD87" s="7">
        <v>102145.91999999998</v>
      </c>
      <c r="DE87" s="7">
        <v>109596.68999999994</v>
      </c>
      <c r="DF87" s="7">
        <v>37415.749999999942</v>
      </c>
      <c r="DG87" s="7">
        <v>-89048.020000000077</v>
      </c>
      <c r="DH87" s="7">
        <v>-86829.31</v>
      </c>
      <c r="DI87" s="7">
        <v>-88168.400000000081</v>
      </c>
      <c r="DJ87" s="7">
        <v>42429.829999999958</v>
      </c>
      <c r="DK87" s="7">
        <v>92097.179999999935</v>
      </c>
      <c r="DL87" s="7">
        <v>4701.2299999999814</v>
      </c>
      <c r="DM87" s="7">
        <v>-80591.360000000044</v>
      </c>
      <c r="DN87" s="7">
        <v>-1249237.2433333332</v>
      </c>
      <c r="DO87" s="7">
        <v>-7178.1133333334001</v>
      </c>
      <c r="DP87" s="7">
        <v>226373.0066666666</v>
      </c>
      <c r="DQ87" s="7">
        <v>132757.86666666658</v>
      </c>
      <c r="DR87" s="7">
        <v>4150.5566666666418</v>
      </c>
      <c r="DS87" s="7">
        <v>-177287.63333333342</v>
      </c>
      <c r="DT87" s="7">
        <v>-152563.87333333341</v>
      </c>
      <c r="DU87" s="7">
        <v>-56483.3633333334</v>
      </c>
      <c r="DV87" s="7">
        <v>116369.45666666667</v>
      </c>
      <c r="DW87" s="7">
        <v>137418.20666666667</v>
      </c>
      <c r="DX87" s="7">
        <v>-41105.993333333405</v>
      </c>
      <c r="DY87" s="223"/>
      <c r="DZ87" s="223"/>
      <c r="EA87" s="183"/>
      <c r="FH87" s="183"/>
    </row>
    <row r="88" spans="2:164" s="1" customFormat="1" ht="15" x14ac:dyDescent="0.25">
      <c r="B88" t="s">
        <v>34</v>
      </c>
      <c r="C88" s="45">
        <f t="shared" ref="C88:J91" si="48">C71+(C$75*(C80/C$84))</f>
        <v>0.34412602678174997</v>
      </c>
      <c r="D88" s="45">
        <f t="shared" si="48"/>
        <v>593.85341007321881</v>
      </c>
      <c r="E88" s="45">
        <f t="shared" si="48"/>
        <v>8368.5225960071712</v>
      </c>
      <c r="F88" s="45">
        <f t="shared" si="48"/>
        <v>23641.814181406706</v>
      </c>
      <c r="G88" s="45">
        <f t="shared" si="48"/>
        <v>47663.861231335664</v>
      </c>
      <c r="H88" s="45">
        <f t="shared" si="48"/>
        <v>53423.137293371561</v>
      </c>
      <c r="I88" s="45">
        <f t="shared" si="48"/>
        <v>71954.397236201956</v>
      </c>
      <c r="J88" s="45">
        <f t="shared" si="48"/>
        <v>61965.752554031846</v>
      </c>
      <c r="K88"/>
      <c r="L88"/>
      <c r="M88" s="149"/>
      <c r="N88" s="149"/>
      <c r="O88" s="145"/>
      <c r="P88" s="138"/>
      <c r="Q88" s="124"/>
      <c r="R88" s="124"/>
      <c r="S88" s="124"/>
      <c r="T88" s="124"/>
      <c r="U88" s="124"/>
      <c r="V88" s="124"/>
      <c r="W88" s="124"/>
      <c r="X88" s="124"/>
      <c r="Y88" s="124"/>
      <c r="Z88" s="124"/>
      <c r="AA88" s="124"/>
      <c r="AB88" s="159"/>
      <c r="AC88" s="124"/>
      <c r="AD88" s="124"/>
      <c r="AE88" s="124"/>
      <c r="AF88" s="124"/>
      <c r="AG88" s="124"/>
      <c r="AH88" s="124"/>
      <c r="AI88" s="124"/>
      <c r="AJ88" s="124"/>
      <c r="AK88"/>
      <c r="BF88" s="183"/>
      <c r="BY88" s="183"/>
      <c r="CW88" s="183"/>
      <c r="CX88" s="294"/>
      <c r="CY88" s="52" t="s">
        <v>4</v>
      </c>
      <c r="CZ88" s="61" t="s">
        <v>129</v>
      </c>
      <c r="DA88" s="61" t="s">
        <v>129</v>
      </c>
      <c r="DB88" s="61">
        <v>2.3221700000000001E-3</v>
      </c>
      <c r="DC88" s="61">
        <v>2.1367399999999998E-3</v>
      </c>
      <c r="DD88" s="61">
        <v>2.2512299999999999E-3</v>
      </c>
      <c r="DE88" s="61">
        <v>2.2427200000000001E-3</v>
      </c>
      <c r="DF88" s="61">
        <v>2.01659E-3</v>
      </c>
      <c r="DG88" s="61">
        <v>1.3954900000000001E-3</v>
      </c>
      <c r="DH88" s="61">
        <v>2.0509899999999999E-3</v>
      </c>
      <c r="DI88" s="61">
        <v>1.9323299999999999E-3</v>
      </c>
      <c r="DJ88" s="61">
        <v>1.5E-3</v>
      </c>
      <c r="DK88" s="61">
        <v>1.5320900000000001E-3</v>
      </c>
      <c r="DL88" s="61">
        <v>2.6046400000000001E-3</v>
      </c>
      <c r="DM88" s="61">
        <v>2.3444999999999998E-3</v>
      </c>
      <c r="DN88" s="61">
        <v>2.9584899999999998E-3</v>
      </c>
      <c r="DO88" s="61">
        <v>6.8829599999999996E-3</v>
      </c>
      <c r="DP88" s="61">
        <v>6.0041599999999997E-3</v>
      </c>
      <c r="DQ88" s="61">
        <v>9.4970499999999999E-3</v>
      </c>
      <c r="DR88" s="61">
        <v>1.4858659999999999E-2</v>
      </c>
      <c r="DS88" s="61">
        <v>2.0566899999999999E-2</v>
      </c>
      <c r="DT88" s="61">
        <v>2.564054E-2</v>
      </c>
      <c r="DU88" s="61">
        <v>2.8416960000000002E-2</v>
      </c>
      <c r="DV88" s="61">
        <v>3.4701200000000001E-2</v>
      </c>
      <c r="DW88" s="61">
        <v>4.286098E-2</v>
      </c>
      <c r="DX88" s="61">
        <v>4.617603E-2</v>
      </c>
      <c r="DY88" s="223"/>
      <c r="DZ88" s="223"/>
      <c r="EA88" s="183"/>
      <c r="FH88" s="183"/>
    </row>
    <row r="89" spans="2:164" s="1" customFormat="1" ht="15" x14ac:dyDescent="0.25">
      <c r="B89" t="s">
        <v>35</v>
      </c>
      <c r="C89" s="45">
        <f>C72+(C$75*(C81/C$84))</f>
        <v>0.38250960519337501</v>
      </c>
      <c r="D89" s="45">
        <f t="shared" si="48"/>
        <v>592.84700439506275</v>
      </c>
      <c r="E89" s="45">
        <f t="shared" si="48"/>
        <v>3788.6582603776305</v>
      </c>
      <c r="F89" s="45">
        <f t="shared" si="48"/>
        <v>18535.810544392894</v>
      </c>
      <c r="G89" s="45">
        <f>G72+(G$75*(G81/G$84))</f>
        <v>43757.113824202133</v>
      </c>
      <c r="H89" s="45">
        <f t="shared" si="48"/>
        <v>59086.939884825857</v>
      </c>
      <c r="I89" s="45">
        <f t="shared" si="48"/>
        <v>83744.849905232913</v>
      </c>
      <c r="J89" s="45">
        <f t="shared" si="48"/>
        <v>59946.023885732408</v>
      </c>
      <c r="K89"/>
      <c r="L89"/>
      <c r="M89" s="149"/>
      <c r="N89" s="149"/>
      <c r="O89" s="145"/>
      <c r="P89" s="138"/>
      <c r="Q89" s="124"/>
      <c r="R89" s="124"/>
      <c r="S89" s="124"/>
      <c r="T89" s="124"/>
      <c r="U89" s="124"/>
      <c r="V89" s="124"/>
      <c r="W89" s="124"/>
      <c r="X89" s="124"/>
      <c r="Y89" s="124"/>
      <c r="Z89" s="124"/>
      <c r="AA89" s="124"/>
      <c r="AB89" s="159"/>
      <c r="AC89" s="124"/>
      <c r="AD89" s="124"/>
      <c r="AE89" s="124"/>
      <c r="AF89" s="124"/>
      <c r="AG89" s="124"/>
      <c r="AH89" s="124"/>
      <c r="AI89" s="124"/>
      <c r="AJ89" s="124"/>
      <c r="AK89"/>
      <c r="BF89" s="183"/>
      <c r="BY89" s="183"/>
      <c r="CW89" s="183"/>
      <c r="CX89" s="294"/>
      <c r="CY89" s="52" t="s">
        <v>49</v>
      </c>
      <c r="CZ89" s="8"/>
      <c r="DA89" s="8"/>
      <c r="DB89" s="8">
        <v>45.445575161850002</v>
      </c>
      <c r="DC89" s="8">
        <v>41.417137536922588</v>
      </c>
      <c r="DD89" s="8">
        <v>62.806934957159051</v>
      </c>
      <c r="DE89" s="8">
        <v>83.064143875482543</v>
      </c>
      <c r="DF89" s="8">
        <v>80.99055877632199</v>
      </c>
      <c r="DG89" s="8">
        <v>45.699807056250876</v>
      </c>
      <c r="DH89" s="8">
        <v>52.333569170584276</v>
      </c>
      <c r="DI89" s="8">
        <v>35.116701313934492</v>
      </c>
      <c r="DJ89" s="8">
        <v>32.567981803481018</v>
      </c>
      <c r="DK89" s="8">
        <v>45.027308292983584</v>
      </c>
      <c r="DL89" s="8">
        <v>77.579171951312262</v>
      </c>
      <c r="DM89" s="8">
        <v>54.100525163113389</v>
      </c>
      <c r="DN89" s="8">
        <v>-277.20628046448553</v>
      </c>
      <c r="DO89" s="8">
        <v>-649.19972718297527</v>
      </c>
      <c r="DP89" s="8">
        <v>-453.37129213395292</v>
      </c>
      <c r="DQ89" s="8">
        <v>-612.40923602319651</v>
      </c>
      <c r="DR89" s="8">
        <v>-953.76711086387024</v>
      </c>
      <c r="DS89" s="8">
        <v>-1625.66451086953</v>
      </c>
      <c r="DT89" s="8">
        <v>-2356.1575967605281</v>
      </c>
      <c r="DU89" s="8">
        <v>-2750.6247615729239</v>
      </c>
      <c r="DV89" s="8">
        <v>-3030.3497534615949</v>
      </c>
      <c r="DW89" s="8">
        <v>-3262.918801641827</v>
      </c>
      <c r="DX89" s="8">
        <v>-3686.0184671585507</v>
      </c>
      <c r="DY89" s="88"/>
      <c r="DZ89" s="223"/>
      <c r="EA89" s="183"/>
      <c r="FH89" s="183"/>
    </row>
    <row r="90" spans="2:164" s="1" customFormat="1" ht="15" x14ac:dyDescent="0.25">
      <c r="B90" t="s">
        <v>36</v>
      </c>
      <c r="C90" s="45">
        <f t="shared" si="48"/>
        <v>0</v>
      </c>
      <c r="D90" s="45">
        <f t="shared" si="48"/>
        <v>10.498979963866001</v>
      </c>
      <c r="E90" s="45">
        <f t="shared" si="48"/>
        <v>1076.2976856366847</v>
      </c>
      <c r="F90" s="45">
        <f t="shared" si="48"/>
        <v>8208.8465748072213</v>
      </c>
      <c r="G90" s="45">
        <f t="shared" si="48"/>
        <v>17844.087336984448</v>
      </c>
      <c r="H90" s="45">
        <f t="shared" si="48"/>
        <v>19824.195520493558</v>
      </c>
      <c r="I90" s="45">
        <f t="shared" si="48"/>
        <v>22243.951069283008</v>
      </c>
      <c r="J90" s="45">
        <f t="shared" si="48"/>
        <v>14376.331615218623</v>
      </c>
      <c r="K90"/>
      <c r="L90"/>
      <c r="M90" s="149"/>
      <c r="N90" s="149"/>
      <c r="O90" s="145"/>
      <c r="P90" s="139"/>
      <c r="Q90" s="154"/>
      <c r="R90" s="154"/>
      <c r="S90" s="154"/>
      <c r="T90" s="181"/>
      <c r="U90" s="182"/>
      <c r="V90" s="148"/>
      <c r="W90" s="134"/>
      <c r="X90" s="134"/>
      <c r="Y90" s="134"/>
      <c r="Z90" s="134"/>
      <c r="AA90" s="134"/>
      <c r="AB90" s="160"/>
      <c r="AC90" s="134"/>
      <c r="AD90" s="134"/>
      <c r="AE90" s="134"/>
      <c r="AF90" s="134"/>
      <c r="AG90" s="134"/>
      <c r="AH90" s="134"/>
      <c r="AI90" s="134"/>
      <c r="AJ90" s="134"/>
      <c r="AK90"/>
      <c r="BF90" s="183"/>
      <c r="BY90" s="183"/>
      <c r="CW90" s="183"/>
      <c r="CX90" s="294"/>
      <c r="CY90" s="53" t="s">
        <v>6</v>
      </c>
      <c r="CZ90" s="8"/>
      <c r="DA90" s="8"/>
      <c r="DB90" s="8">
        <v>45.445575161850002</v>
      </c>
      <c r="DC90" s="8">
        <v>86.862712698772583</v>
      </c>
      <c r="DD90" s="8">
        <v>149.66964765593164</v>
      </c>
      <c r="DE90" s="8">
        <v>232.73379153141417</v>
      </c>
      <c r="DF90" s="8">
        <v>313.72435030773613</v>
      </c>
      <c r="DG90" s="8">
        <v>359.42415736398698</v>
      </c>
      <c r="DH90" s="8">
        <v>411.75772653457125</v>
      </c>
      <c r="DI90" s="8">
        <v>446.87442784850572</v>
      </c>
      <c r="DJ90" s="8">
        <v>479.44240965198674</v>
      </c>
      <c r="DK90" s="8">
        <v>524.46971794497028</v>
      </c>
      <c r="DL90" s="8">
        <v>602.0488898962825</v>
      </c>
      <c r="DM90" s="8">
        <v>656.14941505939589</v>
      </c>
      <c r="DN90" s="8">
        <v>378.94313459491036</v>
      </c>
      <c r="DO90" s="8">
        <v>-270.2565925880649</v>
      </c>
      <c r="DP90" s="8">
        <v>-723.62788472201782</v>
      </c>
      <c r="DQ90" s="8">
        <v>-1336.0371207452145</v>
      </c>
      <c r="DR90" s="8">
        <v>-2289.8042316090846</v>
      </c>
      <c r="DS90" s="8">
        <v>-3915.4687424786143</v>
      </c>
      <c r="DT90" s="8">
        <v>-6271.6263392391429</v>
      </c>
      <c r="DU90" s="8">
        <v>-9022.2511008120673</v>
      </c>
      <c r="DV90" s="8">
        <v>-12052.600854273662</v>
      </c>
      <c r="DW90" s="8">
        <v>-15315.519655915488</v>
      </c>
      <c r="DX90" s="8">
        <v>-19001.538123074039</v>
      </c>
      <c r="DY90" s="88">
        <f>'MEEIA 3 calcs'!AY90</f>
        <v>-19001.538123074039</v>
      </c>
      <c r="DZ90" s="225">
        <f>DX90-DY90</f>
        <v>0</v>
      </c>
      <c r="EA90" s="183"/>
      <c r="FH90" s="183"/>
    </row>
    <row r="91" spans="2:164" s="1" customFormat="1" ht="15" x14ac:dyDescent="0.25">
      <c r="B91" t="s">
        <v>37</v>
      </c>
      <c r="C91" s="45">
        <f t="shared" si="48"/>
        <v>0</v>
      </c>
      <c r="D91" s="45">
        <f t="shared" si="48"/>
        <v>0</v>
      </c>
      <c r="E91" s="45">
        <f t="shared" si="48"/>
        <v>178.04544936482247</v>
      </c>
      <c r="F91" s="45">
        <f t="shared" si="48"/>
        <v>661.15950808601849</v>
      </c>
      <c r="G91" s="45">
        <f t="shared" si="48"/>
        <v>877.99265710747466</v>
      </c>
      <c r="H91" s="45">
        <f t="shared" si="48"/>
        <v>967.48184726463296</v>
      </c>
      <c r="I91" s="45">
        <f t="shared" si="48"/>
        <v>1381.2114306574015</v>
      </c>
      <c r="J91" s="45">
        <f t="shared" si="48"/>
        <v>1095.1994877590121</v>
      </c>
      <c r="K91"/>
      <c r="L91"/>
      <c r="M91" s="149"/>
      <c r="N91" s="149"/>
      <c r="O91" s="145"/>
      <c r="P91" s="139"/>
      <c r="Q91" s="124"/>
      <c r="R91" s="124"/>
      <c r="S91" s="124"/>
      <c r="T91" s="124"/>
      <c r="U91" s="124"/>
      <c r="V91" s="124"/>
      <c r="W91" s="124"/>
      <c r="X91" s="124"/>
      <c r="Y91" s="124"/>
      <c r="Z91" s="124"/>
      <c r="AA91" s="124"/>
      <c r="AB91" s="159"/>
      <c r="AC91" s="124"/>
      <c r="AD91" s="124"/>
      <c r="AE91" s="124"/>
      <c r="AF91" s="124"/>
      <c r="AG91" s="124"/>
      <c r="AH91" s="124"/>
      <c r="AI91" s="124"/>
      <c r="AJ91" s="124"/>
      <c r="AK91"/>
      <c r="BF91" s="183"/>
      <c r="BY91" s="183"/>
      <c r="CW91" s="183"/>
      <c r="CX91" s="294"/>
      <c r="CY91" s="70" t="s">
        <v>75</v>
      </c>
      <c r="CZ91" s="8"/>
      <c r="DA91" s="8"/>
      <c r="DB91" s="8">
        <v>234889.10557516181</v>
      </c>
      <c r="DC91" s="8">
        <v>-2247.7228624631498</v>
      </c>
      <c r="DD91" s="8">
        <v>102208.72693495714</v>
      </c>
      <c r="DE91" s="8">
        <v>109679.75414387543</v>
      </c>
      <c r="DF91" s="8">
        <v>37496.740558776262</v>
      </c>
      <c r="DG91" s="8">
        <v>-89002.320192943822</v>
      </c>
      <c r="DH91" s="8">
        <v>-86776.976430829411</v>
      </c>
      <c r="DI91" s="8">
        <v>-88133.283298686147</v>
      </c>
      <c r="DJ91" s="8">
        <v>42462.397981803442</v>
      </c>
      <c r="DK91" s="8">
        <v>92142.207308292913</v>
      </c>
      <c r="DL91" s="8">
        <v>4778.809171951294</v>
      </c>
      <c r="DM91" s="8">
        <v>-80537.25947483693</v>
      </c>
      <c r="DN91" s="8">
        <v>-1249514.4496137977</v>
      </c>
      <c r="DO91" s="8">
        <v>-7827.3130605163751</v>
      </c>
      <c r="DP91" s="8">
        <v>225919.63537453263</v>
      </c>
      <c r="DQ91" s="8">
        <v>132145.45743064338</v>
      </c>
      <c r="DR91" s="8">
        <v>3196.7895558027717</v>
      </c>
      <c r="DS91" s="8">
        <v>-178913.29784420296</v>
      </c>
      <c r="DT91" s="8">
        <v>-154920.03093009393</v>
      </c>
      <c r="DU91" s="8">
        <v>-59233.988094906323</v>
      </c>
      <c r="DV91" s="8">
        <v>113339.10691320508</v>
      </c>
      <c r="DW91" s="8">
        <v>134155.28786502485</v>
      </c>
      <c r="DX91" s="8">
        <v>-44792.011800491957</v>
      </c>
      <c r="DY91" s="223"/>
      <c r="DZ91" s="223"/>
      <c r="EA91" s="183"/>
      <c r="FH91" s="183"/>
    </row>
    <row r="92" spans="2:164" s="1" customFormat="1" ht="15" x14ac:dyDescent="0.25">
      <c r="B92" s="33" t="s">
        <v>31</v>
      </c>
      <c r="C92" s="44">
        <f>SUM(C87:C91)</f>
        <v>0.72663563197512504</v>
      </c>
      <c r="D92" s="44">
        <f t="shared" ref="D92:J92" si="49">SUM(D87:D91)</f>
        <v>4739.9060564269448</v>
      </c>
      <c r="E92" s="44">
        <f t="shared" si="49"/>
        <v>40005.272848289744</v>
      </c>
      <c r="F92" s="44">
        <f t="shared" si="49"/>
        <v>294411.55988547887</v>
      </c>
      <c r="G92" s="44">
        <f t="shared" si="49"/>
        <v>551272.8650036758</v>
      </c>
      <c r="H92" s="44">
        <f t="shared" si="49"/>
        <v>671396.07477684296</v>
      </c>
      <c r="I92" s="44">
        <f t="shared" si="49"/>
        <v>554287.67053406942</v>
      </c>
      <c r="J92" s="44">
        <f t="shared" si="49"/>
        <v>275218.97300516727</v>
      </c>
      <c r="K92"/>
      <c r="L92"/>
      <c r="M92" s="149"/>
      <c r="N92" s="149"/>
      <c r="O92" s="145"/>
      <c r="P92" s="138"/>
      <c r="Q92" s="124"/>
      <c r="R92" s="124"/>
      <c r="S92" s="124"/>
      <c r="T92" s="124"/>
      <c r="U92" s="124"/>
      <c r="V92" s="124"/>
      <c r="W92" s="124"/>
      <c r="X92" s="124"/>
      <c r="Y92" s="124"/>
      <c r="Z92" s="124"/>
      <c r="AA92" s="124"/>
      <c r="AB92" s="159"/>
      <c r="AC92" s="124"/>
      <c r="AD92" s="124"/>
      <c r="AE92" s="124"/>
      <c r="AF92" s="124"/>
      <c r="AG92" s="124"/>
      <c r="AH92" s="124"/>
      <c r="AI92" s="124"/>
      <c r="AJ92" s="124"/>
      <c r="AK92"/>
      <c r="BF92" s="183"/>
      <c r="BY92" s="183"/>
      <c r="CW92" s="183"/>
      <c r="CX92" s="294"/>
      <c r="CY92" s="52" t="s">
        <v>76</v>
      </c>
      <c r="CZ92" s="8"/>
      <c r="DA92" s="8"/>
      <c r="DB92" s="8">
        <v>234889.10557516181</v>
      </c>
      <c r="DC92" s="8">
        <v>232641.38271269866</v>
      </c>
      <c r="DD92" s="8">
        <v>334850.1096476558</v>
      </c>
      <c r="DE92" s="8">
        <v>444529.86379153124</v>
      </c>
      <c r="DF92" s="8">
        <v>482026.60435030749</v>
      </c>
      <c r="DG92" s="8">
        <v>393024.2841573637</v>
      </c>
      <c r="DH92" s="8">
        <v>306247.30772653432</v>
      </c>
      <c r="DI92" s="8">
        <v>218114.02442784817</v>
      </c>
      <c r="DJ92" s="8">
        <v>260576.42240965163</v>
      </c>
      <c r="DK92" s="8">
        <v>352718.62971794454</v>
      </c>
      <c r="DL92" s="8">
        <v>357497.43888989586</v>
      </c>
      <c r="DM92" s="8">
        <v>276960.17941505893</v>
      </c>
      <c r="DN92" s="8">
        <v>-1124660.0385948638</v>
      </c>
      <c r="DO92" s="8">
        <v>-1132487.3516553803</v>
      </c>
      <c r="DP92" s="8">
        <v>-906567.71628084767</v>
      </c>
      <c r="DQ92" s="8">
        <v>-774422.25885020429</v>
      </c>
      <c r="DR92" s="8">
        <v>-771225.46929440147</v>
      </c>
      <c r="DS92" s="8">
        <v>-950138.76713860442</v>
      </c>
      <c r="DT92" s="8">
        <v>-1105058.7980686983</v>
      </c>
      <c r="DU92" s="8">
        <v>-1164292.7861636046</v>
      </c>
      <c r="DV92" s="8">
        <v>-1050953.6792503996</v>
      </c>
      <c r="DW92" s="8">
        <v>-916798.39138537471</v>
      </c>
      <c r="DX92" s="8">
        <v>-961590.40318586666</v>
      </c>
      <c r="DY92" s="223"/>
      <c r="DZ92" s="223"/>
      <c r="EA92" s="183"/>
      <c r="FH92" s="183"/>
    </row>
    <row r="93" spans="2:164" s="1" customFormat="1" ht="15" x14ac:dyDescent="0.25">
      <c r="C93"/>
      <c r="D93"/>
      <c r="E93"/>
      <c r="F93"/>
      <c r="G93"/>
      <c r="H93"/>
      <c r="I93"/>
      <c r="J93"/>
      <c r="K93"/>
      <c r="L93"/>
      <c r="M93" s="149"/>
      <c r="N93" s="149"/>
      <c r="O93" s="145"/>
      <c r="P93" s="92"/>
      <c r="Q93" s="124"/>
      <c r="R93" s="124"/>
      <c r="S93" s="124"/>
      <c r="T93" s="124"/>
      <c r="U93" s="124"/>
      <c r="V93" s="124"/>
      <c r="W93" s="124"/>
      <c r="X93" s="124"/>
      <c r="Y93" s="124"/>
      <c r="Z93" s="124"/>
      <c r="AA93" s="124"/>
      <c r="AB93" s="159"/>
      <c r="AC93" s="124"/>
      <c r="AD93" s="124"/>
      <c r="AE93" s="124"/>
      <c r="AF93" s="124"/>
      <c r="AG93" s="124"/>
      <c r="AH93" s="124"/>
      <c r="AI93" s="124"/>
      <c r="AJ93" s="124"/>
      <c r="AK93"/>
      <c r="BF93" s="183"/>
      <c r="BY93" s="183"/>
      <c r="CW93" s="183"/>
      <c r="CX93" s="294"/>
      <c r="CY93" s="54" t="s">
        <v>77</v>
      </c>
      <c r="CZ93" s="8">
        <v>6239381</v>
      </c>
      <c r="DA93" s="8">
        <v>6239381</v>
      </c>
      <c r="DB93" s="8">
        <v>5954321.7155751614</v>
      </c>
      <c r="DC93" s="8">
        <v>5432125.6027126983</v>
      </c>
      <c r="DD93" s="8">
        <v>5014385.9396476559</v>
      </c>
      <c r="DE93" s="8">
        <v>4604117.3037915314</v>
      </c>
      <c r="DF93" s="8">
        <v>4121665.6543503078</v>
      </c>
      <c r="DG93" s="8">
        <v>3512714.9441573638</v>
      </c>
      <c r="DH93" s="8">
        <v>2905989.5777265341</v>
      </c>
      <c r="DI93" s="8">
        <v>11779616.504131306</v>
      </c>
      <c r="DJ93" s="8">
        <v>11302130.512113109</v>
      </c>
      <c r="DK93" s="8">
        <v>10874324.329421401</v>
      </c>
      <c r="DL93" s="8">
        <v>10359154.748593353</v>
      </c>
      <c r="DM93" s="8">
        <v>9758669.0991185158</v>
      </c>
      <c r="DN93" s="8">
        <v>7548572.7271752711</v>
      </c>
      <c r="DO93" s="8">
        <v>6752255.4974480877</v>
      </c>
      <c r="DP93" s="8">
        <v>6189685.2161559537</v>
      </c>
      <c r="DQ93" s="8">
        <v>5533340.7569199307</v>
      </c>
      <c r="DR93" s="8">
        <v>4748047.6298090667</v>
      </c>
      <c r="DS93" s="8">
        <v>3780644.4152981974</v>
      </c>
      <c r="DT93" s="8">
        <v>14584920.897701437</v>
      </c>
      <c r="DU93" s="8">
        <v>13737196.992939865</v>
      </c>
      <c r="DV93" s="8">
        <v>13061848.863186404</v>
      </c>
      <c r="DW93" s="8">
        <v>12407514.234384762</v>
      </c>
      <c r="DX93" s="8">
        <v>22308542.205917604</v>
      </c>
      <c r="DY93" s="223"/>
      <c r="DZ93" s="223"/>
      <c r="EA93" s="183"/>
      <c r="FH93" s="183"/>
    </row>
    <row r="94" spans="2:164" s="1" customFormat="1" ht="15" x14ac:dyDescent="0.25">
      <c r="C94"/>
      <c r="D94"/>
      <c r="E94"/>
      <c r="F94"/>
      <c r="G94"/>
      <c r="H94"/>
      <c r="I94"/>
      <c r="J94"/>
      <c r="K94"/>
      <c r="L94"/>
      <c r="M94" s="149"/>
      <c r="N94" s="149"/>
      <c r="O94" s="145"/>
      <c r="P94" s="138"/>
      <c r="Q94" s="124"/>
      <c r="R94" s="124"/>
      <c r="S94" s="124"/>
      <c r="T94" s="124"/>
      <c r="U94" s="124"/>
      <c r="V94" s="124"/>
      <c r="W94" s="124"/>
      <c r="X94" s="124"/>
      <c r="Y94" s="124"/>
      <c r="Z94" s="124"/>
      <c r="AA94" s="124"/>
      <c r="AB94" s="159"/>
      <c r="AC94" s="124"/>
      <c r="AD94" s="124"/>
      <c r="AE94" s="124"/>
      <c r="AF94" s="124"/>
      <c r="AG94" s="124"/>
      <c r="AH94" s="124"/>
      <c r="AI94" s="124"/>
      <c r="AJ94" s="124"/>
      <c r="AK94"/>
      <c r="BF94" s="183"/>
      <c r="BY94" s="183"/>
      <c r="CW94" s="183"/>
      <c r="CX94" s="40"/>
      <c r="CY94" s="11"/>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223"/>
      <c r="DZ94" s="223"/>
      <c r="EA94" s="183"/>
      <c r="FH94" s="183"/>
    </row>
    <row r="95" spans="2:164" s="1" customFormat="1" ht="15" x14ac:dyDescent="0.25">
      <c r="C95"/>
      <c r="D95"/>
      <c r="E95"/>
      <c r="F95"/>
      <c r="G95"/>
      <c r="H95"/>
      <c r="I95"/>
      <c r="J95"/>
      <c r="K95"/>
      <c r="L95"/>
      <c r="M95" s="149"/>
      <c r="N95" s="149"/>
      <c r="O95" s="145"/>
      <c r="P95" s="92"/>
      <c r="Q95" s="124"/>
      <c r="R95" s="124"/>
      <c r="S95" s="124"/>
      <c r="T95" s="124"/>
      <c r="U95" s="124"/>
      <c r="V95" s="124"/>
      <c r="W95" s="124"/>
      <c r="X95" s="124"/>
      <c r="Y95" s="124"/>
      <c r="Z95" s="124"/>
      <c r="AA95" s="124"/>
      <c r="AB95" s="159"/>
      <c r="AC95" s="124"/>
      <c r="AD95" s="124"/>
      <c r="AE95" s="124"/>
      <c r="AF95" s="124"/>
      <c r="AG95" s="124"/>
      <c r="AH95" s="124"/>
      <c r="AI95" s="124"/>
      <c r="AJ95" s="124"/>
      <c r="AK95"/>
      <c r="BF95" s="183"/>
      <c r="BY95" s="183"/>
      <c r="CW95" s="183"/>
      <c r="DY95" s="223"/>
      <c r="DZ95" s="223"/>
      <c r="EA95" s="183"/>
      <c r="FH95" s="183"/>
    </row>
    <row r="96" spans="2:164" s="1" customFormat="1" ht="15" x14ac:dyDescent="0.25">
      <c r="C96"/>
      <c r="D96"/>
      <c r="E96"/>
      <c r="F96"/>
      <c r="G96"/>
      <c r="H96"/>
      <c r="I96"/>
      <c r="J96"/>
      <c r="K96"/>
      <c r="L96"/>
      <c r="M96" s="149"/>
      <c r="N96" s="149"/>
      <c r="O96" s="147"/>
      <c r="P96" s="92"/>
      <c r="Q96" s="124"/>
      <c r="R96" s="124"/>
      <c r="S96" s="124"/>
      <c r="T96" s="124"/>
      <c r="U96" s="124"/>
      <c r="V96" s="124"/>
      <c r="W96" s="124"/>
      <c r="X96" s="124"/>
      <c r="Y96" s="124"/>
      <c r="Z96" s="124"/>
      <c r="AA96" s="124"/>
      <c r="AB96" s="159"/>
      <c r="AC96" s="124"/>
      <c r="AD96" s="124"/>
      <c r="AE96" s="124"/>
      <c r="AF96" s="124"/>
      <c r="AG96" s="124"/>
      <c r="AH96" s="124"/>
      <c r="AI96" s="124"/>
      <c r="AJ96" s="124"/>
      <c r="AK96" s="4"/>
      <c r="BF96" s="183"/>
      <c r="BY96" s="183"/>
      <c r="CW96" s="183"/>
      <c r="DY96" s="223"/>
      <c r="DZ96" s="223"/>
      <c r="EA96" s="183"/>
      <c r="FH96" s="183"/>
    </row>
    <row r="97" spans="3:164" s="1" customFormat="1" ht="15" x14ac:dyDescent="0.25">
      <c r="C97"/>
      <c r="D97"/>
      <c r="E97"/>
      <c r="F97"/>
      <c r="G97"/>
      <c r="H97"/>
      <c r="I97"/>
      <c r="J97"/>
      <c r="K97"/>
      <c r="L97"/>
      <c r="M97" s="149"/>
      <c r="N97" s="149"/>
      <c r="O97"/>
      <c r="P97"/>
      <c r="AB97" s="156"/>
      <c r="BF97" s="183"/>
      <c r="BY97" s="183"/>
      <c r="CW97" s="183"/>
      <c r="DY97" s="223"/>
      <c r="DZ97" s="223"/>
      <c r="EA97" s="183"/>
      <c r="FH97" s="183"/>
    </row>
    <row r="98" spans="3:164" s="1" customFormat="1" ht="15" x14ac:dyDescent="0.25">
      <c r="C98"/>
      <c r="D98"/>
      <c r="E98"/>
      <c r="F98"/>
      <c r="G98"/>
      <c r="H98"/>
      <c r="I98"/>
      <c r="J98"/>
      <c r="K98"/>
      <c r="L98"/>
      <c r="M98" s="149"/>
      <c r="N98" s="149"/>
      <c r="O98"/>
      <c r="P98"/>
      <c r="AB98" s="156"/>
      <c r="BF98" s="183"/>
      <c r="BY98" s="183"/>
      <c r="CW98" s="183"/>
      <c r="DY98" s="223"/>
      <c r="DZ98" s="223"/>
      <c r="EA98" s="183"/>
      <c r="FH98" s="183"/>
    </row>
    <row r="99" spans="3:164" s="1" customFormat="1" ht="15" x14ac:dyDescent="0.25">
      <c r="C99"/>
      <c r="D99"/>
      <c r="E99"/>
      <c r="F99"/>
      <c r="G99"/>
      <c r="H99"/>
      <c r="I99"/>
      <c r="J99"/>
      <c r="K99"/>
      <c r="L99"/>
      <c r="M99" s="149"/>
      <c r="N99" s="149"/>
      <c r="O99"/>
      <c r="P99"/>
      <c r="AB99" s="156"/>
      <c r="BF99" s="183"/>
      <c r="BY99" s="183"/>
      <c r="CW99" s="183"/>
      <c r="DY99" s="223"/>
      <c r="DZ99" s="223"/>
      <c r="EA99" s="183"/>
      <c r="FH99" s="183"/>
    </row>
    <row r="100" spans="3:164" s="1" customFormat="1" ht="15" x14ac:dyDescent="0.25">
      <c r="C100"/>
      <c r="D100"/>
      <c r="E100"/>
      <c r="F100"/>
      <c r="G100"/>
      <c r="H100"/>
      <c r="I100"/>
      <c r="J100"/>
      <c r="K100"/>
      <c r="L100"/>
      <c r="M100" s="149"/>
      <c r="N100" s="149"/>
      <c r="O100"/>
      <c r="P100"/>
      <c r="AB100" s="156"/>
      <c r="BF100" s="183"/>
      <c r="BY100" s="183"/>
      <c r="CW100" s="183"/>
      <c r="DY100" s="223"/>
      <c r="DZ100" s="223"/>
      <c r="EA100" s="183"/>
      <c r="FH100" s="183"/>
    </row>
    <row r="101" spans="3:164" s="1" customFormat="1" ht="15" x14ac:dyDescent="0.25">
      <c r="C101"/>
      <c r="D101"/>
      <c r="E101"/>
      <c r="F101"/>
      <c r="G101"/>
      <c r="H101"/>
      <c r="I101"/>
      <c r="J101"/>
      <c r="K101"/>
      <c r="L101"/>
      <c r="M101" s="149"/>
      <c r="N101" s="149"/>
      <c r="O101"/>
      <c r="P101"/>
      <c r="AB101" s="156"/>
      <c r="BF101" s="183"/>
      <c r="BY101" s="183"/>
      <c r="CW101" s="183"/>
      <c r="DY101" s="223"/>
      <c r="DZ101" s="223"/>
      <c r="EA101" s="183"/>
      <c r="FH101" s="183"/>
    </row>
    <row r="102" spans="3:164" s="1" customFormat="1" ht="15" x14ac:dyDescent="0.25">
      <c r="C102"/>
      <c r="D102"/>
      <c r="E102"/>
      <c r="F102"/>
      <c r="G102"/>
      <c r="H102"/>
      <c r="I102"/>
      <c r="J102"/>
      <c r="K102"/>
      <c r="L102"/>
      <c r="M102" s="149"/>
      <c r="N102" s="149"/>
      <c r="O102"/>
      <c r="P102"/>
      <c r="AB102" s="156"/>
      <c r="BF102" s="183"/>
      <c r="BY102" s="183"/>
      <c r="CW102" s="183"/>
      <c r="DY102" s="223"/>
      <c r="DZ102" s="223"/>
      <c r="EA102" s="183"/>
      <c r="FH102" s="183"/>
    </row>
    <row r="103" spans="3:164" s="1" customFormat="1" ht="15" x14ac:dyDescent="0.25">
      <c r="C103"/>
      <c r="D103"/>
      <c r="E103"/>
      <c r="F103"/>
      <c r="G103"/>
      <c r="H103"/>
      <c r="I103"/>
      <c r="J103"/>
      <c r="K103"/>
      <c r="L103"/>
      <c r="M103" s="149"/>
      <c r="N103" s="149"/>
      <c r="O103"/>
      <c r="P103"/>
      <c r="AB103" s="156"/>
      <c r="BF103" s="183"/>
      <c r="BY103" s="183"/>
      <c r="CW103" s="183"/>
      <c r="DY103" s="223"/>
      <c r="DZ103" s="223"/>
      <c r="EA103" s="183"/>
      <c r="FH103" s="183"/>
    </row>
    <row r="104" spans="3:164" s="1" customFormat="1" ht="15" x14ac:dyDescent="0.25">
      <c r="C104"/>
      <c r="D104"/>
      <c r="E104"/>
      <c r="F104"/>
      <c r="G104"/>
      <c r="H104"/>
      <c r="I104"/>
      <c r="J104"/>
      <c r="K104"/>
      <c r="L104"/>
      <c r="M104" s="149"/>
      <c r="N104" s="149"/>
      <c r="O104"/>
      <c r="P104"/>
      <c r="AB104" s="156"/>
      <c r="BF104" s="183"/>
      <c r="BY104" s="183"/>
      <c r="CW104" s="183"/>
      <c r="DY104" s="223"/>
      <c r="DZ104" s="223"/>
      <c r="EA104" s="183"/>
      <c r="FH104" s="183"/>
    </row>
    <row r="105" spans="3:164" s="1" customFormat="1" ht="15" x14ac:dyDescent="0.25">
      <c r="C105"/>
      <c r="D105"/>
      <c r="E105"/>
      <c r="F105"/>
      <c r="G105"/>
      <c r="H105"/>
      <c r="I105"/>
      <c r="J105"/>
      <c r="K105"/>
      <c r="L105"/>
      <c r="M105" s="149"/>
      <c r="N105" s="149"/>
      <c r="O105"/>
      <c r="P105"/>
      <c r="AB105" s="156"/>
      <c r="BF105" s="183"/>
      <c r="BY105" s="183"/>
      <c r="CW105" s="183"/>
      <c r="DY105" s="223"/>
      <c r="DZ105" s="223"/>
      <c r="EA105" s="183"/>
      <c r="FH105" s="183"/>
    </row>
    <row r="106" spans="3:164" s="1" customFormat="1" ht="15" x14ac:dyDescent="0.25">
      <c r="C106"/>
      <c r="D106"/>
      <c r="E106"/>
      <c r="F106"/>
      <c r="G106"/>
      <c r="H106"/>
      <c r="I106"/>
      <c r="J106"/>
      <c r="K106"/>
      <c r="L106"/>
      <c r="M106" s="149"/>
      <c r="N106" s="149"/>
      <c r="O106"/>
      <c r="P106"/>
      <c r="AB106" s="156"/>
      <c r="BF106" s="183"/>
      <c r="BY106" s="183"/>
      <c r="CW106" s="183"/>
      <c r="DY106" s="223"/>
      <c r="DZ106" s="223"/>
      <c r="EA106" s="183"/>
      <c r="FH106" s="183"/>
    </row>
    <row r="107" spans="3:164" s="1" customFormat="1" ht="15" x14ac:dyDescent="0.25">
      <c r="C107"/>
      <c r="D107"/>
      <c r="E107"/>
      <c r="F107"/>
      <c r="G107"/>
      <c r="H107"/>
      <c r="I107"/>
      <c r="J107"/>
      <c r="K107"/>
      <c r="L107"/>
      <c r="M107" s="149"/>
      <c r="N107" s="149"/>
      <c r="O107"/>
      <c r="P107"/>
      <c r="AB107" s="156"/>
      <c r="BF107" s="183"/>
      <c r="BY107" s="183"/>
      <c r="CW107" s="183"/>
      <c r="DY107" s="223"/>
      <c r="DZ107" s="223"/>
      <c r="EA107" s="183"/>
      <c r="FH107" s="183"/>
    </row>
    <row r="108" spans="3:164" s="1" customFormat="1" ht="15" x14ac:dyDescent="0.25">
      <c r="C108"/>
      <c r="D108"/>
      <c r="E108"/>
      <c r="F108"/>
      <c r="G108"/>
      <c r="H108"/>
      <c r="I108"/>
      <c r="J108"/>
      <c r="K108"/>
      <c r="L108"/>
      <c r="M108" s="149"/>
      <c r="N108" s="149"/>
      <c r="O108"/>
      <c r="P108"/>
      <c r="AB108" s="156"/>
      <c r="BF108" s="183"/>
      <c r="BY108" s="183"/>
      <c r="CW108" s="183"/>
      <c r="DY108" s="223"/>
      <c r="DZ108" s="223"/>
      <c r="EA108" s="183"/>
      <c r="FH108" s="183"/>
    </row>
    <row r="109" spans="3:164" s="1" customFormat="1" ht="15" x14ac:dyDescent="0.25">
      <c r="C109"/>
      <c r="D109"/>
      <c r="E109"/>
      <c r="F109"/>
      <c r="G109"/>
      <c r="H109"/>
      <c r="I109"/>
      <c r="J109"/>
      <c r="K109"/>
      <c r="L109"/>
      <c r="M109" s="149"/>
      <c r="N109" s="149"/>
      <c r="O109"/>
      <c r="P109"/>
      <c r="AB109" s="156"/>
      <c r="BF109" s="183"/>
      <c r="BY109" s="183"/>
      <c r="CW109" s="183"/>
      <c r="DY109" s="223"/>
      <c r="DZ109" s="223"/>
      <c r="EA109" s="183"/>
      <c r="FH109" s="183"/>
    </row>
    <row r="110" spans="3:164" s="1" customFormat="1" ht="15" x14ac:dyDescent="0.25">
      <c r="C110"/>
      <c r="D110"/>
      <c r="E110"/>
      <c r="F110"/>
      <c r="G110"/>
      <c r="H110"/>
      <c r="I110"/>
      <c r="J110"/>
      <c r="K110"/>
      <c r="L110"/>
      <c r="M110" s="149"/>
      <c r="N110" s="149"/>
      <c r="O110"/>
      <c r="P110"/>
      <c r="AB110" s="156"/>
      <c r="BF110" s="183"/>
      <c r="BY110" s="183"/>
      <c r="CW110" s="183"/>
      <c r="DY110" s="223"/>
      <c r="DZ110" s="223"/>
      <c r="EA110" s="183"/>
      <c r="FH110" s="183"/>
    </row>
    <row r="111" spans="3:164" s="1" customFormat="1" ht="15" x14ac:dyDescent="0.25">
      <c r="C111"/>
      <c r="D111"/>
      <c r="E111"/>
      <c r="F111"/>
      <c r="G111"/>
      <c r="H111"/>
      <c r="I111"/>
      <c r="J111"/>
      <c r="K111"/>
      <c r="L111"/>
      <c r="M111" s="149"/>
      <c r="N111" s="149"/>
      <c r="O111"/>
      <c r="P111"/>
      <c r="AB111" s="156"/>
      <c r="BF111" s="183"/>
      <c r="BY111" s="183"/>
      <c r="CW111" s="183"/>
      <c r="DY111" s="223"/>
      <c r="DZ111" s="223"/>
      <c r="EA111" s="183"/>
      <c r="FH111" s="183"/>
    </row>
    <row r="112" spans="3:164" s="1" customFormat="1" ht="15" x14ac:dyDescent="0.25">
      <c r="C112"/>
      <c r="D112"/>
      <c r="E112"/>
      <c r="F112"/>
      <c r="G112"/>
      <c r="H112"/>
      <c r="I112"/>
      <c r="J112"/>
      <c r="K112"/>
      <c r="L112"/>
      <c r="M112" s="149"/>
      <c r="N112" s="149"/>
      <c r="O112"/>
      <c r="P112"/>
      <c r="AB112" s="156"/>
      <c r="BF112" s="183"/>
      <c r="BY112" s="183"/>
      <c r="CW112" s="183"/>
      <c r="DY112" s="223"/>
      <c r="DZ112" s="223"/>
      <c r="EA112" s="183"/>
      <c r="FH112" s="183"/>
    </row>
    <row r="113" spans="3:164" s="1" customFormat="1" ht="15" x14ac:dyDescent="0.25">
      <c r="C113"/>
      <c r="D113"/>
      <c r="E113"/>
      <c r="F113"/>
      <c r="G113"/>
      <c r="H113"/>
      <c r="I113"/>
      <c r="J113"/>
      <c r="K113"/>
      <c r="L113"/>
      <c r="M113" s="149"/>
      <c r="N113" s="149"/>
      <c r="O113"/>
      <c r="P113"/>
      <c r="AB113" s="156"/>
      <c r="BF113" s="183"/>
      <c r="BY113" s="183"/>
      <c r="CW113" s="183"/>
      <c r="DY113" s="223"/>
      <c r="DZ113" s="223"/>
      <c r="EA113" s="183"/>
      <c r="FH113" s="183"/>
    </row>
    <row r="114" spans="3:164" s="1" customFormat="1" ht="15" x14ac:dyDescent="0.25">
      <c r="C114"/>
      <c r="D114"/>
      <c r="E114"/>
      <c r="F114"/>
      <c r="G114"/>
      <c r="H114"/>
      <c r="I114"/>
      <c r="J114"/>
      <c r="K114"/>
      <c r="L114"/>
      <c r="M114" s="149"/>
      <c r="N114" s="149"/>
      <c r="O114"/>
      <c r="P114"/>
      <c r="AB114" s="156"/>
      <c r="BF114" s="183"/>
      <c r="BY114" s="183"/>
      <c r="CW114" s="183"/>
      <c r="DY114" s="223"/>
      <c r="DZ114" s="223"/>
      <c r="EA114" s="183"/>
      <c r="FH114" s="183"/>
    </row>
    <row r="115" spans="3:164" s="1" customFormat="1" ht="15" x14ac:dyDescent="0.25">
      <c r="C115"/>
      <c r="D115"/>
      <c r="E115"/>
      <c r="F115"/>
      <c r="G115"/>
      <c r="H115"/>
      <c r="I115"/>
      <c r="J115"/>
      <c r="K115"/>
      <c r="L115"/>
      <c r="M115" s="149"/>
      <c r="N115" s="149"/>
      <c r="O115"/>
      <c r="P115"/>
      <c r="AB115" s="156"/>
      <c r="BF115" s="183"/>
      <c r="BY115" s="183"/>
      <c r="CW115" s="183"/>
      <c r="DY115" s="223"/>
      <c r="DZ115" s="223"/>
      <c r="EA115" s="183"/>
      <c r="FH115" s="183"/>
    </row>
    <row r="116" spans="3:164" s="1" customFormat="1" ht="15" x14ac:dyDescent="0.25">
      <c r="C116"/>
      <c r="D116"/>
      <c r="E116"/>
      <c r="F116"/>
      <c r="G116"/>
      <c r="H116"/>
      <c r="I116"/>
      <c r="J116"/>
      <c r="K116"/>
      <c r="L116"/>
      <c r="M116" s="149"/>
      <c r="N116" s="149"/>
      <c r="O116"/>
      <c r="P116"/>
      <c r="AB116" s="156"/>
      <c r="BF116" s="183"/>
      <c r="BY116" s="183"/>
      <c r="CW116" s="183"/>
      <c r="DY116" s="223"/>
      <c r="DZ116" s="223"/>
      <c r="EA116" s="183"/>
      <c r="FH116" s="183"/>
    </row>
    <row r="117" spans="3:164" s="1" customFormat="1" ht="15" x14ac:dyDescent="0.25">
      <c r="C117"/>
      <c r="D117"/>
      <c r="E117"/>
      <c r="F117"/>
      <c r="G117"/>
      <c r="H117"/>
      <c r="I117"/>
      <c r="J117"/>
      <c r="K117"/>
      <c r="L117"/>
      <c r="M117" s="149"/>
      <c r="N117" s="149"/>
      <c r="O117"/>
      <c r="P117"/>
      <c r="AB117" s="156"/>
      <c r="BF117" s="183"/>
      <c r="BY117" s="183"/>
      <c r="CW117" s="183"/>
      <c r="DY117" s="223"/>
      <c r="DZ117" s="223"/>
      <c r="EA117" s="183"/>
      <c r="FH117" s="183"/>
    </row>
    <row r="118" spans="3:164" s="1" customFormat="1" ht="15" x14ac:dyDescent="0.25">
      <c r="C118"/>
      <c r="D118"/>
      <c r="E118"/>
      <c r="F118"/>
      <c r="G118"/>
      <c r="H118"/>
      <c r="I118"/>
      <c r="J118"/>
      <c r="K118"/>
      <c r="L118"/>
      <c r="M118" s="149"/>
      <c r="N118" s="149"/>
      <c r="O118"/>
      <c r="P118"/>
      <c r="AB118" s="156"/>
      <c r="BF118" s="183"/>
      <c r="BY118" s="183"/>
      <c r="CW118" s="183"/>
      <c r="DY118" s="223"/>
      <c r="DZ118" s="223"/>
      <c r="EA118" s="183"/>
      <c r="FH118" s="183"/>
    </row>
    <row r="119" spans="3:164" s="1" customFormat="1" ht="15" x14ac:dyDescent="0.25">
      <c r="C119"/>
      <c r="D119"/>
      <c r="E119"/>
      <c r="F119"/>
      <c r="G119"/>
      <c r="H119"/>
      <c r="I119"/>
      <c r="J119"/>
      <c r="K119"/>
      <c r="L119"/>
      <c r="M119" s="149"/>
      <c r="N119" s="149"/>
      <c r="O119"/>
      <c r="P119"/>
      <c r="AB119" s="156"/>
      <c r="BF119" s="183"/>
      <c r="BY119" s="183"/>
      <c r="CW119" s="183"/>
      <c r="DY119" s="223"/>
      <c r="DZ119" s="223"/>
      <c r="EA119" s="183"/>
      <c r="FH119" s="183"/>
    </row>
    <row r="120" spans="3:164" s="1" customFormat="1" ht="15" x14ac:dyDescent="0.25">
      <c r="C120"/>
      <c r="D120"/>
      <c r="E120"/>
      <c r="F120"/>
      <c r="G120"/>
      <c r="H120"/>
      <c r="I120"/>
      <c r="J120"/>
      <c r="K120"/>
      <c r="L120"/>
      <c r="M120" s="149"/>
      <c r="N120" s="149"/>
      <c r="O120"/>
      <c r="P120"/>
      <c r="AB120" s="156"/>
      <c r="BF120" s="183"/>
      <c r="BY120" s="183"/>
      <c r="CW120" s="183"/>
      <c r="DY120" s="223"/>
      <c r="DZ120" s="223"/>
      <c r="EA120" s="183"/>
      <c r="FH120" s="183"/>
    </row>
    <row r="121" spans="3:164" s="1" customFormat="1" ht="15" x14ac:dyDescent="0.25">
      <c r="C121"/>
      <c r="D121"/>
      <c r="E121"/>
      <c r="F121"/>
      <c r="G121"/>
      <c r="H121"/>
      <c r="I121"/>
      <c r="J121"/>
      <c r="K121"/>
      <c r="L121"/>
      <c r="M121" s="149"/>
      <c r="N121" s="149"/>
      <c r="O121"/>
      <c r="P121"/>
      <c r="AB121" s="156"/>
      <c r="BF121" s="183"/>
      <c r="BY121" s="183"/>
      <c r="CW121" s="183"/>
      <c r="DY121" s="223"/>
      <c r="DZ121" s="223"/>
      <c r="EA121" s="183"/>
      <c r="FH121" s="183"/>
    </row>
    <row r="122" spans="3:164" s="1" customFormat="1" ht="15" x14ac:dyDescent="0.25">
      <c r="C122"/>
      <c r="D122"/>
      <c r="E122"/>
      <c r="F122"/>
      <c r="G122"/>
      <c r="H122"/>
      <c r="I122"/>
      <c r="J122"/>
      <c r="K122"/>
      <c r="L122"/>
      <c r="M122" s="149"/>
      <c r="N122" s="149"/>
      <c r="O122"/>
      <c r="P122"/>
      <c r="AB122" s="156"/>
      <c r="BF122" s="183"/>
      <c r="BY122" s="183"/>
      <c r="CW122" s="183"/>
      <c r="DY122" s="223"/>
      <c r="DZ122" s="223"/>
      <c r="EA122" s="183"/>
      <c r="FH122" s="183"/>
    </row>
    <row r="123" spans="3:164" s="1" customFormat="1" ht="15" x14ac:dyDescent="0.25">
      <c r="C123"/>
      <c r="D123"/>
      <c r="E123"/>
      <c r="F123"/>
      <c r="G123"/>
      <c r="H123"/>
      <c r="I123"/>
      <c r="J123"/>
      <c r="K123"/>
      <c r="L123"/>
      <c r="M123" s="149"/>
      <c r="N123" s="149"/>
      <c r="O123"/>
      <c r="P123"/>
      <c r="AB123" s="156"/>
      <c r="BF123" s="183"/>
      <c r="BY123" s="183"/>
      <c r="CW123" s="183"/>
      <c r="DY123" s="223"/>
      <c r="DZ123" s="223"/>
      <c r="EA123" s="183"/>
      <c r="FH123" s="183"/>
    </row>
    <row r="124" spans="3:164" s="1" customFormat="1" ht="15" x14ac:dyDescent="0.25">
      <c r="C124"/>
      <c r="D124"/>
      <c r="E124"/>
      <c r="F124"/>
      <c r="G124"/>
      <c r="H124"/>
      <c r="I124"/>
      <c r="J124"/>
      <c r="K124"/>
      <c r="L124"/>
      <c r="M124" s="149"/>
      <c r="N124" s="149"/>
      <c r="O124"/>
      <c r="P124"/>
      <c r="AB124" s="156"/>
      <c r="BF124" s="183"/>
      <c r="BY124" s="183"/>
      <c r="CW124" s="183"/>
      <c r="DY124" s="223"/>
      <c r="DZ124" s="223"/>
      <c r="EA124" s="183"/>
      <c r="FH124" s="183"/>
    </row>
    <row r="125" spans="3:164" s="1" customFormat="1" ht="15" customHeight="1" x14ac:dyDescent="0.25">
      <c r="C125"/>
      <c r="D125"/>
      <c r="E125"/>
      <c r="F125"/>
      <c r="G125"/>
      <c r="H125"/>
      <c r="I125"/>
      <c r="J125"/>
      <c r="K125"/>
      <c r="L125"/>
      <c r="M125" s="149"/>
      <c r="N125" s="149"/>
      <c r="O125"/>
      <c r="P125"/>
      <c r="AB125" s="156"/>
      <c r="BF125" s="183"/>
      <c r="BY125" s="183"/>
      <c r="CW125" s="183"/>
      <c r="DY125" s="223"/>
      <c r="DZ125" s="223"/>
      <c r="EA125" s="183"/>
      <c r="FH125" s="183"/>
    </row>
    <row r="126" spans="3:164" s="1" customFormat="1" ht="15" customHeight="1" x14ac:dyDescent="0.25">
      <c r="C126"/>
      <c r="D126"/>
      <c r="E126"/>
      <c r="F126"/>
      <c r="G126"/>
      <c r="H126"/>
      <c r="I126"/>
      <c r="J126"/>
      <c r="K126"/>
      <c r="L126"/>
      <c r="M126" s="149"/>
      <c r="N126" s="149"/>
      <c r="O126"/>
      <c r="P126"/>
      <c r="AB126" s="156"/>
      <c r="BF126" s="183"/>
      <c r="BY126" s="183"/>
      <c r="CW126" s="183"/>
      <c r="DY126" s="223"/>
      <c r="DZ126" s="223"/>
      <c r="EA126" s="183"/>
      <c r="FH126" s="183"/>
    </row>
    <row r="127" spans="3:164" s="1" customFormat="1" ht="15" customHeight="1" x14ac:dyDescent="0.25">
      <c r="C127"/>
      <c r="D127"/>
      <c r="E127"/>
      <c r="F127"/>
      <c r="G127"/>
      <c r="H127"/>
      <c r="I127"/>
      <c r="J127"/>
      <c r="K127"/>
      <c r="L127"/>
      <c r="M127" s="149"/>
      <c r="N127" s="149"/>
      <c r="O127"/>
      <c r="P127"/>
      <c r="AB127" s="156"/>
      <c r="BF127" s="183"/>
      <c r="BY127" s="183"/>
      <c r="CW127" s="183"/>
      <c r="DY127" s="223"/>
      <c r="DZ127" s="223"/>
      <c r="EA127" s="183"/>
      <c r="FH127" s="183"/>
    </row>
    <row r="128" spans="3:164" s="1" customFormat="1" ht="15" customHeight="1" x14ac:dyDescent="0.25">
      <c r="C128"/>
      <c r="D128"/>
      <c r="E128"/>
      <c r="F128"/>
      <c r="G128"/>
      <c r="H128"/>
      <c r="I128"/>
      <c r="J128"/>
      <c r="K128"/>
      <c r="L128"/>
      <c r="M128" s="149"/>
      <c r="N128" s="149"/>
      <c r="O128"/>
      <c r="P128"/>
      <c r="AB128" s="156"/>
      <c r="BF128" s="183"/>
      <c r="BY128" s="183"/>
      <c r="CW128" s="183"/>
      <c r="DY128" s="223"/>
      <c r="DZ128" s="223"/>
      <c r="EA128" s="183"/>
      <c r="FH128" s="183"/>
    </row>
    <row r="129" spans="3:164" s="1" customFormat="1" ht="15" customHeight="1" x14ac:dyDescent="0.25">
      <c r="C129"/>
      <c r="D129"/>
      <c r="E129"/>
      <c r="F129"/>
      <c r="G129"/>
      <c r="H129"/>
      <c r="I129"/>
      <c r="J129"/>
      <c r="K129"/>
      <c r="L129"/>
      <c r="M129" s="149"/>
      <c r="N129" s="149"/>
      <c r="O129"/>
      <c r="P129"/>
      <c r="AB129" s="156"/>
      <c r="BF129" s="183"/>
      <c r="BY129" s="183"/>
      <c r="CW129" s="183"/>
      <c r="DY129" s="223"/>
      <c r="DZ129" s="223"/>
      <c r="EA129" s="183"/>
      <c r="FH129" s="183"/>
    </row>
    <row r="130" spans="3:164" s="1" customFormat="1" ht="15" customHeight="1" x14ac:dyDescent="0.25">
      <c r="C130"/>
      <c r="D130"/>
      <c r="E130"/>
      <c r="F130"/>
      <c r="G130"/>
      <c r="H130"/>
      <c r="I130"/>
      <c r="J130"/>
      <c r="K130"/>
      <c r="L130"/>
      <c r="M130" s="149"/>
      <c r="N130" s="149"/>
      <c r="O130"/>
      <c r="P130"/>
      <c r="AB130" s="156"/>
      <c r="BF130" s="183"/>
      <c r="BY130" s="183"/>
      <c r="CW130" s="183"/>
      <c r="DY130" s="223"/>
      <c r="DZ130" s="223"/>
      <c r="EA130" s="183"/>
      <c r="FH130" s="183"/>
    </row>
    <row r="131" spans="3:164" s="1" customFormat="1" ht="15" customHeight="1" x14ac:dyDescent="0.25">
      <c r="C131"/>
      <c r="D131"/>
      <c r="E131"/>
      <c r="F131"/>
      <c r="G131"/>
      <c r="H131"/>
      <c r="I131"/>
      <c r="J131"/>
      <c r="K131"/>
      <c r="L131"/>
      <c r="M131" s="149"/>
      <c r="N131" s="149"/>
      <c r="O131"/>
      <c r="P131"/>
      <c r="AB131" s="156"/>
      <c r="BF131" s="183"/>
      <c r="BY131" s="183"/>
      <c r="CW131" s="183"/>
      <c r="DY131" s="223"/>
      <c r="DZ131" s="223"/>
      <c r="EA131" s="183"/>
      <c r="FH131" s="183"/>
    </row>
    <row r="132" spans="3:164" s="1" customFormat="1" ht="15" customHeight="1" x14ac:dyDescent="0.25">
      <c r="C132"/>
      <c r="D132"/>
      <c r="E132"/>
      <c r="F132"/>
      <c r="G132"/>
      <c r="H132"/>
      <c r="I132"/>
      <c r="J132"/>
      <c r="K132"/>
      <c r="L132"/>
      <c r="M132" s="149"/>
      <c r="N132" s="149"/>
      <c r="O132"/>
      <c r="P132"/>
      <c r="AB132" s="156"/>
      <c r="BF132" s="183"/>
      <c r="BY132" s="183"/>
      <c r="CW132" s="183"/>
      <c r="DY132" s="223"/>
      <c r="DZ132" s="223"/>
      <c r="EA132" s="183"/>
      <c r="FH132" s="183"/>
    </row>
    <row r="133" spans="3:164" s="1" customFormat="1" ht="15" customHeight="1" x14ac:dyDescent="0.25">
      <c r="C133"/>
      <c r="D133"/>
      <c r="E133"/>
      <c r="F133"/>
      <c r="G133"/>
      <c r="H133"/>
      <c r="I133"/>
      <c r="J133"/>
      <c r="K133"/>
      <c r="L133"/>
      <c r="M133" s="149"/>
      <c r="N133" s="149"/>
      <c r="O133"/>
      <c r="P133"/>
      <c r="AB133" s="156"/>
      <c r="BF133" s="183"/>
      <c r="BY133" s="183"/>
      <c r="CW133" s="183"/>
      <c r="DY133" s="223"/>
      <c r="DZ133" s="223"/>
      <c r="EA133" s="183"/>
      <c r="FH133" s="183"/>
    </row>
    <row r="134" spans="3:164" s="1" customFormat="1" ht="15" customHeight="1" x14ac:dyDescent="0.25">
      <c r="C134"/>
      <c r="D134"/>
      <c r="E134"/>
      <c r="F134"/>
      <c r="G134"/>
      <c r="H134"/>
      <c r="I134"/>
      <c r="J134"/>
      <c r="K134"/>
      <c r="L134"/>
      <c r="M134" s="149"/>
      <c r="N134" s="149"/>
      <c r="O134"/>
      <c r="P134"/>
      <c r="AB134" s="156"/>
      <c r="BF134" s="183"/>
      <c r="BY134" s="183"/>
      <c r="CW134" s="183"/>
      <c r="DY134" s="223"/>
      <c r="DZ134" s="223"/>
      <c r="EA134" s="183"/>
      <c r="FH134" s="183"/>
    </row>
    <row r="135" spans="3:164" s="1" customFormat="1" ht="15" customHeight="1" x14ac:dyDescent="0.25">
      <c r="C135"/>
      <c r="D135"/>
      <c r="E135"/>
      <c r="F135"/>
      <c r="G135"/>
      <c r="H135"/>
      <c r="I135"/>
      <c r="J135"/>
      <c r="K135"/>
      <c r="L135"/>
      <c r="M135" s="149"/>
      <c r="N135" s="149"/>
      <c r="O135"/>
      <c r="P135"/>
      <c r="AB135" s="156"/>
      <c r="BF135" s="183"/>
      <c r="BY135" s="183"/>
      <c r="CW135" s="183"/>
      <c r="DY135" s="223"/>
      <c r="DZ135" s="223"/>
      <c r="EA135" s="183"/>
      <c r="FH135" s="183"/>
    </row>
    <row r="136" spans="3:164" s="1" customFormat="1" ht="15" customHeight="1" x14ac:dyDescent="0.25">
      <c r="C136"/>
      <c r="D136"/>
      <c r="E136"/>
      <c r="F136"/>
      <c r="G136"/>
      <c r="H136"/>
      <c r="I136"/>
      <c r="J136"/>
      <c r="K136"/>
      <c r="L136"/>
      <c r="M136" s="149"/>
      <c r="N136" s="149"/>
      <c r="O136"/>
      <c r="P136"/>
      <c r="AB136" s="156"/>
      <c r="BF136" s="183"/>
      <c r="BY136" s="183"/>
      <c r="CW136" s="183"/>
      <c r="DY136" s="223"/>
      <c r="DZ136" s="223"/>
      <c r="EA136" s="183"/>
      <c r="FH136" s="183"/>
    </row>
    <row r="137" spans="3:164" s="1" customFormat="1" ht="15" customHeight="1" x14ac:dyDescent="0.25">
      <c r="C137"/>
      <c r="D137"/>
      <c r="E137"/>
      <c r="F137"/>
      <c r="G137"/>
      <c r="H137"/>
      <c r="I137"/>
      <c r="J137"/>
      <c r="K137"/>
      <c r="L137"/>
      <c r="M137" s="149"/>
      <c r="N137" s="149"/>
      <c r="O137"/>
      <c r="P137"/>
      <c r="AB137" s="156"/>
      <c r="BF137" s="183"/>
      <c r="BY137" s="183"/>
      <c r="CW137" s="183"/>
      <c r="DY137" s="223"/>
      <c r="DZ137" s="223"/>
      <c r="EA137" s="183"/>
      <c r="FH137" s="183"/>
    </row>
    <row r="138" spans="3:164" s="1" customFormat="1" ht="15" customHeight="1" x14ac:dyDescent="0.25">
      <c r="C138"/>
      <c r="D138"/>
      <c r="E138"/>
      <c r="F138"/>
      <c r="G138"/>
      <c r="H138"/>
      <c r="I138"/>
      <c r="J138"/>
      <c r="K138"/>
      <c r="L138"/>
      <c r="M138" s="149"/>
      <c r="N138" s="149"/>
      <c r="O138"/>
      <c r="P138"/>
      <c r="AB138" s="156"/>
      <c r="BF138" s="183"/>
      <c r="BY138" s="183"/>
      <c r="CW138" s="183"/>
      <c r="DY138" s="223"/>
      <c r="DZ138" s="223"/>
      <c r="EA138" s="183"/>
      <c r="FH138" s="183"/>
    </row>
    <row r="139" spans="3:164" s="1" customFormat="1" ht="15" customHeight="1" x14ac:dyDescent="0.25">
      <c r="C139"/>
      <c r="D139"/>
      <c r="E139"/>
      <c r="F139"/>
      <c r="G139"/>
      <c r="H139"/>
      <c r="I139"/>
      <c r="J139"/>
      <c r="K139"/>
      <c r="L139"/>
      <c r="M139" s="149"/>
      <c r="N139" s="149"/>
      <c r="O139"/>
      <c r="P139"/>
      <c r="AB139" s="156"/>
      <c r="BF139" s="183"/>
      <c r="BY139" s="183"/>
      <c r="CW139" s="183"/>
      <c r="DY139" s="223"/>
      <c r="DZ139" s="223"/>
      <c r="EA139" s="183"/>
      <c r="FH139" s="183"/>
    </row>
    <row r="140" spans="3:164" s="1" customFormat="1" ht="15" customHeight="1" x14ac:dyDescent="0.25">
      <c r="C140"/>
      <c r="D140"/>
      <c r="E140"/>
      <c r="F140"/>
      <c r="G140"/>
      <c r="H140"/>
      <c r="I140"/>
      <c r="J140"/>
      <c r="K140"/>
      <c r="L140"/>
      <c r="M140" s="149"/>
      <c r="N140" s="149"/>
      <c r="O140"/>
      <c r="P140"/>
      <c r="AB140" s="156"/>
      <c r="BF140" s="183"/>
      <c r="BY140" s="183"/>
      <c r="CW140" s="183"/>
      <c r="DY140" s="223"/>
      <c r="DZ140" s="223"/>
      <c r="EA140" s="183"/>
      <c r="FH140" s="183"/>
    </row>
    <row r="141" spans="3:164" s="1" customFormat="1" ht="15" customHeight="1" x14ac:dyDescent="0.25">
      <c r="C141"/>
      <c r="D141"/>
      <c r="E141"/>
      <c r="F141"/>
      <c r="G141"/>
      <c r="H141"/>
      <c r="I141"/>
      <c r="J141"/>
      <c r="K141"/>
      <c r="L141"/>
      <c r="M141" s="149"/>
      <c r="N141" s="149"/>
      <c r="O141"/>
      <c r="P141"/>
      <c r="AB141" s="156"/>
      <c r="BF141" s="183"/>
      <c r="BY141" s="183"/>
      <c r="CW141" s="183"/>
      <c r="DY141" s="223"/>
      <c r="DZ141" s="223"/>
      <c r="EA141" s="183"/>
      <c r="FH141" s="183"/>
    </row>
    <row r="142" spans="3:164" s="1" customFormat="1" ht="15" customHeight="1" x14ac:dyDescent="0.25">
      <c r="C142"/>
      <c r="D142"/>
      <c r="E142"/>
      <c r="F142"/>
      <c r="G142"/>
      <c r="H142"/>
      <c r="I142"/>
      <c r="J142"/>
      <c r="K142"/>
      <c r="L142"/>
      <c r="M142" s="149"/>
      <c r="N142" s="149"/>
      <c r="O142"/>
      <c r="P142"/>
      <c r="AB142" s="156"/>
      <c r="BF142" s="183"/>
      <c r="BY142" s="183"/>
      <c r="CW142" s="183"/>
      <c r="DY142" s="223"/>
      <c r="DZ142" s="223"/>
      <c r="EA142" s="183"/>
      <c r="FH142" s="183"/>
    </row>
    <row r="143" spans="3:164" s="1" customFormat="1" ht="15" customHeight="1" x14ac:dyDescent="0.25">
      <c r="C143"/>
      <c r="D143"/>
      <c r="E143"/>
      <c r="F143"/>
      <c r="G143"/>
      <c r="H143"/>
      <c r="I143"/>
      <c r="J143"/>
      <c r="K143"/>
      <c r="L143"/>
      <c r="M143" s="149"/>
      <c r="N143" s="149"/>
      <c r="O143"/>
      <c r="P143"/>
      <c r="AB143" s="156"/>
      <c r="BF143" s="183"/>
      <c r="BY143" s="183"/>
      <c r="CW143" s="183"/>
      <c r="DY143" s="223"/>
      <c r="DZ143" s="223"/>
      <c r="EA143" s="183"/>
      <c r="FH143" s="183"/>
    </row>
    <row r="144" spans="3:164" s="1" customFormat="1" ht="15" customHeight="1" x14ac:dyDescent="0.25">
      <c r="C144"/>
      <c r="D144"/>
      <c r="E144"/>
      <c r="F144"/>
      <c r="G144"/>
      <c r="H144"/>
      <c r="I144"/>
      <c r="J144"/>
      <c r="K144"/>
      <c r="L144"/>
      <c r="M144" s="149"/>
      <c r="N144" s="149"/>
      <c r="O144"/>
      <c r="P144"/>
      <c r="AB144" s="156"/>
      <c r="BF144" s="183"/>
      <c r="BY144" s="183"/>
      <c r="CW144" s="183"/>
      <c r="DY144" s="223"/>
      <c r="DZ144" s="223"/>
      <c r="EA144" s="183"/>
      <c r="FH144" s="183"/>
    </row>
    <row r="145" spans="3:164" s="1" customFormat="1" ht="15" customHeight="1" x14ac:dyDescent="0.25">
      <c r="C145"/>
      <c r="D145"/>
      <c r="E145"/>
      <c r="F145"/>
      <c r="G145"/>
      <c r="H145"/>
      <c r="I145"/>
      <c r="J145"/>
      <c r="K145"/>
      <c r="L145"/>
      <c r="M145" s="149"/>
      <c r="N145" s="149"/>
      <c r="O145"/>
      <c r="P145"/>
      <c r="AB145" s="156"/>
      <c r="BF145" s="183"/>
      <c r="BY145" s="183"/>
      <c r="CW145" s="183"/>
      <c r="DY145" s="223"/>
      <c r="DZ145" s="223"/>
      <c r="EA145" s="183"/>
      <c r="FH145" s="183"/>
    </row>
    <row r="146" spans="3:164" s="1" customFormat="1" ht="15" customHeight="1" x14ac:dyDescent="0.25">
      <c r="C146"/>
      <c r="D146"/>
      <c r="E146"/>
      <c r="F146"/>
      <c r="G146"/>
      <c r="H146"/>
      <c r="I146"/>
      <c r="J146"/>
      <c r="K146"/>
      <c r="L146"/>
      <c r="M146" s="149"/>
      <c r="N146" s="149"/>
      <c r="O146"/>
      <c r="P146"/>
      <c r="AB146" s="156"/>
      <c r="BF146" s="183"/>
      <c r="BY146" s="183"/>
      <c r="CW146" s="183"/>
      <c r="DY146" s="223"/>
      <c r="DZ146" s="223"/>
      <c r="EA146" s="183"/>
      <c r="FH146" s="183"/>
    </row>
    <row r="147" spans="3:164" s="1" customFormat="1" ht="15" customHeight="1" x14ac:dyDescent="0.25">
      <c r="C147"/>
      <c r="D147"/>
      <c r="E147"/>
      <c r="F147"/>
      <c r="G147"/>
      <c r="H147"/>
      <c r="I147"/>
      <c r="J147"/>
      <c r="K147"/>
      <c r="L147"/>
      <c r="M147" s="149"/>
      <c r="N147" s="149"/>
      <c r="O147"/>
      <c r="P147"/>
      <c r="AB147" s="156"/>
      <c r="BF147" s="183"/>
      <c r="BY147" s="183"/>
      <c r="CW147" s="183"/>
      <c r="DY147" s="223"/>
      <c r="DZ147" s="223"/>
      <c r="EA147" s="183"/>
      <c r="FH147" s="183"/>
    </row>
    <row r="148" spans="3:164" s="1" customFormat="1" ht="15" customHeight="1" x14ac:dyDescent="0.25">
      <c r="C148"/>
      <c r="D148"/>
      <c r="E148"/>
      <c r="F148"/>
      <c r="G148"/>
      <c r="H148"/>
      <c r="I148"/>
      <c r="J148"/>
      <c r="K148"/>
      <c r="L148"/>
      <c r="M148" s="149"/>
      <c r="N148" s="149"/>
      <c r="O148"/>
      <c r="P148"/>
      <c r="AB148" s="156"/>
      <c r="BF148" s="183"/>
      <c r="BY148" s="183"/>
      <c r="CW148" s="183"/>
      <c r="DY148" s="223"/>
      <c r="DZ148" s="223"/>
      <c r="EA148" s="183"/>
      <c r="FH148" s="183"/>
    </row>
    <row r="149" spans="3:164" s="1" customFormat="1" ht="15" customHeight="1" x14ac:dyDescent="0.25">
      <c r="C149"/>
      <c r="D149"/>
      <c r="E149"/>
      <c r="F149"/>
      <c r="G149"/>
      <c r="H149"/>
      <c r="I149"/>
      <c r="J149"/>
      <c r="K149"/>
      <c r="L149"/>
      <c r="M149" s="149"/>
      <c r="N149" s="149"/>
      <c r="O149"/>
      <c r="P149"/>
      <c r="AB149" s="156"/>
      <c r="BF149" s="183"/>
      <c r="BY149" s="183"/>
      <c r="CW149" s="183"/>
      <c r="DY149" s="223"/>
      <c r="DZ149" s="223"/>
      <c r="EA149" s="183"/>
      <c r="FH149" s="183"/>
    </row>
    <row r="150" spans="3:164" s="1" customFormat="1" ht="15" customHeight="1" x14ac:dyDescent="0.25">
      <c r="C150"/>
      <c r="D150"/>
      <c r="E150"/>
      <c r="F150"/>
      <c r="G150"/>
      <c r="H150"/>
      <c r="I150"/>
      <c r="J150"/>
      <c r="K150"/>
      <c r="L150"/>
      <c r="M150" s="149"/>
      <c r="N150" s="149"/>
      <c r="O150"/>
      <c r="P150"/>
      <c r="AB150" s="156"/>
      <c r="BF150" s="183"/>
      <c r="BY150" s="183"/>
      <c r="CW150" s="183"/>
      <c r="DY150" s="223"/>
      <c r="DZ150" s="223"/>
      <c r="EA150" s="183"/>
      <c r="FH150" s="183"/>
    </row>
    <row r="151" spans="3:164" s="1" customFormat="1" ht="15" customHeight="1" x14ac:dyDescent="0.25">
      <c r="C151"/>
      <c r="D151"/>
      <c r="E151"/>
      <c r="F151"/>
      <c r="G151"/>
      <c r="H151"/>
      <c r="I151"/>
      <c r="J151"/>
      <c r="K151"/>
      <c r="L151"/>
      <c r="M151" s="149"/>
      <c r="N151" s="149"/>
      <c r="O151"/>
      <c r="P151"/>
      <c r="AB151" s="156"/>
      <c r="BF151" s="183"/>
      <c r="BY151" s="183"/>
      <c r="CW151" s="183"/>
      <c r="DY151" s="223"/>
      <c r="DZ151" s="223"/>
      <c r="EA151" s="183"/>
      <c r="FH151" s="183"/>
    </row>
    <row r="152" spans="3:164" s="1" customFormat="1" ht="15" customHeight="1" x14ac:dyDescent="0.25">
      <c r="C152"/>
      <c r="D152"/>
      <c r="E152"/>
      <c r="F152"/>
      <c r="G152"/>
      <c r="H152"/>
      <c r="I152"/>
      <c r="J152"/>
      <c r="K152"/>
      <c r="L152"/>
      <c r="M152" s="149"/>
      <c r="N152" s="149"/>
      <c r="O152"/>
      <c r="P152"/>
      <c r="AB152" s="156"/>
      <c r="BF152" s="183"/>
      <c r="BY152" s="183"/>
      <c r="CW152" s="183"/>
      <c r="DY152" s="223"/>
      <c r="DZ152" s="223"/>
      <c r="EA152" s="183"/>
      <c r="FH152" s="183"/>
    </row>
    <row r="153" spans="3:164" s="1" customFormat="1" ht="15" customHeight="1" x14ac:dyDescent="0.25">
      <c r="C153"/>
      <c r="D153"/>
      <c r="E153"/>
      <c r="F153"/>
      <c r="G153"/>
      <c r="H153"/>
      <c r="I153"/>
      <c r="J153"/>
      <c r="K153"/>
      <c r="L153"/>
      <c r="M153" s="149"/>
      <c r="N153" s="149"/>
      <c r="O153"/>
      <c r="P153"/>
      <c r="AB153" s="156"/>
      <c r="BF153" s="183"/>
      <c r="BY153" s="183"/>
      <c r="CW153" s="183"/>
      <c r="DY153" s="223"/>
      <c r="DZ153" s="223"/>
      <c r="EA153" s="183"/>
      <c r="FH153" s="183"/>
    </row>
    <row r="154" spans="3:164" s="1" customFormat="1" ht="15" customHeight="1" x14ac:dyDescent="0.25">
      <c r="C154"/>
      <c r="D154"/>
      <c r="E154"/>
      <c r="F154"/>
      <c r="G154"/>
      <c r="H154"/>
      <c r="I154"/>
      <c r="J154"/>
      <c r="K154"/>
      <c r="L154"/>
      <c r="M154" s="149"/>
      <c r="N154" s="149"/>
      <c r="O154"/>
      <c r="P154"/>
      <c r="AB154" s="156"/>
      <c r="BF154" s="183"/>
      <c r="BY154" s="183"/>
      <c r="CW154" s="183"/>
      <c r="DY154" s="223"/>
      <c r="DZ154" s="223"/>
      <c r="EA154" s="183"/>
      <c r="FH154" s="183"/>
    </row>
    <row r="155" spans="3:164" s="1" customFormat="1" ht="15" customHeight="1" x14ac:dyDescent="0.25">
      <c r="C155"/>
      <c r="D155"/>
      <c r="E155"/>
      <c r="F155"/>
      <c r="G155"/>
      <c r="H155"/>
      <c r="I155"/>
      <c r="J155"/>
      <c r="K155"/>
      <c r="L155"/>
      <c r="M155" s="149"/>
      <c r="N155" s="149"/>
      <c r="O155"/>
      <c r="P155"/>
      <c r="AB155" s="156"/>
      <c r="BF155" s="183"/>
      <c r="BY155" s="183"/>
      <c r="CW155" s="183"/>
      <c r="DY155" s="223"/>
      <c r="DZ155" s="223"/>
      <c r="EA155" s="183"/>
      <c r="FH155" s="183"/>
    </row>
    <row r="156" spans="3:164" s="1" customFormat="1" ht="15" customHeight="1" x14ac:dyDescent="0.25">
      <c r="C156"/>
      <c r="D156"/>
      <c r="E156"/>
      <c r="F156"/>
      <c r="G156"/>
      <c r="H156"/>
      <c r="I156"/>
      <c r="J156"/>
      <c r="K156"/>
      <c r="L156"/>
      <c r="M156" s="149"/>
      <c r="N156" s="149"/>
      <c r="O156"/>
      <c r="P156"/>
      <c r="AB156" s="156"/>
      <c r="BF156" s="183"/>
      <c r="BY156" s="183"/>
      <c r="CW156" s="183"/>
      <c r="DY156" s="223"/>
      <c r="DZ156" s="223"/>
      <c r="EA156" s="183"/>
      <c r="FH156" s="183"/>
    </row>
    <row r="157" spans="3:164" s="1" customFormat="1" ht="15" customHeight="1" x14ac:dyDescent="0.25">
      <c r="C157"/>
      <c r="D157"/>
      <c r="E157"/>
      <c r="F157"/>
      <c r="G157"/>
      <c r="H157"/>
      <c r="I157"/>
      <c r="J157"/>
      <c r="K157"/>
      <c r="L157"/>
      <c r="M157" s="149"/>
      <c r="N157" s="149"/>
      <c r="O157"/>
      <c r="P157"/>
      <c r="AB157" s="156"/>
      <c r="BF157" s="183"/>
      <c r="BY157" s="183"/>
      <c r="CW157" s="183"/>
      <c r="DY157" s="223"/>
      <c r="DZ157" s="223"/>
      <c r="EA157" s="183"/>
      <c r="FH157" s="183"/>
    </row>
    <row r="158" spans="3:164" s="1" customFormat="1" ht="15" customHeight="1" x14ac:dyDescent="0.25">
      <c r="C158"/>
      <c r="D158"/>
      <c r="E158"/>
      <c r="F158"/>
      <c r="G158"/>
      <c r="H158"/>
      <c r="I158"/>
      <c r="J158"/>
      <c r="K158"/>
      <c r="L158"/>
      <c r="M158" s="149"/>
      <c r="N158" s="149"/>
      <c r="O158"/>
      <c r="P158"/>
      <c r="AB158" s="156"/>
      <c r="BF158" s="183"/>
      <c r="BY158" s="183"/>
      <c r="CW158" s="183"/>
      <c r="DY158" s="223"/>
      <c r="DZ158" s="223"/>
      <c r="EA158" s="183"/>
      <c r="FH158" s="183"/>
    </row>
    <row r="159" spans="3:164" s="1" customFormat="1" ht="15" customHeight="1" x14ac:dyDescent="0.25">
      <c r="C159"/>
      <c r="D159"/>
      <c r="E159"/>
      <c r="F159"/>
      <c r="G159"/>
      <c r="H159"/>
      <c r="I159"/>
      <c r="J159"/>
      <c r="K159"/>
      <c r="L159"/>
      <c r="M159" s="149"/>
      <c r="N159" s="149"/>
      <c r="O159"/>
      <c r="P159"/>
      <c r="AB159" s="156"/>
      <c r="BF159" s="183"/>
      <c r="BY159" s="183"/>
      <c r="CW159" s="183"/>
      <c r="DY159" s="223"/>
      <c r="DZ159" s="223"/>
      <c r="EA159" s="183"/>
      <c r="FH159" s="183"/>
    </row>
    <row r="160" spans="3:164" s="1" customFormat="1" ht="15" customHeight="1" x14ac:dyDescent="0.25">
      <c r="C160"/>
      <c r="D160"/>
      <c r="E160"/>
      <c r="F160"/>
      <c r="G160"/>
      <c r="H160"/>
      <c r="I160"/>
      <c r="J160"/>
      <c r="K160"/>
      <c r="L160"/>
      <c r="M160" s="149"/>
      <c r="N160" s="149"/>
      <c r="O160"/>
      <c r="P160"/>
      <c r="AB160" s="156"/>
      <c r="BF160" s="183"/>
      <c r="BY160" s="183"/>
      <c r="CW160" s="183"/>
      <c r="DY160" s="223"/>
      <c r="DZ160" s="223"/>
      <c r="EA160" s="183"/>
      <c r="FH160" s="183"/>
    </row>
    <row r="161" spans="3:164" s="1" customFormat="1" ht="15" customHeight="1" x14ac:dyDescent="0.25">
      <c r="C161"/>
      <c r="D161"/>
      <c r="E161"/>
      <c r="F161"/>
      <c r="G161"/>
      <c r="H161"/>
      <c r="I161"/>
      <c r="J161"/>
      <c r="K161"/>
      <c r="L161"/>
      <c r="M161" s="149"/>
      <c r="N161" s="149"/>
      <c r="O161"/>
      <c r="P161"/>
      <c r="AB161" s="156"/>
      <c r="BF161" s="183"/>
      <c r="BY161" s="183"/>
      <c r="CW161" s="183"/>
      <c r="DY161" s="223"/>
      <c r="DZ161" s="223"/>
      <c r="EA161" s="183"/>
      <c r="FH161" s="183"/>
    </row>
    <row r="162" spans="3:164" s="1" customFormat="1" ht="15" customHeight="1" x14ac:dyDescent="0.25">
      <c r="C162"/>
      <c r="D162"/>
      <c r="E162"/>
      <c r="F162"/>
      <c r="G162"/>
      <c r="H162"/>
      <c r="I162"/>
      <c r="J162"/>
      <c r="K162"/>
      <c r="L162"/>
      <c r="M162" s="149"/>
      <c r="N162" s="149"/>
      <c r="O162"/>
      <c r="P162"/>
      <c r="AB162" s="156"/>
      <c r="BF162" s="183"/>
      <c r="BY162" s="183"/>
      <c r="CW162" s="183"/>
      <c r="DY162" s="223"/>
      <c r="DZ162" s="223"/>
      <c r="EA162" s="183"/>
      <c r="FH162" s="183"/>
    </row>
    <row r="163" spans="3:164" s="1" customFormat="1" ht="15" customHeight="1" x14ac:dyDescent="0.25">
      <c r="C163"/>
      <c r="D163"/>
      <c r="E163"/>
      <c r="F163"/>
      <c r="G163"/>
      <c r="H163"/>
      <c r="I163"/>
      <c r="J163"/>
      <c r="K163"/>
      <c r="L163"/>
      <c r="M163" s="149"/>
      <c r="N163" s="149"/>
      <c r="O163"/>
      <c r="P163"/>
      <c r="AB163" s="156"/>
      <c r="BF163" s="183"/>
      <c r="BY163" s="183"/>
      <c r="CW163" s="183"/>
      <c r="DY163" s="223"/>
      <c r="DZ163" s="223"/>
      <c r="EA163" s="183"/>
      <c r="FH163" s="183"/>
    </row>
    <row r="164" spans="3:164" s="1" customFormat="1" ht="15" customHeight="1" x14ac:dyDescent="0.25">
      <c r="C164"/>
      <c r="D164"/>
      <c r="E164"/>
      <c r="F164"/>
      <c r="G164"/>
      <c r="H164"/>
      <c r="I164"/>
      <c r="J164"/>
      <c r="K164"/>
      <c r="L164"/>
      <c r="M164" s="149"/>
      <c r="N164" s="149"/>
      <c r="O164"/>
      <c r="P164"/>
      <c r="AB164" s="156"/>
      <c r="BF164" s="183"/>
      <c r="BY164" s="183"/>
      <c r="CW164" s="183"/>
      <c r="DY164" s="223"/>
      <c r="DZ164" s="223"/>
      <c r="EA164" s="183"/>
      <c r="FH164" s="183"/>
    </row>
    <row r="165" spans="3:164" s="1" customFormat="1" ht="15" customHeight="1" x14ac:dyDescent="0.25">
      <c r="C165"/>
      <c r="D165"/>
      <c r="E165"/>
      <c r="F165"/>
      <c r="G165"/>
      <c r="H165"/>
      <c r="I165"/>
      <c r="J165"/>
      <c r="K165"/>
      <c r="L165"/>
      <c r="M165" s="149"/>
      <c r="N165" s="149"/>
      <c r="O165"/>
      <c r="P165"/>
      <c r="AB165" s="156"/>
      <c r="BF165" s="183"/>
      <c r="BY165" s="183"/>
      <c r="CW165" s="183"/>
      <c r="DY165" s="223"/>
      <c r="DZ165" s="223"/>
      <c r="EA165" s="183"/>
      <c r="FH165" s="183"/>
    </row>
    <row r="166" spans="3:164" s="1" customFormat="1" ht="15" customHeight="1" x14ac:dyDescent="0.25">
      <c r="C166"/>
      <c r="D166"/>
      <c r="E166"/>
      <c r="F166"/>
      <c r="G166"/>
      <c r="H166"/>
      <c r="I166"/>
      <c r="J166"/>
      <c r="K166"/>
      <c r="L166"/>
      <c r="M166" s="149"/>
      <c r="N166" s="149"/>
      <c r="O166"/>
      <c r="P166"/>
      <c r="AB166" s="156"/>
      <c r="BF166" s="183"/>
      <c r="BY166" s="183"/>
      <c r="CW166" s="183"/>
      <c r="DY166" s="223"/>
      <c r="DZ166" s="223"/>
      <c r="EA166" s="183"/>
      <c r="FH166" s="183"/>
    </row>
    <row r="167" spans="3:164" s="1" customFormat="1" ht="15" customHeight="1" x14ac:dyDescent="0.25">
      <c r="C167"/>
      <c r="D167"/>
      <c r="E167"/>
      <c r="F167"/>
      <c r="G167"/>
      <c r="H167"/>
      <c r="I167"/>
      <c r="J167"/>
      <c r="K167"/>
      <c r="L167"/>
      <c r="M167" s="149"/>
      <c r="N167" s="149"/>
      <c r="O167"/>
      <c r="P167"/>
      <c r="AB167" s="156"/>
      <c r="BF167" s="183"/>
      <c r="BY167" s="183"/>
      <c r="CW167" s="183"/>
      <c r="DY167" s="223"/>
      <c r="DZ167" s="223"/>
      <c r="EA167" s="183"/>
      <c r="FH167" s="183"/>
    </row>
    <row r="168" spans="3:164" s="1" customFormat="1" ht="15" customHeight="1" x14ac:dyDescent="0.25">
      <c r="C168"/>
      <c r="D168"/>
      <c r="E168"/>
      <c r="F168"/>
      <c r="G168"/>
      <c r="H168"/>
      <c r="I168"/>
      <c r="J168"/>
      <c r="K168"/>
      <c r="L168"/>
      <c r="M168" s="149"/>
      <c r="N168" s="149"/>
      <c r="O168"/>
      <c r="P168"/>
      <c r="AB168" s="156"/>
      <c r="BF168" s="183"/>
      <c r="BY168" s="183"/>
      <c r="CW168" s="183"/>
      <c r="DY168" s="223"/>
      <c r="DZ168" s="223"/>
      <c r="EA168" s="183"/>
      <c r="FH168" s="183"/>
    </row>
    <row r="169" spans="3:164" s="1" customFormat="1" ht="15" customHeight="1" x14ac:dyDescent="0.25">
      <c r="C169"/>
      <c r="D169"/>
      <c r="E169"/>
      <c r="F169"/>
      <c r="G169"/>
      <c r="H169"/>
      <c r="I169"/>
      <c r="J169"/>
      <c r="K169"/>
      <c r="L169"/>
      <c r="M169" s="149"/>
      <c r="N169" s="149"/>
      <c r="O169"/>
      <c r="P169"/>
      <c r="AB169" s="156"/>
      <c r="BF169" s="183"/>
      <c r="BY169" s="183"/>
      <c r="CW169" s="183"/>
      <c r="DY169" s="223"/>
      <c r="DZ169" s="223"/>
      <c r="EA169" s="183"/>
      <c r="FH169" s="183"/>
    </row>
    <row r="170" spans="3:164" s="1" customFormat="1" ht="15" customHeight="1" x14ac:dyDescent="0.25">
      <c r="C170"/>
      <c r="D170"/>
      <c r="E170"/>
      <c r="F170"/>
      <c r="G170"/>
      <c r="H170"/>
      <c r="I170"/>
      <c r="J170"/>
      <c r="K170"/>
      <c r="L170"/>
      <c r="M170" s="149"/>
      <c r="N170" s="149"/>
      <c r="O170"/>
      <c r="P170"/>
      <c r="AB170" s="156"/>
      <c r="BF170" s="183"/>
      <c r="BY170" s="183"/>
      <c r="CW170" s="183"/>
      <c r="DY170" s="223"/>
      <c r="DZ170" s="223"/>
      <c r="EA170" s="183"/>
      <c r="FH170" s="183"/>
    </row>
    <row r="171" spans="3:164" s="1" customFormat="1" ht="15" customHeight="1" x14ac:dyDescent="0.25">
      <c r="C171"/>
      <c r="D171"/>
      <c r="E171"/>
      <c r="F171"/>
      <c r="G171"/>
      <c r="H171"/>
      <c r="I171"/>
      <c r="J171"/>
      <c r="K171"/>
      <c r="L171"/>
      <c r="M171" s="149"/>
      <c r="N171" s="149"/>
      <c r="O171"/>
      <c r="P171"/>
      <c r="AB171" s="156"/>
      <c r="BF171" s="183"/>
      <c r="BY171" s="183"/>
      <c r="CW171" s="183"/>
      <c r="DY171" s="223"/>
      <c r="DZ171" s="223"/>
      <c r="EA171" s="183"/>
      <c r="FH171" s="183"/>
    </row>
    <row r="172" spans="3:164" s="1" customFormat="1" ht="15" customHeight="1" x14ac:dyDescent="0.25">
      <c r="C172"/>
      <c r="D172"/>
      <c r="E172"/>
      <c r="F172"/>
      <c r="G172"/>
      <c r="H172"/>
      <c r="I172"/>
      <c r="J172"/>
      <c r="K172"/>
      <c r="L172"/>
      <c r="M172" s="149"/>
      <c r="N172" s="149"/>
      <c r="O172"/>
      <c r="P172"/>
      <c r="AB172" s="156"/>
      <c r="BF172" s="183"/>
      <c r="BY172" s="183"/>
      <c r="CW172" s="183"/>
      <c r="DY172" s="223"/>
      <c r="DZ172" s="223"/>
      <c r="EA172" s="183"/>
      <c r="FH172" s="183"/>
    </row>
    <row r="173" spans="3:164" s="1" customFormat="1" ht="15" customHeight="1" x14ac:dyDescent="0.25">
      <c r="C173"/>
      <c r="D173"/>
      <c r="E173"/>
      <c r="F173"/>
      <c r="G173"/>
      <c r="H173"/>
      <c r="I173"/>
      <c r="J173"/>
      <c r="K173"/>
      <c r="L173"/>
      <c r="M173" s="149"/>
      <c r="N173" s="149"/>
      <c r="O173"/>
      <c r="P173"/>
      <c r="AB173" s="156"/>
      <c r="BF173" s="183"/>
      <c r="BY173" s="183"/>
      <c r="CW173" s="183"/>
      <c r="DY173" s="223"/>
      <c r="DZ173" s="223"/>
      <c r="EA173" s="183"/>
      <c r="FH173" s="183"/>
    </row>
    <row r="174" spans="3:164" s="1" customFormat="1" ht="15" customHeight="1" x14ac:dyDescent="0.25">
      <c r="C174"/>
      <c r="D174"/>
      <c r="E174"/>
      <c r="F174"/>
      <c r="G174"/>
      <c r="H174"/>
      <c r="I174"/>
      <c r="J174"/>
      <c r="K174"/>
      <c r="L174"/>
      <c r="M174" s="149"/>
      <c r="N174" s="149"/>
      <c r="O174"/>
      <c r="P174"/>
      <c r="AB174" s="156"/>
      <c r="BF174" s="183"/>
      <c r="BY174" s="183"/>
      <c r="CW174" s="183"/>
      <c r="DY174" s="223"/>
      <c r="DZ174" s="223"/>
      <c r="EA174" s="183"/>
      <c r="FH174" s="183"/>
    </row>
    <row r="175" spans="3:164" s="1" customFormat="1" ht="15" customHeight="1" x14ac:dyDescent="0.25">
      <c r="C175"/>
      <c r="D175"/>
      <c r="E175"/>
      <c r="F175"/>
      <c r="G175"/>
      <c r="H175"/>
      <c r="I175"/>
      <c r="J175"/>
      <c r="K175"/>
      <c r="L175"/>
      <c r="M175" s="149"/>
      <c r="N175" s="149"/>
      <c r="O175"/>
      <c r="P175"/>
      <c r="AB175" s="156"/>
      <c r="BF175" s="183"/>
      <c r="BY175" s="183"/>
      <c r="CW175" s="183"/>
      <c r="DY175" s="223"/>
      <c r="DZ175" s="223"/>
      <c r="EA175" s="183"/>
      <c r="FH175" s="183"/>
    </row>
    <row r="176" spans="3:164" s="1" customFormat="1" ht="15" customHeight="1" x14ac:dyDescent="0.25">
      <c r="C176"/>
      <c r="D176"/>
      <c r="E176"/>
      <c r="F176"/>
      <c r="G176"/>
      <c r="H176"/>
      <c r="I176"/>
      <c r="J176"/>
      <c r="K176"/>
      <c r="L176"/>
      <c r="M176" s="149"/>
      <c r="N176" s="149"/>
      <c r="O176"/>
      <c r="P176"/>
      <c r="AB176" s="156"/>
      <c r="BF176" s="183"/>
      <c r="BY176" s="183"/>
      <c r="CW176" s="183"/>
      <c r="DY176" s="223"/>
      <c r="DZ176" s="223"/>
      <c r="EA176" s="183"/>
      <c r="FH176" s="183"/>
    </row>
    <row r="177" spans="2:164" s="1" customFormat="1" ht="15" customHeight="1" x14ac:dyDescent="0.25">
      <c r="C177"/>
      <c r="D177"/>
      <c r="E177"/>
      <c r="F177"/>
      <c r="G177"/>
      <c r="H177"/>
      <c r="I177"/>
      <c r="J177"/>
      <c r="K177"/>
      <c r="L177"/>
      <c r="M177" s="149"/>
      <c r="N177" s="149"/>
      <c r="O177"/>
      <c r="P177"/>
      <c r="AB177" s="156"/>
      <c r="BF177" s="183"/>
      <c r="BY177" s="183"/>
      <c r="CW177" s="183"/>
      <c r="DY177" s="223"/>
      <c r="DZ177" s="223"/>
      <c r="EA177" s="183"/>
      <c r="FH177" s="183"/>
    </row>
    <row r="178" spans="2:164" s="1" customFormat="1" ht="15" customHeight="1" x14ac:dyDescent="0.25">
      <c r="C178"/>
      <c r="D178"/>
      <c r="E178"/>
      <c r="F178"/>
      <c r="G178"/>
      <c r="H178"/>
      <c r="I178"/>
      <c r="J178"/>
      <c r="K178"/>
      <c r="L178"/>
      <c r="M178" s="149"/>
      <c r="N178" s="149"/>
      <c r="O178"/>
      <c r="P178"/>
      <c r="AB178" s="156"/>
      <c r="BF178" s="183"/>
      <c r="BY178" s="183"/>
      <c r="CW178" s="183"/>
      <c r="DY178" s="223"/>
      <c r="DZ178" s="223"/>
      <c r="EA178" s="183"/>
      <c r="FH178" s="183"/>
    </row>
    <row r="179" spans="2:164" s="1" customFormat="1" ht="15" customHeight="1" x14ac:dyDescent="0.25">
      <c r="C179"/>
      <c r="D179"/>
      <c r="E179"/>
      <c r="F179"/>
      <c r="G179"/>
      <c r="H179"/>
      <c r="I179"/>
      <c r="J179"/>
      <c r="K179"/>
      <c r="L179"/>
      <c r="M179" s="149"/>
      <c r="N179" s="149"/>
      <c r="O179"/>
      <c r="P179"/>
      <c r="AB179" s="156"/>
      <c r="BF179" s="183"/>
      <c r="BY179" s="183"/>
      <c r="CW179" s="183"/>
      <c r="DY179" s="223"/>
      <c r="DZ179" s="223"/>
      <c r="EA179" s="183"/>
      <c r="FH179" s="183"/>
    </row>
    <row r="180" spans="2:164" s="1" customFormat="1" ht="15" customHeight="1" x14ac:dyDescent="0.25">
      <c r="C180"/>
      <c r="D180"/>
      <c r="E180"/>
      <c r="F180"/>
      <c r="G180"/>
      <c r="H180"/>
      <c r="I180"/>
      <c r="J180"/>
      <c r="K180"/>
      <c r="L180"/>
      <c r="M180" s="149"/>
      <c r="N180" s="149"/>
      <c r="O180"/>
      <c r="P180"/>
      <c r="AB180" s="156"/>
      <c r="BF180" s="183"/>
      <c r="BY180" s="183"/>
      <c r="CW180" s="183"/>
      <c r="DY180" s="223"/>
      <c r="DZ180" s="223"/>
      <c r="EA180" s="183"/>
      <c r="FH180" s="183"/>
    </row>
    <row r="181" spans="2:164" s="1" customFormat="1" ht="15" customHeight="1" x14ac:dyDescent="0.25">
      <c r="C181"/>
      <c r="D181"/>
      <c r="E181"/>
      <c r="F181"/>
      <c r="G181"/>
      <c r="H181"/>
      <c r="I181"/>
      <c r="J181"/>
      <c r="K181"/>
      <c r="L181"/>
      <c r="M181" s="149"/>
      <c r="N181" s="149"/>
      <c r="O181"/>
      <c r="P181"/>
      <c r="AB181" s="156"/>
      <c r="BF181" s="183"/>
      <c r="BY181" s="183"/>
      <c r="CW181" s="183"/>
      <c r="DY181" s="223"/>
      <c r="DZ181" s="223"/>
      <c r="EA181" s="183"/>
      <c r="FH181" s="183"/>
    </row>
    <row r="182" spans="2:164" s="1" customFormat="1" ht="15" customHeight="1" x14ac:dyDescent="0.25">
      <c r="C182"/>
      <c r="D182"/>
      <c r="E182"/>
      <c r="F182"/>
      <c r="G182"/>
      <c r="H182"/>
      <c r="I182"/>
      <c r="J182"/>
      <c r="K182"/>
      <c r="L182"/>
      <c r="M182" s="149"/>
      <c r="N182" s="149"/>
      <c r="O182"/>
      <c r="P182"/>
      <c r="AB182" s="156"/>
      <c r="BF182" s="183"/>
      <c r="BY182" s="183"/>
      <c r="CW182" s="183"/>
      <c r="DY182" s="223"/>
      <c r="DZ182" s="223"/>
      <c r="EA182" s="183"/>
      <c r="FH182" s="183"/>
    </row>
    <row r="183" spans="2:164" s="1" customFormat="1" ht="15" customHeight="1" x14ac:dyDescent="0.25">
      <c r="C183"/>
      <c r="D183"/>
      <c r="E183"/>
      <c r="F183"/>
      <c r="G183"/>
      <c r="H183"/>
      <c r="I183"/>
      <c r="J183"/>
      <c r="K183"/>
      <c r="L183"/>
      <c r="M183" s="149"/>
      <c r="N183" s="149"/>
      <c r="O183"/>
      <c r="P183"/>
      <c r="AB183" s="156"/>
      <c r="BF183" s="183"/>
      <c r="BY183" s="183"/>
      <c r="CW183" s="183"/>
      <c r="DY183" s="223"/>
      <c r="DZ183" s="223"/>
      <c r="EA183" s="183"/>
      <c r="FH183" s="183"/>
    </row>
    <row r="184" spans="2:164" s="1" customFormat="1" ht="15" customHeight="1" x14ac:dyDescent="0.25">
      <c r="C184"/>
      <c r="D184"/>
      <c r="E184"/>
      <c r="F184"/>
      <c r="G184"/>
      <c r="H184"/>
      <c r="I184"/>
      <c r="J184"/>
      <c r="K184"/>
      <c r="L184"/>
      <c r="M184" s="149"/>
      <c r="N184" s="149"/>
      <c r="O184"/>
      <c r="P184"/>
      <c r="AB184" s="156"/>
      <c r="BF184" s="183"/>
      <c r="BY184" s="183"/>
      <c r="CW184" s="183"/>
      <c r="DY184" s="223"/>
      <c r="DZ184" s="223"/>
      <c r="EA184" s="183"/>
      <c r="FH184" s="183"/>
    </row>
    <row r="185" spans="2:164" s="1" customFormat="1" ht="15" customHeight="1" x14ac:dyDescent="0.25">
      <c r="C185"/>
      <c r="D185"/>
      <c r="E185"/>
      <c r="F185"/>
      <c r="G185"/>
      <c r="H185"/>
      <c r="I185"/>
      <c r="J185"/>
      <c r="K185"/>
      <c r="L185"/>
      <c r="M185" s="149"/>
      <c r="N185" s="149"/>
      <c r="O185"/>
      <c r="P185"/>
      <c r="AB185" s="156"/>
      <c r="BF185" s="183"/>
      <c r="BY185" s="183"/>
      <c r="CW185" s="183"/>
      <c r="DY185" s="223"/>
      <c r="DZ185" s="223"/>
      <c r="EA185" s="183"/>
      <c r="FH185" s="183"/>
    </row>
    <row r="186" spans="2:164" s="1" customFormat="1" ht="15" customHeight="1" x14ac:dyDescent="0.25">
      <c r="C186"/>
      <c r="D186"/>
      <c r="E186"/>
      <c r="F186"/>
      <c r="G186"/>
      <c r="H186"/>
      <c r="I186"/>
      <c r="J186"/>
      <c r="K186"/>
      <c r="L186"/>
      <c r="M186" s="149"/>
      <c r="N186" s="149"/>
      <c r="O186"/>
      <c r="P186"/>
      <c r="AB186" s="156"/>
      <c r="BF186" s="183"/>
      <c r="BY186" s="183"/>
      <c r="CW186" s="183"/>
      <c r="DY186" s="223"/>
      <c r="DZ186" s="223"/>
      <c r="EA186" s="183"/>
      <c r="FH186" s="183"/>
    </row>
    <row r="187" spans="2:164" s="1" customFormat="1" ht="15" customHeight="1" x14ac:dyDescent="0.25">
      <c r="C187"/>
      <c r="D187"/>
      <c r="E187"/>
      <c r="F187"/>
      <c r="G187"/>
      <c r="H187"/>
      <c r="I187"/>
      <c r="J187"/>
      <c r="K187"/>
      <c r="L187"/>
      <c r="M187" s="149"/>
      <c r="N187" s="149"/>
      <c r="O187"/>
      <c r="P187"/>
      <c r="AB187" s="156"/>
      <c r="BF187" s="183"/>
      <c r="BY187" s="183"/>
      <c r="CW187" s="183"/>
      <c r="DY187" s="223"/>
      <c r="DZ187" s="223"/>
      <c r="EA187" s="183"/>
      <c r="FH187" s="183"/>
    </row>
    <row r="188" spans="2:164" s="1" customFormat="1" ht="15" customHeight="1" x14ac:dyDescent="0.25">
      <c r="C188"/>
      <c r="D188"/>
      <c r="E188"/>
      <c r="F188"/>
      <c r="G188"/>
      <c r="H188"/>
      <c r="I188"/>
      <c r="J188"/>
      <c r="K188"/>
      <c r="L188"/>
      <c r="M188" s="149"/>
      <c r="N188" s="149"/>
      <c r="O188"/>
      <c r="P188"/>
      <c r="AB188" s="156"/>
      <c r="BF188" s="183"/>
      <c r="BY188" s="183"/>
      <c r="CW188" s="183"/>
      <c r="DY188" s="223"/>
      <c r="DZ188" s="223"/>
      <c r="EA188" s="183"/>
      <c r="FH188" s="183"/>
    </row>
    <row r="189" spans="2:164" ht="15" customHeight="1" x14ac:dyDescent="0.25">
      <c r="B189" s="1"/>
    </row>
    <row r="190" spans="2:164" ht="15" customHeight="1" x14ac:dyDescent="0.25">
      <c r="B190" s="1"/>
    </row>
    <row r="191" spans="2:164" ht="15" customHeight="1" x14ac:dyDescent="0.25">
      <c r="B191" s="1"/>
    </row>
    <row r="192" spans="2:164" ht="15" customHeight="1" x14ac:dyDescent="0.25">
      <c r="B192" s="1"/>
    </row>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sheetData>
  <mergeCells count="39">
    <mergeCell ref="FI5:FI13"/>
    <mergeCell ref="EB5:EB13"/>
    <mergeCell ref="CX56:CX64"/>
    <mergeCell ref="CX66:CX74"/>
    <mergeCell ref="CX76:CX82"/>
    <mergeCell ref="CX85:CX93"/>
    <mergeCell ref="CX5:CX13"/>
    <mergeCell ref="CX15:CX24"/>
    <mergeCell ref="CX26:CX34"/>
    <mergeCell ref="CX36:CX44"/>
    <mergeCell ref="CX46:CX54"/>
    <mergeCell ref="BZ55:BZ63"/>
    <mergeCell ref="CK4:CK13"/>
    <mergeCell ref="CK15:CK23"/>
    <mergeCell ref="CK25:CK33"/>
    <mergeCell ref="CK35:CK43"/>
    <mergeCell ref="CK45:CK53"/>
    <mergeCell ref="CK55:CK63"/>
    <mergeCell ref="BZ4:BZ13"/>
    <mergeCell ref="BZ15:BZ23"/>
    <mergeCell ref="BZ25:BZ33"/>
    <mergeCell ref="BZ35:BZ43"/>
    <mergeCell ref="BZ45:BZ53"/>
    <mergeCell ref="O58:O66"/>
    <mergeCell ref="O68:O76"/>
    <mergeCell ref="O17:O26"/>
    <mergeCell ref="O28:O36"/>
    <mergeCell ref="O38:O46"/>
    <mergeCell ref="O48:O56"/>
    <mergeCell ref="BG14:BG22"/>
    <mergeCell ref="BG32:BG38"/>
    <mergeCell ref="BM3:BS5"/>
    <mergeCell ref="BL3:BL5"/>
    <mergeCell ref="A46:A54"/>
    <mergeCell ref="AC5:AC13"/>
    <mergeCell ref="A6:A14"/>
    <mergeCell ref="A16:A24"/>
    <mergeCell ref="A26:A34"/>
    <mergeCell ref="A36:A44"/>
  </mergeCells>
  <printOptions headings="1"/>
  <pageMargins left="0.2" right="0.2" top="0.5" bottom="0.5" header="0.3" footer="0.3"/>
  <pageSetup scale="68" orientation="portrait" cellComments="asDisplayed" r:id="rId1"/>
  <headerFooter>
    <oddHeader>&amp;C&amp;A</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CH83"/>
  <sheetViews>
    <sheetView workbookViewId="0">
      <pane xSplit="1" ySplit="3" topLeftCell="BX4" activePane="bottomRight" state="frozen"/>
      <selection activeCell="AL26" sqref="AL26"/>
      <selection pane="topRight" activeCell="AL26" sqref="AL26"/>
      <selection pane="bottomLeft" activeCell="AL26" sqref="AL26"/>
      <selection pane="bottomRight" activeCell="CL22" sqref="CL22"/>
    </sheetView>
  </sheetViews>
  <sheetFormatPr defaultRowHeight="15" x14ac:dyDescent="0.25"/>
  <cols>
    <col min="1" max="1" width="39.140625" customWidth="1"/>
    <col min="2" max="3" width="11" customWidth="1"/>
    <col min="4" max="4" width="16" customWidth="1"/>
    <col min="5" max="18" width="14.140625" customWidth="1"/>
    <col min="19" max="19" width="15" bestFit="1" customWidth="1"/>
    <col min="20" max="20" width="14.140625" customWidth="1"/>
    <col min="21" max="21" width="15" customWidth="1"/>
    <col min="22" max="32" width="15.28515625" bestFit="1" customWidth="1"/>
    <col min="33" max="33" width="16" bestFit="1" customWidth="1"/>
    <col min="34" max="34" width="15.28515625" bestFit="1" customWidth="1"/>
    <col min="35" max="36" width="16" bestFit="1" customWidth="1"/>
    <col min="37" max="37" width="15.28515625" bestFit="1" customWidth="1"/>
    <col min="38" max="39" width="16" bestFit="1" customWidth="1"/>
    <col min="40" max="42" width="15.28515625" bestFit="1" customWidth="1"/>
    <col min="43" max="43" width="16" bestFit="1" customWidth="1"/>
    <col min="44" max="44" width="15.28515625" bestFit="1" customWidth="1"/>
    <col min="45" max="48" width="16" bestFit="1" customWidth="1"/>
    <col min="49" max="52" width="15.28515625" bestFit="1" customWidth="1"/>
    <col min="53" max="86" width="16" bestFit="1" customWidth="1"/>
  </cols>
  <sheetData>
    <row r="1" spans="1:86" x14ac:dyDescent="0.25">
      <c r="A1" s="33" t="s">
        <v>30</v>
      </c>
    </row>
    <row r="2" spans="1:86" x14ac:dyDescent="0.25">
      <c r="A2" s="25"/>
      <c r="BD2" s="47" t="s">
        <v>137</v>
      </c>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row>
    <row r="3" spans="1:86" x14ac:dyDescent="0.25">
      <c r="B3" s="10">
        <v>43466</v>
      </c>
      <c r="C3" s="10">
        <v>43497</v>
      </c>
      <c r="D3" s="10">
        <v>43525</v>
      </c>
      <c r="E3" s="10">
        <v>43556</v>
      </c>
      <c r="F3" s="10">
        <v>43586</v>
      </c>
      <c r="G3" s="10">
        <v>43617</v>
      </c>
      <c r="H3" s="10">
        <v>43647</v>
      </c>
      <c r="I3" s="10">
        <v>43678</v>
      </c>
      <c r="J3" s="10">
        <v>43709</v>
      </c>
      <c r="K3" s="10">
        <v>43739</v>
      </c>
      <c r="L3" s="10">
        <v>43770</v>
      </c>
      <c r="M3" s="10">
        <v>43800</v>
      </c>
      <c r="N3" s="10">
        <v>43831</v>
      </c>
      <c r="O3" s="10">
        <v>43862</v>
      </c>
      <c r="P3" s="10">
        <v>43891</v>
      </c>
      <c r="Q3" s="10">
        <v>43922</v>
      </c>
      <c r="R3" s="10">
        <v>43952</v>
      </c>
      <c r="S3" s="10">
        <v>43983</v>
      </c>
      <c r="T3" s="10">
        <v>44013</v>
      </c>
      <c r="U3" s="10">
        <v>44044</v>
      </c>
      <c r="V3" s="10">
        <v>44075</v>
      </c>
      <c r="W3" s="10">
        <v>44105</v>
      </c>
      <c r="X3" s="10">
        <v>44136</v>
      </c>
      <c r="Y3" s="10">
        <v>44166</v>
      </c>
      <c r="Z3" s="10">
        <v>44197</v>
      </c>
      <c r="AA3" s="10">
        <v>44228</v>
      </c>
      <c r="AB3" s="10">
        <v>44256</v>
      </c>
      <c r="AC3" s="10">
        <v>44287</v>
      </c>
      <c r="AD3" s="10">
        <v>44317</v>
      </c>
      <c r="AE3" s="10">
        <v>44348</v>
      </c>
      <c r="AF3" s="10">
        <v>44378</v>
      </c>
      <c r="AG3" s="10">
        <v>44409</v>
      </c>
      <c r="AH3" s="10">
        <v>44440</v>
      </c>
      <c r="AI3" s="10">
        <v>44470</v>
      </c>
      <c r="AJ3" s="10">
        <v>44501</v>
      </c>
      <c r="AK3" s="10">
        <v>44531</v>
      </c>
      <c r="AL3" s="10">
        <v>44562</v>
      </c>
      <c r="AM3" s="10">
        <v>44593</v>
      </c>
      <c r="AN3" s="10">
        <v>44621</v>
      </c>
      <c r="AO3" s="10">
        <v>44652</v>
      </c>
      <c r="AP3" s="10">
        <v>44682</v>
      </c>
      <c r="AQ3" s="10">
        <v>44713</v>
      </c>
      <c r="AR3" s="10">
        <v>44743</v>
      </c>
      <c r="AS3" s="10">
        <v>44774</v>
      </c>
      <c r="AT3" s="10">
        <v>44805</v>
      </c>
      <c r="AU3" s="10">
        <v>44835</v>
      </c>
      <c r="AV3" s="10">
        <v>44866</v>
      </c>
      <c r="AW3" s="10">
        <v>44896</v>
      </c>
      <c r="AX3" s="10">
        <v>44927</v>
      </c>
      <c r="AY3" s="10">
        <v>44958</v>
      </c>
      <c r="AZ3" s="10">
        <v>44986</v>
      </c>
      <c r="BA3" s="10">
        <v>45017</v>
      </c>
      <c r="BB3" s="10">
        <v>45047</v>
      </c>
      <c r="BC3" s="10">
        <v>45078</v>
      </c>
      <c r="BD3" s="10">
        <v>45108</v>
      </c>
      <c r="BE3" s="10">
        <v>45139</v>
      </c>
      <c r="BF3" s="10">
        <v>45170</v>
      </c>
      <c r="BG3" s="10">
        <v>45200</v>
      </c>
      <c r="BH3" s="10">
        <v>45231</v>
      </c>
      <c r="BI3" s="10">
        <v>45261</v>
      </c>
      <c r="BJ3" s="10">
        <v>45292</v>
      </c>
      <c r="BK3" s="10">
        <v>45323</v>
      </c>
      <c r="BL3" s="10">
        <v>45352</v>
      </c>
      <c r="BM3" s="10">
        <v>45383</v>
      </c>
      <c r="BN3" s="10">
        <v>45413</v>
      </c>
      <c r="BO3" s="10">
        <v>45444</v>
      </c>
      <c r="BP3" s="10">
        <v>45474</v>
      </c>
      <c r="BQ3" s="10">
        <v>45505</v>
      </c>
      <c r="BR3" s="10">
        <v>45536</v>
      </c>
      <c r="BS3" s="10">
        <v>45566</v>
      </c>
      <c r="BT3" s="10">
        <v>45597</v>
      </c>
      <c r="BU3" s="10">
        <v>45627</v>
      </c>
      <c r="BV3" s="10">
        <v>45658</v>
      </c>
      <c r="BW3" s="10">
        <v>45689</v>
      </c>
      <c r="BX3" s="10">
        <v>45717</v>
      </c>
      <c r="BY3" s="10">
        <v>45748</v>
      </c>
      <c r="BZ3" s="10">
        <v>45778</v>
      </c>
      <c r="CA3" s="10">
        <v>45809</v>
      </c>
      <c r="CB3" s="10">
        <v>45839</v>
      </c>
      <c r="CC3" s="10">
        <v>45870</v>
      </c>
      <c r="CD3" s="10">
        <v>45901</v>
      </c>
      <c r="CE3" s="10">
        <v>45931</v>
      </c>
      <c r="CF3" s="10">
        <v>45962</v>
      </c>
      <c r="CG3" s="10">
        <v>45992</v>
      </c>
      <c r="CH3" s="10">
        <v>46023</v>
      </c>
    </row>
    <row r="4" spans="1:86" x14ac:dyDescent="0.25">
      <c r="A4" s="36" t="s">
        <v>38</v>
      </c>
      <c r="B4" s="32"/>
      <c r="C4" s="32"/>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row>
    <row r="5" spans="1:86" x14ac:dyDescent="0.25">
      <c r="A5" t="s">
        <v>33</v>
      </c>
      <c r="B5" s="37"/>
      <c r="C5" s="37"/>
      <c r="D5" s="41">
        <v>0</v>
      </c>
      <c r="E5" s="41">
        <v>3542.7066619947968</v>
      </c>
      <c r="F5" s="41">
        <v>30136.455518898227</v>
      </c>
      <c r="G5" s="41">
        <v>273500.38459568418</v>
      </c>
      <c r="H5" s="41">
        <v>714630.19454973028</v>
      </c>
      <c r="I5" s="41">
        <v>1252115.2720556506</v>
      </c>
      <c r="J5" s="41">
        <v>1625934.6179925092</v>
      </c>
      <c r="K5" s="41">
        <v>1762960.5580065004</v>
      </c>
      <c r="L5" s="41">
        <v>2036259.811498007</v>
      </c>
      <c r="M5" s="41">
        <v>2499434.2156662</v>
      </c>
      <c r="N5" s="41">
        <f>3024353.08836572+6554.1</f>
        <v>3030907.1883657202</v>
      </c>
      <c r="O5" s="41">
        <f>3505159.86672899+192583.941016507</f>
        <v>3697743.8077454967</v>
      </c>
      <c r="P5" s="41">
        <f>3914603.11678053+237854.1</f>
        <v>4152457.2167805303</v>
      </c>
      <c r="Q5" s="41">
        <f>4070172.11038659+291838.588071724</f>
        <v>4362010.6984583139</v>
      </c>
      <c r="R5" s="41">
        <f>4229610.15303022+367485.985727049</f>
        <v>4597096.1387572698</v>
      </c>
      <c r="S5" s="41">
        <f>4592560.83505275+739295.933491184</f>
        <v>5331856.7685439344</v>
      </c>
      <c r="T5" s="41">
        <f>4990515.09833128+1344897.95339866</f>
        <v>6335413.0517299399</v>
      </c>
      <c r="U5" s="41">
        <f>5418265.12134377+2113348.33467618</f>
        <v>7531613.4560199501</v>
      </c>
      <c r="V5" s="41">
        <f>5789061.85817861+2752702.49586261</f>
        <v>8541764.3540412206</v>
      </c>
      <c r="W5" s="41">
        <f>5952563.39140542+3033444.35764041</f>
        <v>8986007.7490458302</v>
      </c>
      <c r="X5" s="41">
        <f>6134018.54500076+3442711.84437844</f>
        <v>9576730.3893791996</v>
      </c>
      <c r="Y5" s="41">
        <f>6322661.25581799+3993133.58828793</f>
        <v>10315794.84410592</v>
      </c>
      <c r="Z5" s="41">
        <f>6984.86+4559187.38175189+6509848.95791205</f>
        <v>11076021.199663941</v>
      </c>
      <c r="AA5" s="41">
        <f>6677794.05853156+5094820.43416596+38291.8049859144</f>
        <v>11810906.297683435</v>
      </c>
      <c r="AB5" s="41">
        <f>6858524.1413342+5634008.99556086+108423.687063481</f>
        <v>12600956.823958542</v>
      </c>
      <c r="AC5" s="41">
        <f>7024584.84737362+6091540.15699686+197422.977619697</f>
        <v>13313547.981990177</v>
      </c>
      <c r="AD5" s="41">
        <f>7197760.72201452+6577186.55853686+326606.30736373</f>
        <v>14101553.587915111</v>
      </c>
      <c r="AE5" s="41">
        <f>7874415.13583633+7588257.96393303+811663.040210789</f>
        <v>16274336.13998015</v>
      </c>
      <c r="AF5" s="41">
        <f>8012134.15630774+9371259.89153676+1546655.20030572</f>
        <v>18930049.248150218</v>
      </c>
      <c r="AG5" s="41">
        <f>10852823.9399505+8439884.17932023+2402203.76938233</f>
        <v>21694911.888653059</v>
      </c>
      <c r="AH5" s="41">
        <f>8810680.91615507+11910809.4471491+3066829.20571084</f>
        <v>23788319.569015007</v>
      </c>
      <c r="AI5" s="41">
        <f>8974182.44938188+12349883.7615509+3324782.66781071</f>
        <v>24648848.878743492</v>
      </c>
      <c r="AJ5" s="42">
        <f>12861596.6003085+9155637.60297722+3613076.53428695</f>
        <v>25630310.73757267</v>
      </c>
      <c r="AK5" s="42">
        <f>9344280.31379445+13437972.9515877+4051260.68849144</f>
        <v>26833513.95387359</v>
      </c>
      <c r="AL5" s="42">
        <f>9531468.01588851+14011128.6257676+4661679.55294169+632.764547216621</f>
        <v>28204908.959145017</v>
      </c>
      <c r="AM5" s="42">
        <f>14520794.458196+9699413.11650802+5166009.79211778+5737.54224147814</f>
        <v>29391954.90906328</v>
      </c>
      <c r="AN5" s="42">
        <f>9699413.11650802+14520794.458196+5595900.41022824+18573.8326925126</f>
        <v>29834681.817624774</v>
      </c>
      <c r="AO5" s="42">
        <f>9699413.11650802+14520794.458196+5977459.732555+31754.7587333806</f>
        <v>30229422.065992404</v>
      </c>
      <c r="AP5" s="42">
        <f>9699413.11650802+14520794.458196+6395560.0926955+58082.0856497526</f>
        <v>30673849.753049273</v>
      </c>
      <c r="AQ5" s="42">
        <f>9699413.11650802+14520794.458196+7605739.92725045+259398.980000996</f>
        <v>32085346.481955465</v>
      </c>
      <c r="AR5" s="42">
        <f>9699413.11650802+14520794.458196+9039880.06402909+619576.334553113</f>
        <v>33879663.973286226</v>
      </c>
      <c r="AS5" s="42">
        <f>9699413.11650802+14520794.458196+1053741.44131795+10330774.9142283</f>
        <v>35604723.930250272</v>
      </c>
      <c r="AT5" s="42">
        <f>9699413.11650802+14520794.458196+11258398.7953183+1306770.70420712</f>
        <v>36785377.074229442</v>
      </c>
      <c r="AU5" s="42">
        <f>9699413.11650802+14520794.458196+11630977.3781916+1356995.49979424</f>
        <v>37208180.452689856</v>
      </c>
      <c r="AV5" s="42">
        <f>9699413.11650802+14520794.458196+12039294.9318788+1428599.68159395</f>
        <v>37688102.188176766</v>
      </c>
      <c r="AW5" s="42">
        <f>9699413.11650802+14520794.458196+12510998.0479923+1563007.30063131</f>
        <v>38294212.923327632</v>
      </c>
      <c r="AX5" s="42">
        <f>9699413.11650802+14520794.458196+12982130.6257778+376.243509130826+1734451.85338512</f>
        <v>38937166.297376066</v>
      </c>
      <c r="AY5" s="42">
        <f>9699413.11650802+14520794.458196+13393368.0246789+1872149.53036979+5134.30018548908</f>
        <v>39490859.429938197</v>
      </c>
      <c r="AZ5" s="42">
        <f>9699413.11650802+14520794.458196+13802495.2513428+1980168.66559029+17640.4690825657</f>
        <v>40020511.960719675</v>
      </c>
      <c r="BA5" s="42">
        <f>9699413.11650802+14520794.458196+14165900.9191705+2049935.60663934+30352.4986154635</f>
        <v>40466396.599129327</v>
      </c>
      <c r="BB5" s="42">
        <f>9699413.11650802+14520794.458196+14562720.4243106+2162617.44838752+55317.8814672892</f>
        <v>41000863.328869432</v>
      </c>
      <c r="BC5" s="42">
        <f>9699413.11650802+14520794.458196+15675777.5553598+2804317.01859943+235819.966019282</f>
        <v>42936122.114682525</v>
      </c>
      <c r="BD5" s="42">
        <f>9699413.11650802+14520794.458196+15675777.5553598+2725873.7948759+576663.327681544</f>
        <v>43198522.252621256</v>
      </c>
      <c r="BE5" s="42">
        <f>9699413.11650802+14520794.458196+15675777.5553598+2651356.30077458+994391.752556414</f>
        <v>43541733.183394812</v>
      </c>
      <c r="BF5" s="42">
        <f>9699413.11650802+14520794.458196+15675777.5553598+2601597.08584258+1240235.36012526</f>
        <v>43737817.576031655</v>
      </c>
      <c r="BG5" s="42">
        <f>9699413.11650802+14520794.458196+15675777.5553598+2600401.46650672+1288599.07305335</f>
        <v>43784985.669623889</v>
      </c>
      <c r="BH5" s="42">
        <f>9699413.11650802+14520794.458196+15675777.5553598+2602365.27450972+1363657.4554696</f>
        <v>43862007.860043138</v>
      </c>
      <c r="BI5" s="42">
        <f>9699413.11650802+14520794.458196+15675777.5553598+2605305.01935452+1504323.22042982</f>
        <v>44005613.369848162</v>
      </c>
      <c r="BJ5" s="42">
        <f>9699413.11650802+14520794.458196+15675777.5553598+2605962.71120391+1678790.1413128+155.188478035648</f>
        <v>44180893.171058565</v>
      </c>
      <c r="BK5" s="42">
        <f>9699413.11650802+14520794.458196+15675777.5553598+2606537.53068524+1816709.24452478+2754.46616911227</f>
        <v>44321986.371442944</v>
      </c>
      <c r="BL5" s="42">
        <f>9699413.11650802+14520794.458196+15675777.5553598+2606905.02167568+1925847.22315637+10563.7407001503</f>
        <v>44439301.115596011</v>
      </c>
      <c r="BM5" s="42">
        <f>9699413.11650802+14520794.458196+15675777.5553598+2605368.92286312+1998440.68715676+19955.3440294409</f>
        <v>44519750.084113136</v>
      </c>
      <c r="BN5" s="42">
        <f>9699413.11650802+14520794.458196+15675777.5553598+2595644.65418434+2114154.19542647+39918.1506180202</f>
        <v>44645702.130292647</v>
      </c>
      <c r="BO5" s="42">
        <f>9699413.11650802+14520794.458196+15675777.5553598+2528285.5648438+2617856.20766849+182787.138041579</f>
        <v>45224914.040617689</v>
      </c>
      <c r="BP5" s="42">
        <f>9699413.11650802+14520794.458196+15675777.5553598+3294492.93499343+2436658.54496057+430677.676531568</f>
        <v>46057814.286549389</v>
      </c>
      <c r="BQ5" s="42">
        <f>9699413.11650802+14520794.458196+15675777.5553598+3937889.33392731+2349606.21316685+725020.386595829</f>
        <v>46908501.063753806</v>
      </c>
      <c r="BR5" s="42">
        <f>9699413.11650802+14520794.458196+15675777.5553598+896952.164160119+4255699.76532199+2309765.37525379</f>
        <v>47358402.434799716</v>
      </c>
      <c r="BS5" s="42">
        <f>9699413.11650802+14520794.458196+15675777.5553598+935883.305416348+4317989.62870245+2307781.59892767</f>
        <v>47457639.663110279</v>
      </c>
      <c r="BT5" s="122">
        <f>BS5+BT14</f>
        <v>47616188.788737305</v>
      </c>
      <c r="BU5" s="122">
        <f t="shared" ref="BU5:CH5" si="0">BT5+BU14</f>
        <v>47893359.966692343</v>
      </c>
      <c r="BV5" s="122">
        <f t="shared" si="0"/>
        <v>48179146.133998327</v>
      </c>
      <c r="BW5" s="122">
        <f t="shared" si="0"/>
        <v>48417745.602009714</v>
      </c>
      <c r="BX5" s="122">
        <f t="shared" si="0"/>
        <v>48605587.192163177</v>
      </c>
      <c r="BY5" s="122">
        <f t="shared" si="0"/>
        <v>48722957.596107289</v>
      </c>
      <c r="BZ5" s="122">
        <f t="shared" si="0"/>
        <v>48882187.512635507</v>
      </c>
      <c r="CA5" s="122">
        <f t="shared" si="0"/>
        <v>48882187.512635507</v>
      </c>
      <c r="CB5" s="122">
        <f t="shared" si="0"/>
        <v>48882187.512635507</v>
      </c>
      <c r="CC5" s="122">
        <f t="shared" si="0"/>
        <v>48882187.512635507</v>
      </c>
      <c r="CD5" s="122">
        <f t="shared" si="0"/>
        <v>48882187.512635507</v>
      </c>
      <c r="CE5" s="122">
        <f t="shared" si="0"/>
        <v>48882187.512635507</v>
      </c>
      <c r="CF5" s="122">
        <f t="shared" si="0"/>
        <v>48882187.512635507</v>
      </c>
      <c r="CG5" s="122">
        <f t="shared" si="0"/>
        <v>48882187.512635507</v>
      </c>
      <c r="CH5" s="122">
        <f t="shared" si="0"/>
        <v>48882187.512635507</v>
      </c>
    </row>
    <row r="6" spans="1:86" x14ac:dyDescent="0.25">
      <c r="A6" t="s">
        <v>34</v>
      </c>
      <c r="B6" s="37"/>
      <c r="C6" s="37"/>
      <c r="D6" s="41">
        <v>0.34412602678174997</v>
      </c>
      <c r="E6" s="41">
        <v>594.19753610000055</v>
      </c>
      <c r="F6" s="41">
        <v>8962.7201321071716</v>
      </c>
      <c r="G6" s="41">
        <v>32604.534313513876</v>
      </c>
      <c r="H6" s="41">
        <v>80268.39554484954</v>
      </c>
      <c r="I6" s="41">
        <v>133550.07117798761</v>
      </c>
      <c r="J6" s="41">
        <v>205226.49945065699</v>
      </c>
      <c r="K6" s="41">
        <v>266976.49556192581</v>
      </c>
      <c r="L6" s="41">
        <v>331278.27644167107</v>
      </c>
      <c r="M6" s="41">
        <v>412157.92982770345</v>
      </c>
      <c r="N6" s="41">
        <f>521623.159550585+1670.75143089162</f>
        <v>523293.91098147666</v>
      </c>
      <c r="O6" s="41">
        <f>603271.52828092+5976.78656574626</f>
        <v>609248.3148466663</v>
      </c>
      <c r="P6" s="41">
        <f>696199.317917802+14714.26</f>
        <v>710913.57791780203</v>
      </c>
      <c r="Q6" s="41">
        <f>723200.088718607+31418.0762713889</f>
        <v>754618.16498999589</v>
      </c>
      <c r="R6" s="41">
        <f>760016.621421969+66060.9194407934</f>
        <v>826077.54086276237</v>
      </c>
      <c r="S6" s="41">
        <f>804930.798867774+118900.240162753</f>
        <v>923831.039030527</v>
      </c>
      <c r="T6" s="41">
        <f>863286.796642103+201559.391010265</f>
        <v>1064846.1876523681</v>
      </c>
      <c r="U6" s="41">
        <f>893954.349070289+279384.341901059</f>
        <v>1173338.690971348</v>
      </c>
      <c r="V6" s="41">
        <f>925829.706887215+369147.536894573</f>
        <v>1294977.243781788</v>
      </c>
      <c r="W6" s="41">
        <f>949608.155526296+444877.201813712</f>
        <v>1394485.357340008</v>
      </c>
      <c r="X6" s="41">
        <f>969602.013839408+518731.625150986</f>
        <v>1488333.6389903941</v>
      </c>
      <c r="Y6" s="41">
        <f>990182.866694943+608329.824854209</f>
        <v>1598512.6915491521</v>
      </c>
      <c r="Z6" s="41">
        <f>0+776593.090757675+1011824.79610248</f>
        <v>1788417.886860155</v>
      </c>
      <c r="AA6" s="41">
        <f>1029034.80579473+894412.886148724+2123.67623167265</f>
        <v>1925571.3681751268</v>
      </c>
      <c r="AB6" s="41">
        <f>1048478.70553725+1021695.85675042+14720.0229147457</f>
        <v>2084894.5852024157</v>
      </c>
      <c r="AC6" s="41">
        <f>1067642.90338983+1141192.13644484+38669.3259791895</f>
        <v>2247504.3658138593</v>
      </c>
      <c r="AD6" s="41">
        <f>1092339.59759687+1294229.77021522+80015.0557464889</f>
        <v>2466584.4235585788</v>
      </c>
      <c r="AE6" s="41">
        <f>1507535.79045081+1122256.74477558+157730.002941148</f>
        <v>2787522.5381675377</v>
      </c>
      <c r="AF6" s="41">
        <f>1160368.10063368+1782072.99359045+278580.137918406</f>
        <v>3221021.232142536</v>
      </c>
      <c r="AG6" s="41">
        <f>2010411.61875989+1191035.65306186+394500.368310462</f>
        <v>3595947.6401322121</v>
      </c>
      <c r="AH6" s="41">
        <f>1222911.01087879+2193597.58661084+503852.755941809</f>
        <v>3920361.353431439</v>
      </c>
      <c r="AI6" s="41">
        <f>1246689.45951787+2322986.34341785+591339.197045792</f>
        <v>4161014.9999815118</v>
      </c>
      <c r="AJ6" s="42">
        <f>2438002.99350982+1266683.31783098+669149.789756822</f>
        <v>4373836.1010976229</v>
      </c>
      <c r="AK6" s="42">
        <f>1287264.17068652+2563126.31875897+761246.262553569</f>
        <v>4611636.7519990588</v>
      </c>
      <c r="AL6" s="42">
        <f>1308906.10009405+2693284.97400714+917775.9449877+0</f>
        <v>4919967.0190888904</v>
      </c>
      <c r="AM6" s="42">
        <f>2798291.22504549+1326116.1097863+1029761.45613839+1264.66094753981</f>
        <v>5155433.45191772</v>
      </c>
      <c r="AN6" s="42">
        <f>1326116.1097863+2798291.22504549+1120571.98756963+5885.2189218921</f>
        <v>5250864.5413233126</v>
      </c>
      <c r="AO6" s="42">
        <f>1326116.1097863+2798291.22504549+1221750.85239912+27935.8888811939</f>
        <v>5374094.0761121036</v>
      </c>
      <c r="AP6" s="42">
        <f>1326116.1097863+2798291.22504549+1357118.54572102+79710.1912231151</f>
        <v>5561236.0717759244</v>
      </c>
      <c r="AQ6" s="42">
        <f>1326116.1097863+2798291.22504549+1511441.5707505+176626.529760109</f>
        <v>5812475.4353423994</v>
      </c>
      <c r="AR6" s="42">
        <f>1326116.1097863+2798291.22504549+1707023.36628322+319999.721179796</f>
        <v>6151430.4222948067</v>
      </c>
      <c r="AS6" s="42">
        <f>1326116.1097863+2798291.22504549+454846.511296653+1849884.17316714</f>
        <v>6429138.0192955835</v>
      </c>
      <c r="AT6" s="42">
        <f>1326116.1097863+2798291.22504549+2003391.23629245+577270.594516963</f>
        <v>6705069.1656412026</v>
      </c>
      <c r="AU6" s="42">
        <f>1326116.1097863+2798291.22504549+2097895.00412851+651968.092678614</f>
        <v>6874270.4316389142</v>
      </c>
      <c r="AV6" s="42">
        <f>1326116.1097863+2798291.22504549+2185278.44427812+704886.269665586</f>
        <v>7014572.048775496</v>
      </c>
      <c r="AW6" s="42">
        <f>1326116.1097863+2798291.22504549+2272820.42281489+770355.542321734</f>
        <v>7167583.299968414</v>
      </c>
      <c r="AX6" s="42">
        <f>1326116.1097863+2798291.22504549+2363993.30117394+0+894012.498550058</f>
        <v>7382413.1345557878</v>
      </c>
      <c r="AY6" s="42">
        <f>1326116.1097863+2798291.22504549+2434131.84661504+977534.541146265+882.692513497488</f>
        <v>7536956.4151065927</v>
      </c>
      <c r="AZ6" s="42">
        <f>1326116.1097863+2798291.22504549+2514608.6270766+1068536.85899938+5957.88315551048</f>
        <v>7713510.7040632814</v>
      </c>
      <c r="BA6" s="42">
        <f>1326116.1097863+2798291.22504549+2604591.21473204+1164917.58698902+16781.3450459297</f>
        <v>7910697.4815987805</v>
      </c>
      <c r="BB6" s="42">
        <f>1326116.1097863+2798291.22504549+2725598.07512467+1294081.71585793+36405.5097137593</f>
        <v>8180492.6355281491</v>
      </c>
      <c r="BC6" s="42">
        <f>1326116.1097863+2798291.22504549+2863843.26613303+1471255.0156942+69900.5901385183</f>
        <v>8529406.2067975383</v>
      </c>
      <c r="BD6" s="42">
        <f>1326116.1097863+2798291.22504549+2863843.26613303+1538737.71319896+125168.680284274</f>
        <v>8652156.9944480546</v>
      </c>
      <c r="BE6" s="42">
        <f>1326116.1097863+2798291.22504549+2863843.26613303+1597451.0707789+174395.320550258</f>
        <v>8760096.9922939781</v>
      </c>
      <c r="BF6" s="42">
        <f>1326116.1097863+2798291.22504549+2863843.26613303+1642186.13815944+232228.023407007</f>
        <v>8862664.7625312675</v>
      </c>
      <c r="BG6" s="42">
        <f>1326116.1097863+2798291.22504549+2863843.26613303+1669487.5907063+281678.262182611</f>
        <v>8939416.4538537301</v>
      </c>
      <c r="BH6" s="42">
        <f>1326116.1097863+2798291.22504549+2863843.26613303+1694987.05259191+333970.218639143</f>
        <v>9017207.8721958734</v>
      </c>
      <c r="BI6" s="42">
        <f>1326116.1097863+2798291.22504549+2863843.26613303+1723386.84573227+398291.451900377</f>
        <v>9109928.8985974677</v>
      </c>
      <c r="BJ6" s="42">
        <f>1326116.1097863+2798291.22504549+2863843.26613303+1752108.58856686+509931.685298295+0</f>
        <v>9250290.8748299759</v>
      </c>
      <c r="BK6" s="42">
        <f>1326116.1097863+2798291.22504549+2863843.26613303+1774502.67481486+583142.052843282+533.4131014556</f>
        <v>9346428.7417244166</v>
      </c>
      <c r="BL6" s="42">
        <f>1326116.1097863+2798291.22504549+2863843.26613303+1798376.12296317+664737.547799706+4480.33891668979</f>
        <v>9455844.6106443852</v>
      </c>
      <c r="BM6" s="42">
        <f>1326116.1097863+2798291.22504549+2863843.26613303+1822988.60728393+753495.75414481+13379.3999440182</f>
        <v>9578114.3623375781</v>
      </c>
      <c r="BN6" s="42">
        <f>1326116.1097863+2798291.22504549+2863843.26613303+1854858.61121187+871534.526749844+29460.1137381497</f>
        <v>9744103.852664683</v>
      </c>
      <c r="BO6" s="42">
        <f>1326116.1097863+2798291.22504549+2863843.26613303+1907401.01595529+1028424.7459765+58187.2654534518</f>
        <v>9982263.6283500623</v>
      </c>
      <c r="BP6" s="42">
        <f>1326116.1097863+2798291.22504549+2863843.26613303+1231016.04744959+1974883.71346006+102150.496165743</f>
        <v>10296300.858040214</v>
      </c>
      <c r="BQ6" s="42">
        <f>1326116.1097863+2798291.22504549+2863843.26613303+1401865.1657564+2033597.07103999+142926.5500156</f>
        <v>10566639.387776811</v>
      </c>
      <c r="BR6" s="42">
        <f>1326116.1097863+2798291.22504549+2863843.26613303+188670.73100509+1545803.33753181+2078332.13842053</f>
        <v>10801056.80792225</v>
      </c>
      <c r="BS6" s="42">
        <f>1326116.1097863+2798291.22504549+2863843.26613303+224262.741954389+1637754.28926386+2105633.5909674</f>
        <v>10955901.223150469</v>
      </c>
      <c r="BT6" s="122">
        <f t="shared" ref="BT6:CH10" si="1">BS6+BT15</f>
        <v>11093089.143019313</v>
      </c>
      <c r="BU6" s="122">
        <f t="shared" si="1"/>
        <v>11257976.155411214</v>
      </c>
      <c r="BV6" s="122">
        <f t="shared" si="1"/>
        <v>11446338.850260781</v>
      </c>
      <c r="BW6" s="122">
        <f t="shared" si="1"/>
        <v>11590009.787494885</v>
      </c>
      <c r="BX6" s="122">
        <f t="shared" si="1"/>
        <v>11749645.251163486</v>
      </c>
      <c r="BY6" s="122">
        <f t="shared" si="1"/>
        <v>11923431.933931325</v>
      </c>
      <c r="BZ6" s="122">
        <f t="shared" si="1"/>
        <v>12153110.662276765</v>
      </c>
      <c r="CA6" s="122">
        <f t="shared" si="1"/>
        <v>12153110.662276765</v>
      </c>
      <c r="CB6" s="122">
        <f t="shared" si="1"/>
        <v>12153110.662276765</v>
      </c>
      <c r="CC6" s="122">
        <f t="shared" si="1"/>
        <v>12153110.662276765</v>
      </c>
      <c r="CD6" s="122">
        <f t="shared" si="1"/>
        <v>12153110.662276765</v>
      </c>
      <c r="CE6" s="122">
        <f t="shared" si="1"/>
        <v>12153110.662276765</v>
      </c>
      <c r="CF6" s="122">
        <f t="shared" si="1"/>
        <v>12153110.662276765</v>
      </c>
      <c r="CG6" s="122">
        <f t="shared" si="1"/>
        <v>12153110.662276765</v>
      </c>
      <c r="CH6" s="122">
        <f t="shared" si="1"/>
        <v>12153110.662276765</v>
      </c>
    </row>
    <row r="7" spans="1:86" x14ac:dyDescent="0.25">
      <c r="A7" t="s">
        <v>35</v>
      </c>
      <c r="B7" s="37"/>
      <c r="C7" s="37"/>
      <c r="D7" s="41">
        <v>0.36790548240712501</v>
      </c>
      <c r="E7" s="41">
        <v>549.75215057062348</v>
      </c>
      <c r="F7" s="41">
        <v>4372.2897437101055</v>
      </c>
      <c r="G7" s="41">
        <v>21153.622105764334</v>
      </c>
      <c r="H7" s="41">
        <v>61231.340486306894</v>
      </c>
      <c r="I7" s="41">
        <v>115000.17366148013</v>
      </c>
      <c r="J7" s="41">
        <v>193945.10714767221</v>
      </c>
      <c r="K7" s="41">
        <v>249871.45813878858</v>
      </c>
      <c r="L7" s="41">
        <v>333751.90722352377</v>
      </c>
      <c r="M7" s="41">
        <v>433032.97939606744</v>
      </c>
      <c r="N7" s="41">
        <f>579533.27131616+1779.61011819965</f>
        <v>581312.88143435959</v>
      </c>
      <c r="O7" s="41">
        <f>692712.313764346+6993.22536134082</f>
        <v>699705.53912568674</v>
      </c>
      <c r="P7" s="41">
        <f>802057.022470645+16835.3</f>
        <v>818892.32247064507</v>
      </c>
      <c r="Q7" s="41">
        <f>830485.556909839+33972.3172811836</f>
        <v>864457.87419102259</v>
      </c>
      <c r="R7" s="41">
        <f>873501.622596128+72093.2191642493</f>
        <v>945594.84176037728</v>
      </c>
      <c r="S7" s="41">
        <f>959608.626292992+169282.073851875</f>
        <v>1128890.7001448669</v>
      </c>
      <c r="T7" s="41">
        <f>1063968.34972717+322181.463908298</f>
        <v>1386149.813635468</v>
      </c>
      <c r="U7" s="41">
        <f>1132109.73254343+490797.70403803</f>
        <v>1622907.4365814601</v>
      </c>
      <c r="V7" s="41">
        <f>1180839.16663709+658085.33680828</f>
        <v>1838924.5034453701</v>
      </c>
      <c r="W7" s="41">
        <f>1205402.21221795+767856.843398324</f>
        <v>1973259.055616274</v>
      </c>
      <c r="X7" s="41">
        <f>1226779.22699359+875811.838749238</f>
        <v>2102591.065742828</v>
      </c>
      <c r="Y7" s="41">
        <f>1249739.71635683+1010773.71532626</f>
        <v>2260513.43168309</v>
      </c>
      <c r="Z7" s="41">
        <f>0+1256264.46478952+1274915.30517198</f>
        <v>2531179.7699615001</v>
      </c>
      <c r="AA7" s="41">
        <f>1295256.89646395+1432232.05331903+2525.18742867228</f>
        <v>2730014.137211652</v>
      </c>
      <c r="AB7" s="41">
        <f>1316919.61101593+1620232.2612029+12344.7393347992</f>
        <v>2949496.6115536294</v>
      </c>
      <c r="AC7" s="41">
        <f>1336562.80719841+1792062.84696792+29608.4619412363</f>
        <v>3158234.1161075658</v>
      </c>
      <c r="AD7" s="41">
        <f>1364213.18002425+2030517.79850015+64728.979249387</f>
        <v>3459459.957773787</v>
      </c>
      <c r="AE7" s="41">
        <f>2549754.60617245+1425464.68121639+168386.099342775</f>
        <v>4143605.3867316148</v>
      </c>
      <c r="AF7" s="41">
        <f>1501263.09053358+3187898.63459364+372102.983002732</f>
        <v>5061264.7081299517</v>
      </c>
      <c r="AG7" s="41">
        <f>3763039.58282068+1569404.47334984+630628.382039808</f>
        <v>5963072.4382103272</v>
      </c>
      <c r="AH7" s="41">
        <f>1618133.9074435+4145741.85127576+829495.511948318</f>
        <v>6593371.2706675781</v>
      </c>
      <c r="AI7" s="41">
        <f>1642696.95302437+4340932.71194229+946771.635258247</f>
        <v>6930401.3002249068</v>
      </c>
      <c r="AJ7" s="42">
        <f>4511328.49568154+1664073.9678+1077003.16208399</f>
        <v>7252405.6255655298</v>
      </c>
      <c r="AK7" s="42">
        <f>1687034.45716324+4693010.40818545+1265252.36631532</f>
        <v>7645297.2316640103</v>
      </c>
      <c r="AL7" s="42">
        <f>1712210.0459784+4891543.24166763+1641376.33795409+0</f>
        <v>8245129.6256001201</v>
      </c>
      <c r="AM7" s="42">
        <f>5052739.86375009+1732551.63727036+1911640.27318468+1253.42360332781</f>
        <v>8698185.1978084575</v>
      </c>
      <c r="AN7" s="42">
        <f>1732551.63727036+5052739.86375009+2185253.32904143+5560.80473366166</f>
        <v>8976105.6347955409</v>
      </c>
      <c r="AO7" s="42">
        <f>1732551.63727036+5052739.86375009+2421802.76369268+13061.702246392</f>
        <v>9220155.966959523</v>
      </c>
      <c r="AP7" s="42">
        <f>1732551.63727036+5052739.86375009+2732242.85704468+30368.5390695881</f>
        <v>9547902.8971347176</v>
      </c>
      <c r="AQ7" s="42">
        <f>1732551.63727036+5052739.86375009+3554036.62270559+100531.273858199</f>
        <v>10439859.397584239</v>
      </c>
      <c r="AR7" s="42">
        <f>1732551.63727036+5052739.86375009+4555528.26111546+212895.505013392</f>
        <v>11553715.267149301</v>
      </c>
      <c r="AS7" s="42">
        <f>1732551.63727036+5052739.86375009+322105.295763935+5405425.46925048</f>
        <v>12512822.266034864</v>
      </c>
      <c r="AT7" s="42">
        <f>1732551.63727036+5052739.86375009+5940374.03413964+432894.262969335</f>
        <v>13158559.798129426</v>
      </c>
      <c r="AU7" s="42">
        <f>1732551.63727036+5052739.86375009+6185683.31482982+516541.208139873</f>
        <v>13487516.023990141</v>
      </c>
      <c r="AV7" s="42">
        <f>1732551.63727036+5052739.86375009+6427587.47489393+621723.187010393</f>
        <v>13834602.162924774</v>
      </c>
      <c r="AW7" s="42">
        <f>1732551.63727036+5052739.86375009+6724543.17738958+765226.551964491</f>
        <v>14275061.230374523</v>
      </c>
      <c r="AX7" s="42">
        <f>1732551.63727036+5052739.86375009+7033657.05359013+0+1046352.64926319</f>
        <v>14865301.20387377</v>
      </c>
      <c r="AY7" s="42">
        <f>1732551.63727036+5052739.86375009+7286724.5347563+1246487.99032941+333.200114373932</f>
        <v>15318837.226220533</v>
      </c>
      <c r="AZ7" s="42">
        <f>1732551.63727036+5052739.86375009+7532980.417105+1450153.96256527+5256.06099845434</f>
        <v>15773681.941689175</v>
      </c>
      <c r="BA7" s="42">
        <f>1732551.63727036+5052739.86375009+7747365.79382671+1638917.41612305+18773.9252216811</f>
        <v>16190348.636191892</v>
      </c>
      <c r="BB7" s="42">
        <f>1732551.63727036+5052739.86375009+8030776.70478272+1887664.47097062+58219.3972568166</f>
        <v>16761952.074030606</v>
      </c>
      <c r="BC7" s="42">
        <f>1732551.63727036+5052739.86375009+8787728.85198008+2491756.93485828+181133.993378782</f>
        <v>18245911.281237591</v>
      </c>
      <c r="BD7" s="42">
        <f>1732551.63727036+5052739.86375009+8787728.85198008+2672811.67678943+368870.407800439</f>
        <v>18614702.437590402</v>
      </c>
      <c r="BE7" s="42">
        <f>1732551.63727036+5052739.86375009+8787728.85198008+2846040.35221831+563455.737105415</f>
        <v>18982516.442324255</v>
      </c>
      <c r="BF7" s="42">
        <f>1732551.63727036+5052739.86375009+8787728.85198008+2959091.28025452+729245.09269557</f>
        <v>19261356.725950621</v>
      </c>
      <c r="BG7" s="42">
        <f>1732551.63727036+5052739.86375009+8787728.85198008+3009057.1880443+829200.898573197</f>
        <v>19411278.439618029</v>
      </c>
      <c r="BH7" s="42">
        <f>1732551.63727036+5052739.86375009+8787728.85198008+3062439.30492414+933551.64439326</f>
        <v>19569011.302317932</v>
      </c>
      <c r="BI7" s="42">
        <f>1732551.63727036+5052739.86375009+8787728.85198008+3124411.34367225+1065102.94077298</f>
        <v>19762534.637445763</v>
      </c>
      <c r="BJ7" s="42">
        <f>1732551.63727036+5052739.86375009+8787728.85198008+3187171.18375528+1275657.25923692+0</f>
        <v>20035848.795992732</v>
      </c>
      <c r="BK7" s="42">
        <f>1732551.63727036+5052739.86375009+8787728.85198008+3241636.36115493+1423380.86187868+298.595169486703</f>
        <v>20238336.171203632</v>
      </c>
      <c r="BL7" s="42">
        <f>1732551.63727036+5052739.86375009+8787728.85198008+3297086.02944971+1578309.15061228+2327.33992712599</f>
        <v>20450742.872989647</v>
      </c>
      <c r="BM7" s="42">
        <f>1732551.63727036+5052739.86375009+8787728.85198008+3343572.35506473+1720023.55203616+7691.38460229903</f>
        <v>20644307.64470372</v>
      </c>
      <c r="BN7" s="42">
        <f>1732551.63727036+5052739.86375009+8787728.85198008+3399226.69682231+1905237.20624291+20276.8894878616</f>
        <v>20897761.145553615</v>
      </c>
      <c r="BO7" s="42">
        <f>1732551.63727036+5052739.86375009+8787728.85198008+3555984.41917204+2316553.43164444+71543.9500216989</f>
        <v>21517102.153838709</v>
      </c>
      <c r="BP7" s="42">
        <f>1732551.63727036+5052739.86375009+8787728.85198008+2816714.72602216+3737039.16110318+151432.649655004</f>
        <v>22278206.889780875</v>
      </c>
      <c r="BQ7" s="42">
        <f>1732551.63727036+5052739.86375009+8787728.85198008+3265447.9910723+3910267.83653206+251896.455294292</f>
        <v>23000632.635899182</v>
      </c>
      <c r="BR7" s="42">
        <f>1732551.63727036+5052739.86375009+8787728.85198008+358320.308712409+3575964.03396414+4023318.76456827</f>
        <v>23530623.460245349</v>
      </c>
      <c r="BS7" s="42">
        <f>1732551.63727036+5052739.86375009+8787728.85198008+418234.353295302+3723981.77039006+4073284.67235806</f>
        <v>23788521.149043951</v>
      </c>
      <c r="BT7" s="122">
        <f t="shared" si="1"/>
        <v>24035715.313284352</v>
      </c>
      <c r="BU7" s="122">
        <f t="shared" si="1"/>
        <v>24353106.754061118</v>
      </c>
      <c r="BV7" s="122">
        <f t="shared" si="1"/>
        <v>24727307.698858</v>
      </c>
      <c r="BW7" s="122">
        <f t="shared" si="1"/>
        <v>25034674.533824641</v>
      </c>
      <c r="BX7" s="122">
        <f t="shared" si="1"/>
        <v>25355420.643690567</v>
      </c>
      <c r="BY7" s="122">
        <f t="shared" si="1"/>
        <v>25643900.427493114</v>
      </c>
      <c r="BZ7" s="122">
        <f t="shared" si="1"/>
        <v>26015051.488285881</v>
      </c>
      <c r="CA7" s="122">
        <f t="shared" si="1"/>
        <v>26015051.488285881</v>
      </c>
      <c r="CB7" s="122">
        <f t="shared" si="1"/>
        <v>26015051.488285881</v>
      </c>
      <c r="CC7" s="122">
        <f t="shared" si="1"/>
        <v>26015051.488285881</v>
      </c>
      <c r="CD7" s="122">
        <f t="shared" si="1"/>
        <v>26015051.488285881</v>
      </c>
      <c r="CE7" s="122">
        <f t="shared" si="1"/>
        <v>26015051.488285881</v>
      </c>
      <c r="CF7" s="122">
        <f t="shared" si="1"/>
        <v>26015051.488285881</v>
      </c>
      <c r="CG7" s="122">
        <f t="shared" si="1"/>
        <v>26015051.488285881</v>
      </c>
      <c r="CH7" s="122">
        <f t="shared" si="1"/>
        <v>26015051.488285881</v>
      </c>
    </row>
    <row r="8" spans="1:86" x14ac:dyDescent="0.25">
      <c r="A8" t="s">
        <v>36</v>
      </c>
      <c r="B8" s="37"/>
      <c r="C8" s="37"/>
      <c r="D8" s="41">
        <v>0</v>
      </c>
      <c r="E8" s="41">
        <v>9.4764517045030008</v>
      </c>
      <c r="F8" s="41">
        <v>1001.8612523359196</v>
      </c>
      <c r="G8" s="41">
        <v>8293.9860897862109</v>
      </c>
      <c r="H8" s="41">
        <v>24288.931102469891</v>
      </c>
      <c r="I8" s="41">
        <v>41453.172801788984</v>
      </c>
      <c r="J8" s="41">
        <v>61773.602905509295</v>
      </c>
      <c r="K8" s="41">
        <v>74844.476160899911</v>
      </c>
      <c r="L8" s="41">
        <v>95075.729248894699</v>
      </c>
      <c r="M8" s="41">
        <v>112674.42131148028</v>
      </c>
      <c r="N8" s="41">
        <f>149116.898347914+2495.31522954858</f>
        <v>151612.21357746256</v>
      </c>
      <c r="O8" s="41">
        <f>172665.632653367+6538.78485075769</f>
        <v>179204.41750412469</v>
      </c>
      <c r="P8" s="41">
        <f>198999.065865354+10691.96</f>
        <v>209691.02586535399</v>
      </c>
      <c r="Q8" s="41">
        <f>214433.573100532+15615.411023237</f>
        <v>230048.98412376898</v>
      </c>
      <c r="R8" s="41">
        <f>242343.682470679+27991.6814994831</f>
        <v>270335.36397016211</v>
      </c>
      <c r="S8" s="41">
        <f>297369.307609895+63323.2565301678</f>
        <v>360692.56414006278</v>
      </c>
      <c r="T8" s="41">
        <f>362730.224368532+118569.426249392</f>
        <v>481299.650617924</v>
      </c>
      <c r="U8" s="41">
        <f>412752.536562742+186293.939799171</f>
        <v>599046.47636191302</v>
      </c>
      <c r="V8" s="41">
        <f>448555.758987872+240533.431923752</f>
        <v>689089.190911624</v>
      </c>
      <c r="W8" s="41">
        <f>466039.889115418+271152.510747429</f>
        <v>737192.39986284706</v>
      </c>
      <c r="X8" s="41">
        <f>479807.654110303+301823.984581678</f>
        <v>781631.63869198097</v>
      </c>
      <c r="Y8" s="41">
        <f>492620.282531948+334587.787583975</f>
        <v>827208.07011592295</v>
      </c>
      <c r="Z8" s="41">
        <f>0+404998.961227826+507702.970763227</f>
        <v>912701.93199105305</v>
      </c>
      <c r="AA8" s="41">
        <f>519531.525065896+453258.730301713+316.371186578605</f>
        <v>973106.62655418762</v>
      </c>
      <c r="AB8" s="41">
        <f>532830.166075627+502500.843764669+3963.41790250729</f>
        <v>1039294.4277428032</v>
      </c>
      <c r="AC8" s="41">
        <f>547019.363809894+546654.322579609+11464.3819369255</f>
        <v>1105138.0683264285</v>
      </c>
      <c r="AD8" s="41">
        <f>567945.679235313+609646.330934998+24787.8771092902</f>
        <v>1202379.8872796011</v>
      </c>
      <c r="AE8" s="41">
        <f>773000.268499781+613523.115995542+60077.2894046587</f>
        <v>1446600.6738999817</v>
      </c>
      <c r="AF8" s="41">
        <f>669235.396164724+967864.058982049+112905.624081451</f>
        <v>1750005.079228224</v>
      </c>
      <c r="AG8" s="41">
        <f>1151960.04943504+719257.708358934+173117.579850733</f>
        <v>2044335.3376447072</v>
      </c>
      <c r="AH8" s="41">
        <f>755060.930784064+1260176.06694011+217693.762991659</f>
        <v>2232930.7607158329</v>
      </c>
      <c r="AI8" s="41">
        <f>772545.06091161+1307692.62083338+257419.588297883</f>
        <v>2337657.270042873</v>
      </c>
      <c r="AJ8" s="42">
        <f>1351673.1816212+786312.825906495+284297.053843323</f>
        <v>2422283.0613710182</v>
      </c>
      <c r="AK8" s="42">
        <f>799125.45432814+1399034.41595677+314994.051434842</f>
        <v>2513153.9217197523</v>
      </c>
      <c r="AL8" s="42">
        <f>814208.142559419+1452580.08108288+379038.513362365+0</f>
        <v>2645826.7370046638</v>
      </c>
      <c r="AM8" s="42">
        <f>1496870.2614464+826036.696862088+423523.44703517+428.435255762638</f>
        <v>2746858.8405994209</v>
      </c>
      <c r="AN8" s="42">
        <f>826036.696862088+1496870.2614464+468169.116884432+1535.56018610456</f>
        <v>2792611.6353790243</v>
      </c>
      <c r="AO8" s="42">
        <f>826036.696862088+1496870.2614464+510857.629586714+3544.1139690049</f>
        <v>2837308.7018642067</v>
      </c>
      <c r="AP8" s="42">
        <f>826036.696862088+1496870.2614464+570980.908547959+8192.78926688263</f>
        <v>2902080.6561233299</v>
      </c>
      <c r="AQ8" s="42">
        <f>826036.696862088+1496870.2614464+728804.508263821+43751.9016745368</f>
        <v>3095463.3682468459</v>
      </c>
      <c r="AR8" s="42">
        <f>826036.696862088+1496870.2614464+918526.047082301+122033.571667777</f>
        <v>3363466.5770585663</v>
      </c>
      <c r="AS8" s="42">
        <f>826036.696862088+1496870.2614464+190553.352008513+1080573.10443634</f>
        <v>3594033.4147533411</v>
      </c>
      <c r="AT8" s="42">
        <f>826036.696862088+1496870.2614464+1181826.60791387+238338.634425976</f>
        <v>3743072.2006483339</v>
      </c>
      <c r="AU8" s="42">
        <f>826036.696862088+1496870.2614464+1226826.21548337+257812.134799825</f>
        <v>3807545.3085916834</v>
      </c>
      <c r="AV8" s="42">
        <f>826036.696862088+1496870.2614464+1267064.07506289+277169.800351937</f>
        <v>3867140.833723315</v>
      </c>
      <c r="AW8" s="42">
        <f>826036.696862088+1496870.2614464+1312629.27278731+299259.565821921</f>
        <v>3934795.7969177193</v>
      </c>
      <c r="AX8" s="42">
        <f>826036.696862088+1496870.2614464+1362474.5024747+0+362067.598588817</f>
        <v>4047449.0593720051</v>
      </c>
      <c r="AY8" s="42">
        <f>826036.696862088+1496870.2614464+1402404.20854405+401763.603458155+773.072474685892</f>
        <v>4127847.8427853794</v>
      </c>
      <c r="AZ8" s="42">
        <f>826036.696862088+1496870.2614464+1442686.07145245+444982.683323108+2676.13774296044</f>
        <v>4213251.8508270066</v>
      </c>
      <c r="BA8" s="42">
        <f>826036.696862088+1496870.2614464+1481312.59102927+491458.373276417+5986.4677394195</f>
        <v>4301664.390353594</v>
      </c>
      <c r="BB8" s="42">
        <f>826036.696862088+1496870.2614464+1535957.27021803+563092.984572772+13060.6091667066</f>
        <v>4435017.8222659975</v>
      </c>
      <c r="BC8" s="42">
        <f>826036.696862088+1496870.2614464+1680662.62154068+773124.700300392+33616.607400107</f>
        <v>4810310.8875496676</v>
      </c>
      <c r="BD8" s="42">
        <f>826036.696862088+1496870.2614464+1680662.62154068+858589.35892493+64463.3208059128</f>
        <v>4926622.2595800105</v>
      </c>
      <c r="BE8" s="42">
        <f>826036.696862088+1496870.2614464+1680662.62154068+940966.086668578+102118.943503546</f>
        <v>5046654.6100212913</v>
      </c>
      <c r="BF8" s="42">
        <f>826036.696862088+1496870.2614464+1680662.62154068+993118.242537058+137064.159626629</f>
        <v>5133751.9820128549</v>
      </c>
      <c r="BG8" s="42">
        <f>826036.696862088+1496870.2614464+1680662.62154068+1013775.55339483+157236.407258354</f>
        <v>5174581.5405023526</v>
      </c>
      <c r="BH8" s="42">
        <f>826036.696862088+1496870.2614464+1680662.62154068+1032546.56890768+179248.423291399</f>
        <v>5215364.5720482478</v>
      </c>
      <c r="BI8" s="42">
        <f>826036.696862088+1496870.2614464+1680662.62154068+1051735.02309549+212684.567887169</f>
        <v>5267989.1708318274</v>
      </c>
      <c r="BJ8" s="42">
        <f>826036.696862088+1496870.2614464+1680662.62154068+1071865.52733405+282975.831026469+0</f>
        <v>5358410.9382096874</v>
      </c>
      <c r="BK8" s="42">
        <f>826036.696862088+1496870.2614464+1680662.62154068+1089155.03370811+326115.238276781+78.3061894503902</f>
        <v>5418918.1580235092</v>
      </c>
      <c r="BL8" s="42">
        <f>826036.696862088+1496870.2614464+1680662.62154068+1107842.69324589+369900.800558233+417.526118264045</f>
        <v>5481730.5997715546</v>
      </c>
      <c r="BM8" s="42">
        <f>826036.696862088+1496870.2614464+1680662.62154068+1126341.03945842+410751.822634715+987.065863550129</f>
        <v>5541649.5078058522</v>
      </c>
      <c r="BN8" s="42">
        <f>826036.696862088+1496870.2614464+1680662.62154068+1152353.74553679+468945.197753246+3006.46488469224</f>
        <v>5627874.9880238958</v>
      </c>
      <c r="BO8" s="42">
        <f>826036.696862088+1496870.2614464+1680662.62154068+1227091.12617693+609378.608219502+12719.1477816117</f>
        <v>5852758.4620272117</v>
      </c>
      <c r="BP8" s="42">
        <f>826036.696862088+1496870.2614464+1680662.62154068+775832.932180613+1312555.78480147+27710.7650361884</f>
        <v>6119669.0618674392</v>
      </c>
      <c r="BQ8" s="42">
        <f>826036.696862088+1496870.2614464+1680662.62154068+930723.232444179+1394932.51254512+47791.0506389555</f>
        <v>6377016.375477422</v>
      </c>
      <c r="BR8" s="42">
        <f>826036.696862088+1496870.2614464+1680662.62154068+76609.5865045034+1028640.91992435+1447084.6684136</f>
        <v>6555904.7546916213</v>
      </c>
      <c r="BS8" s="42">
        <f>826036.696862088+1496870.2614464+1680662.62154068+95500.1523632332+1071149.12583249+1467741.97927137</f>
        <v>6637960.8373162616</v>
      </c>
      <c r="BT8" s="122">
        <f t="shared" si="1"/>
        <v>6710647.9140903</v>
      </c>
      <c r="BU8" s="122">
        <f t="shared" si="1"/>
        <v>6802179.7017267952</v>
      </c>
      <c r="BV8" s="122">
        <f t="shared" si="1"/>
        <v>6914788.6828051116</v>
      </c>
      <c r="BW8" s="122">
        <f t="shared" si="1"/>
        <v>7008215.6928271158</v>
      </c>
      <c r="BX8" s="122">
        <f t="shared" si="1"/>
        <v>7106509.3890206628</v>
      </c>
      <c r="BY8" s="122">
        <f t="shared" si="1"/>
        <v>7201232.0452234093</v>
      </c>
      <c r="BZ8" s="122">
        <f t="shared" si="1"/>
        <v>7332993.1523953266</v>
      </c>
      <c r="CA8" s="122">
        <f t="shared" si="1"/>
        <v>7332993.1523953266</v>
      </c>
      <c r="CB8" s="122">
        <f t="shared" si="1"/>
        <v>7332993.1523953266</v>
      </c>
      <c r="CC8" s="122">
        <f t="shared" si="1"/>
        <v>7332993.1523953266</v>
      </c>
      <c r="CD8" s="122">
        <f t="shared" si="1"/>
        <v>7332993.1523953266</v>
      </c>
      <c r="CE8" s="122">
        <f t="shared" si="1"/>
        <v>7332993.1523953266</v>
      </c>
      <c r="CF8" s="122">
        <f t="shared" si="1"/>
        <v>7332993.1523953266</v>
      </c>
      <c r="CG8" s="122">
        <f t="shared" si="1"/>
        <v>7332993.1523953266</v>
      </c>
      <c r="CH8" s="122">
        <f t="shared" si="1"/>
        <v>7332993.1523953266</v>
      </c>
    </row>
    <row r="9" spans="1:86" x14ac:dyDescent="0.25">
      <c r="A9" t="s">
        <v>37</v>
      </c>
      <c r="B9" s="37"/>
      <c r="C9" s="37"/>
      <c r="D9" s="41">
        <v>0</v>
      </c>
      <c r="E9" s="41">
        <v>0</v>
      </c>
      <c r="F9" s="41">
        <v>158.37627524588399</v>
      </c>
      <c r="G9" s="41">
        <v>755.54938000889456</v>
      </c>
      <c r="H9" s="41">
        <v>755.54938000889456</v>
      </c>
      <c r="I9" s="41">
        <v>925.36208771611018</v>
      </c>
      <c r="J9" s="41">
        <v>1379.3004935951622</v>
      </c>
      <c r="K9" s="41">
        <v>1835.58070746455</v>
      </c>
      <c r="L9" s="41">
        <v>6155.0061088806679</v>
      </c>
      <c r="M9" s="41">
        <v>8236.874151785245</v>
      </c>
      <c r="N9" s="41">
        <f>13562.7597608119+138.626164131286</f>
        <v>13701.385924943186</v>
      </c>
      <c r="O9" s="41">
        <f>17263.8824571859+353.550591382716</f>
        <v>17617.433048568615</v>
      </c>
      <c r="P9" s="41">
        <f>21317.282792059+586.93</f>
        <v>21904.212792058999</v>
      </c>
      <c r="Q9" s="41">
        <f>24168.0082624545+1718.74950926182</f>
        <v>25886.757771716319</v>
      </c>
      <c r="R9" s="41">
        <f>32203.5396191439+4982.55613938445</f>
        <v>37186.095758528347</v>
      </c>
      <c r="S9" s="41">
        <f>64792.9795908073+9659.39721839115</f>
        <v>74452.376809198453</v>
      </c>
      <c r="T9" s="41">
        <f>98806.2177037551+14952.0147372461</f>
        <v>113758.23244100119</v>
      </c>
      <c r="U9" s="41">
        <f>131838.40615304+21745.3743989093</f>
        <v>153583.78055194931</v>
      </c>
      <c r="V9" s="41">
        <f>149160.350157108+28725.5832532046</f>
        <v>177885.9334103126</v>
      </c>
      <c r="W9" s="41">
        <f>152614.128399062+34345.9926874673</f>
        <v>186960.12108652928</v>
      </c>
      <c r="X9" s="41">
        <f>155340.05703449+40087.6628308016</f>
        <v>195427.71986529158</v>
      </c>
      <c r="Y9" s="41">
        <f>158077.383578233+47393.8114639495</f>
        <v>205471.19504218252</v>
      </c>
      <c r="Z9" s="41">
        <f>0+55585.5858286291+160980.543334341</f>
        <v>216566.12916297009</v>
      </c>
      <c r="AA9" s="41">
        <f>163459.380508858+61970.7946914559+81.8331600744329</f>
        <v>225512.00836038834</v>
      </c>
      <c r="AB9" s="41">
        <f>166001.096711098+68438.977931473+539.260172682086</f>
        <v>234979.3348152531</v>
      </c>
      <c r="AC9" s="41">
        <f>168884.624573979+74783.2787675966+1316.83630350934</f>
        <v>244984.73964508492</v>
      </c>
      <c r="AD9" s="41">
        <f>175990.498122691+85254.1162564587+2444.8295092239</f>
        <v>263689.44388837361</v>
      </c>
      <c r="AE9" s="41">
        <f>112907.344246724+206920.02007512+5341.09515724763</f>
        <v>325168.45947909163</v>
      </c>
      <c r="AF9" s="41">
        <f>239230.818921814+142785.098528873+10311.9184670297</f>
        <v>392327.83591771673</v>
      </c>
      <c r="AG9" s="41">
        <f>171189.624703516+272263.007371098+15791.68697787</f>
        <v>459244.31905248394</v>
      </c>
      <c r="AH9" s="41">
        <f>289584.951375166+188671.00399183+20474.7546551417</f>
        <v>498730.71002213767</v>
      </c>
      <c r="AI9" s="41">
        <f>293038.72961712+197791.085502065+24292.1815736763</f>
        <v>515121.99669286131</v>
      </c>
      <c r="AJ9" s="42">
        <f>204735.633126684+295764.658252548+27747.6293437107</f>
        <v>528247.92072294268</v>
      </c>
      <c r="AK9" s="42">
        <f>298501.984796291+211647.654332588+31508.4493580767</f>
        <v>541658.08848695562</v>
      </c>
      <c r="AL9" s="42">
        <f>301405.144552399+218731.113645004+36145.6056325904+0</f>
        <v>556281.86382999341</v>
      </c>
      <c r="AM9" s="42">
        <f>224490.252079482+303883.981726917+39707.0999284502+0</f>
        <v>568081.33373484912</v>
      </c>
      <c r="AN9" s="42">
        <f>303883.981726917+224490.252079482+42919.4493251829+479.9651912062</f>
        <v>571773.64832278807</v>
      </c>
      <c r="AO9" s="42">
        <f>303883.981726917+224490.252079482+46248.9804806207+1355.21961145865</f>
        <v>575978.43389847828</v>
      </c>
      <c r="AP9" s="42">
        <f>303883.981726917+224490.252079482+51372.9123126338+2553.53283171903</f>
        <v>582300.67895075178</v>
      </c>
      <c r="AQ9" s="42">
        <f>303883.981726917+224490.252079482+64237.6461575233+6687.53924973621</f>
        <v>599299.41921365843</v>
      </c>
      <c r="AR9" s="42">
        <f>303883.981726917+224490.252079482+78647.7499756518+16731.9671927205</f>
        <v>623753.95097477117</v>
      </c>
      <c r="AS9" s="42">
        <f>303883.981726917+224490.252079482+27999.2815485758+91886.0464180515</f>
        <v>648259.56177302625</v>
      </c>
      <c r="AT9" s="42">
        <f>303883.981726917+224490.252079482+101109.981598991+36978.7722125651</f>
        <v>666462.98761795496</v>
      </c>
      <c r="AU9" s="42">
        <f>303883.981726917+224490.252079482+105469.788634032+40470.2048695911</f>
        <v>674314.22731002199</v>
      </c>
      <c r="AV9" s="42">
        <f>303883.981726917+224490.252079482+108799.502527816+42048.5036481409</f>
        <v>679222.23998235585</v>
      </c>
      <c r="AW9" s="42">
        <f>303883.981726917+224490.252079482+112157.299190141+44614.1117138448</f>
        <v>685145.64471038477</v>
      </c>
      <c r="AX9" s="42">
        <f>303883.981726917+224490.252079482+115542.127664184+0+47581.3145247701</f>
        <v>691497.67599535303</v>
      </c>
      <c r="AY9" s="42">
        <f>303883.981726917+224490.252079482+118249.833770243+50488.3158338303+0</f>
        <v>697112.38341047219</v>
      </c>
      <c r="AZ9" s="42">
        <f>303883.981726917+224490.252079482+121332.28852706+54102.7131128939+114.679390488596</f>
        <v>703923.91483684129</v>
      </c>
      <c r="BA9" s="42">
        <f>303883.981726917+224490.252079482+124488.592551701+58836.2434062336+345.703073949611</f>
        <v>712044.7728382831</v>
      </c>
      <c r="BB9" s="42">
        <f>303883.981726917+224490.252079482+129289.565259168+70206.7741306382+716.596272958325</f>
        <v>728587.16946916352</v>
      </c>
      <c r="BC9" s="42">
        <f>303883.981726917+224490.252079482+141161.75107072+119198.144956531+8376.26163751826</f>
        <v>797110.39147116826</v>
      </c>
      <c r="BD9" s="42">
        <f>303883.981726917+224490.252079482+141161.75107072+138355.628870877+25843.4576078165</f>
        <v>833735.07135581248</v>
      </c>
      <c r="BE9" s="42">
        <f>303883.981726917+224490.252079482+141161.75107072+158430.927803028+43939.7663014035</f>
        <v>871906.6789815505</v>
      </c>
      <c r="BF9" s="42">
        <f>303883.981726917+224490.252079482+141161.75107072+168289.375465041+53864.707918875</f>
        <v>891690.06826103502</v>
      </c>
      <c r="BG9" s="42">
        <f>303883.981726917+224490.252079482+141161.75107072+169462.27741854+56328.1826428716</f>
        <v>895326.44493853056</v>
      </c>
      <c r="BH9" s="42">
        <f>303883.981726917+224490.252079482+141161.75107072+170369.180590144+57791.0029396875</f>
        <v>897696.16840695043</v>
      </c>
      <c r="BI9" s="42">
        <f>303883.981726917+224490.252079482+141161.75107072+171135.693780381+60152.5435227095</f>
        <v>900824.22218020947</v>
      </c>
      <c r="BJ9" s="42">
        <f>303883.981726917+224490.252079482+141161.75107072+171812.576866333+71460.1793674866+0</f>
        <v>912808.7411109386</v>
      </c>
      <c r="BK9" s="42">
        <f>303883.981726917+224490.252079482+141161.75107072+172544.949154042+77811.9352979422+29.7383176418387</f>
        <v>919922.60764674516</v>
      </c>
      <c r="BL9" s="42">
        <f>303883.981726917+224490.252079482+141161.75107072+173450.551216223+84752.2176352396+109.69617389092</f>
        <v>927848.44990247244</v>
      </c>
      <c r="BM9" s="42">
        <f>303883.981726917+224490.252079482+141161.75107072+174730.384622077+93076.7301000537+218.775771277565</f>
        <v>937561.87537052727</v>
      </c>
      <c r="BN9" s="42">
        <f>303883.981726917+224490.252079482+141161.75107072+178536.101599096+107709.122118867+373.090647810255</f>
        <v>956154.29924289219</v>
      </c>
      <c r="BO9" s="42">
        <f>303883.981726917+224490.252079482+141161.75107072+196502.769462641+144943.084999681+584.553469548704</f>
        <v>1011566.3928089896</v>
      </c>
      <c r="BP9" s="42">
        <f>303883.981726917+224490.252079482+141161.75107072+186282.440339938+215660.253376987+962.954992637904</f>
        <v>1072441.6335866819</v>
      </c>
      <c r="BQ9" s="42">
        <f>303883.981726917+224490.252079482+141161.75107072+226329.707361769+235735.552309138+1547.78673571928</f>
        <v>1133149.0312837453</v>
      </c>
      <c r="BR9" s="42">
        <f>303883.981726917+224490.252079482+141161.75107072+6128.08375514701+251342.165232795+245593.999971151</f>
        <v>1172600.2338362122</v>
      </c>
      <c r="BS9" s="42">
        <f>303883.981726917+224490.252079482+141161.75107072+9843.63651167721+261264.303330169+246766.90192465</f>
        <v>1187410.826643615</v>
      </c>
      <c r="BT9" s="122">
        <f t="shared" si="1"/>
        <v>1195947.2030556211</v>
      </c>
      <c r="BU9" s="122">
        <f t="shared" si="1"/>
        <v>1206049.7024813336</v>
      </c>
      <c r="BV9" s="122">
        <f t="shared" si="1"/>
        <v>1219057.3589652174</v>
      </c>
      <c r="BW9" s="122">
        <f t="shared" si="1"/>
        <v>1229580.262885784</v>
      </c>
      <c r="BX9" s="122">
        <f t="shared" si="1"/>
        <v>1241347.1778851033</v>
      </c>
      <c r="BY9" s="122">
        <f t="shared" si="1"/>
        <v>1255805.8529945337</v>
      </c>
      <c r="BZ9" s="122">
        <f t="shared" si="1"/>
        <v>1285838.0639371667</v>
      </c>
      <c r="CA9" s="122">
        <f t="shared" si="1"/>
        <v>1285838.0639371667</v>
      </c>
      <c r="CB9" s="122">
        <f t="shared" si="1"/>
        <v>1285838.0639371667</v>
      </c>
      <c r="CC9" s="122">
        <f t="shared" si="1"/>
        <v>1285838.0639371667</v>
      </c>
      <c r="CD9" s="122">
        <f t="shared" si="1"/>
        <v>1285838.0639371667</v>
      </c>
      <c r="CE9" s="122">
        <f t="shared" si="1"/>
        <v>1285838.0639371667</v>
      </c>
      <c r="CF9" s="122">
        <f t="shared" si="1"/>
        <v>1285838.0639371667</v>
      </c>
      <c r="CG9" s="122">
        <f t="shared" si="1"/>
        <v>1285838.0639371667</v>
      </c>
      <c r="CH9" s="122">
        <f t="shared" si="1"/>
        <v>1285838.0639371667</v>
      </c>
    </row>
    <row r="10" spans="1:86" x14ac:dyDescent="0.25">
      <c r="A10" t="s">
        <v>29</v>
      </c>
      <c r="B10" s="37"/>
      <c r="C10" s="37"/>
      <c r="D10" s="41">
        <v>0</v>
      </c>
      <c r="E10" s="41">
        <v>0</v>
      </c>
      <c r="F10" s="41">
        <v>0</v>
      </c>
      <c r="G10" s="41">
        <v>0</v>
      </c>
      <c r="H10" s="41">
        <v>0</v>
      </c>
      <c r="I10" s="41">
        <v>1171.3068451326408</v>
      </c>
      <c r="J10" s="41">
        <v>3700.907022561827</v>
      </c>
      <c r="K10" s="41">
        <v>5539.3571582453487</v>
      </c>
      <c r="L10" s="41">
        <v>8956.0281318371599</v>
      </c>
      <c r="M10" s="41">
        <v>18324.45392310356</v>
      </c>
      <c r="N10" s="41">
        <f>43332.3471457788+0</f>
        <v>43332.347145778796</v>
      </c>
      <c r="O10" s="41">
        <f>61312.2701812421+397.830372724897</f>
        <v>61710.100553967</v>
      </c>
      <c r="P10" s="41">
        <f>77306.9724967612+1306.65</f>
        <v>78613.622496761192</v>
      </c>
      <c r="Q10" s="41">
        <f>82025.5913960804+3919.1783998443</f>
        <v>85944.769795924702</v>
      </c>
      <c r="R10" s="41">
        <f>86341.6270464909+8850.02127569848</f>
        <v>95191.648322189387</v>
      </c>
      <c r="S10" s="41">
        <f>93970.6450995064+24254.3883158056</f>
        <v>118225.03341531199</v>
      </c>
      <c r="T10" s="41">
        <f>102742.311172409+50641.4062829469</f>
        <v>153383.71745535589</v>
      </c>
      <c r="U10" s="41">
        <f>108938.808668724+93694.416165562</f>
        <v>202633.224834286</v>
      </c>
      <c r="V10" s="41">
        <f>114763.827420578+145189.028547583</f>
        <v>259952.85596816102</v>
      </c>
      <c r="W10" s="41">
        <f>118480.956904006+171088.895388388</f>
        <v>289569.85229239397</v>
      </c>
      <c r="X10" s="41">
        <f>123214.252638179+208353.48222588</f>
        <v>331567.73486405902</v>
      </c>
      <c r="Y10" s="41">
        <f>129344.073402799+259500.738190466</f>
        <v>388844.81159326504</v>
      </c>
      <c r="Z10" s="41">
        <f>799.79+312354.038127241+135524.962639303</f>
        <v>448678.790766544</v>
      </c>
      <c r="AA10" s="41">
        <f>140836.478882876+358768.703391212+4016.66050210166</f>
        <v>503621.84277618962</v>
      </c>
      <c r="AB10" s="41">
        <f>145722.158768433+404265.534773745+9755.2033449081</f>
        <v>559742.8968870861</v>
      </c>
      <c r="AC10" s="41">
        <f>149269.970968584+441306.979228605+15201.2788528235</f>
        <v>605778.22905001254</v>
      </c>
      <c r="AD10" s="41">
        <f>152562.42364876+479567.999959514+21941.0554776762</f>
        <v>654071.47908595018</v>
      </c>
      <c r="AE10" s="41">
        <f>573057.378040444+158294.666836985+41763.4466717188</f>
        <v>773115.49154914788</v>
      </c>
      <c r="AF10" s="41">
        <f>164852.742236285+680247.898900916+75559.8480492728</f>
        <v>920660.48918647377</v>
      </c>
      <c r="AG10" s="41">
        <f>785035.64649227+171049.2397326+119424.045189374</f>
        <v>1075508.931414244</v>
      </c>
      <c r="AH10" s="41">
        <f>176874.258484454+857256.672063742+160309.586464035</f>
        <v>1194440.5170122311</v>
      </c>
      <c r="AI10" s="41">
        <f>180591.387967882+889673.520472137+183844.378463774</f>
        <v>1254109.286903793</v>
      </c>
      <c r="AJ10" s="42">
        <f>928572.722849741+185324.683702055+219513.039009099</f>
        <v>1333410.4455608949</v>
      </c>
      <c r="AK10" s="42">
        <f>191454.504466675+975140.175482978+272473.779249956</f>
        <v>1439068.4591996088</v>
      </c>
      <c r="AL10" s="42">
        <f>197635.393703179+1021778.67845845+339694.198613752+0</f>
        <v>1559108.270775381</v>
      </c>
      <c r="AM10" s="42">
        <f>1062703.1835047+202946.909946752+394633.358575045+41.7668954428973</f>
        <v>1660325.2189219401</v>
      </c>
      <c r="AN10" s="42">
        <f>202946.909946752+1062703.1835047+440953.812245364+445.619668828348</f>
        <v>1707049.5253656444</v>
      </c>
      <c r="AO10" s="42">
        <f>202946.909946752+1062703.1835047+475391.946886287+1419.73476576688</f>
        <v>1742461.7751035059</v>
      </c>
      <c r="AP10" s="42">
        <f>202946.909946752+1062703.1835047+508134.549056442+4903.99859369373</f>
        <v>1778688.6411015878</v>
      </c>
      <c r="AQ10" s="42">
        <f>202946.909946752+1062703.1835047+587362.608319045+23954.5361468206</f>
        <v>1876967.2379173175</v>
      </c>
      <c r="AR10" s="42">
        <f>202946.909946752+1062703.1835047+679496.996258472+67791.5834972967</f>
        <v>2012938.6732072209</v>
      </c>
      <c r="AS10" s="42">
        <f>202946.909946752+1062703.1835047+122922.206635666+749459.303019057</f>
        <v>2138031.6031061751</v>
      </c>
      <c r="AT10" s="42">
        <f>202946.909946752+1062703.1835047+800766.761361204+175897.299313043</f>
        <v>2242314.1541256988</v>
      </c>
      <c r="AU10" s="42">
        <f>202946.909946752+1062703.1835047+827223.420147666+207333.733696471</f>
        <v>2300207.2472955892</v>
      </c>
      <c r="AV10" s="42">
        <f>202946.909946752+1062703.1835047+862103.571853189+245732.728575372</f>
        <v>2373486.3938800134</v>
      </c>
      <c r="AW10" s="42">
        <f>202946.909946752+1062703.1835047+910561.849696272+306080.547701211</f>
        <v>2482292.4908489352</v>
      </c>
      <c r="AX10" s="42">
        <f>202946.909946752+1062703.1835047+959393.462001548+200.891253625536+390737.332249141</f>
        <v>2615981.7789557665</v>
      </c>
      <c r="AY10" s="42">
        <f>202946.909946752+1062703.1835047+1000995.438811+456715.853885867+1761.32559458878</f>
        <v>2725122.7117429078</v>
      </c>
      <c r="AZ10" s="42">
        <f>202946.909946752+1062703.1835047+1037321.6671694+516870.06464314+5816.00239027841</f>
        <v>2825657.8276542705</v>
      </c>
      <c r="BA10" s="42">
        <f>202946.909946752+1062703.1835047+1063007.35842547+565286.730308686+15118.2579471997</f>
        <v>2909062.4401328075</v>
      </c>
      <c r="BB10" s="42">
        <f>202946.909946752+1062703.1835047+1086961.49697722+622731.337624391+36044.7780490751</f>
        <v>3011387.7061021379</v>
      </c>
      <c r="BC10" s="42">
        <f>202946.909946752+1062703.1835047+1148229.1782697+778762.560768504+118428.52988398</f>
        <v>3311070.3623736356</v>
      </c>
      <c r="BD10" s="42">
        <f>202946.909946752+1062703.1835047+1148229.1782697+796368.508738126+244983.82341064</f>
        <v>3455231.6038699178</v>
      </c>
      <c r="BE10" s="42">
        <f>202946.909946752+1062703.1835047+1148229.1782697+812360.231826526+385311.075195283</f>
        <v>3611550.5787429609</v>
      </c>
      <c r="BF10" s="42">
        <f>202946.909946752+1062703.1835047+1148229.1782697+823943.594642935+498115.142239004</f>
        <v>3735938.0086030904</v>
      </c>
      <c r="BG10" s="42">
        <f>202946.909946752+1062703.1835047+1148229.1782697+829428.844477461+549780.493122271</f>
        <v>3793088.6093208836</v>
      </c>
      <c r="BH10" s="42">
        <f>202946.909946752+1062703.1835047+1148229.1782697+835022.609348226+615179.831345904</f>
        <v>3864081.7124152817</v>
      </c>
      <c r="BI10" s="42">
        <f>202946.909946752+1062703.1835047+1148229.1782697+841772.414625937+702249.285814073</f>
        <v>3957900.9721611617</v>
      </c>
      <c r="BJ10" s="42">
        <f>202946.909946752+1062703.1835047+1148229.1782697+848680.328247699+805584.675742575+0</f>
        <v>4068144.2757114256</v>
      </c>
      <c r="BK10" s="42">
        <f>202946.909946752+1062703.1835047+1148229.1782697+854256.996126034+889052.141304892+406.495727778726</f>
        <v>4157594.9048798564</v>
      </c>
      <c r="BL10" s="42">
        <f>202946.909946752+1062703.1835047+1148229.1782697+859689.649773719+970132.961814548+5756.0897660828</f>
        <v>4249457.9730755007</v>
      </c>
      <c r="BM10" s="42">
        <f>202946.909946752+1062703.1835047+1148229.1782697+864571.161351371+1040658.94770056+18499.91611616</f>
        <v>4337609.2968892427</v>
      </c>
      <c r="BN10" s="42">
        <f>202946.909946752+1062703.1835047+1148229.1782697+870545.725952504+1115635.65828881+41711.6291164153</f>
        <v>4441772.2850788804</v>
      </c>
      <c r="BO10" s="42">
        <f>202946.909946752+1062703.1835047+1148229.1782697+884487.332855524+1330601.02007873+121148.223434442</f>
        <v>4750115.8480898477</v>
      </c>
      <c r="BP10" s="42">
        <f>202946.909946752+1062703.1835047+1148229.1782697+1576740.61184775+902093.280825145+246961.206074322</f>
        <v>5139674.3704683678</v>
      </c>
      <c r="BQ10" s="42">
        <f>202946.909946752+1062703.1835047+1148229.1782697+1815378.4222979+918085.003913546+371825.319150358</f>
        <v>5519168.0170829557</v>
      </c>
      <c r="BR10" s="42">
        <f>202946.909946752+1062703.1835047+1148229.1782697+463377.371809192+2013377.15089767+929668.366729954</f>
        <v>5820302.1611579675</v>
      </c>
      <c r="BS10" s="42">
        <f>202946.909946752+1062703.1835047+1148229.1782697+509031.847318801+2108921.37475462+935153.616564481</f>
        <v>5966986.1103590541</v>
      </c>
      <c r="BT10" s="122">
        <f t="shared" si="1"/>
        <v>6134121.9429759244</v>
      </c>
      <c r="BU10" s="122">
        <f t="shared" si="1"/>
        <v>6342088.0862630317</v>
      </c>
      <c r="BV10" s="122">
        <f t="shared" si="1"/>
        <v>6555698.8978559133</v>
      </c>
      <c r="BW10" s="122">
        <f t="shared" si="1"/>
        <v>6732970.9045583187</v>
      </c>
      <c r="BX10" s="122">
        <f t="shared" si="1"/>
        <v>6905138.7572821658</v>
      </c>
      <c r="BY10" s="122">
        <f t="shared" si="1"/>
        <v>7054977.1247887816</v>
      </c>
      <c r="BZ10" s="122">
        <f t="shared" si="1"/>
        <v>7220075.6194846015</v>
      </c>
      <c r="CA10" s="122">
        <f t="shared" si="1"/>
        <v>7220075.6194846015</v>
      </c>
      <c r="CB10" s="122">
        <f t="shared" si="1"/>
        <v>7220075.6194846015</v>
      </c>
      <c r="CC10" s="122">
        <f t="shared" si="1"/>
        <v>7220075.6194846015</v>
      </c>
      <c r="CD10" s="122">
        <f t="shared" si="1"/>
        <v>7220075.6194846015</v>
      </c>
      <c r="CE10" s="122">
        <f t="shared" si="1"/>
        <v>7220075.6194846015</v>
      </c>
      <c r="CF10" s="122">
        <f t="shared" si="1"/>
        <v>7220075.6194846015</v>
      </c>
      <c r="CG10" s="122">
        <f t="shared" si="1"/>
        <v>7220075.6194846015</v>
      </c>
      <c r="CH10" s="122">
        <f t="shared" si="1"/>
        <v>7220075.6194846015</v>
      </c>
    </row>
    <row r="11" spans="1:86" x14ac:dyDescent="0.25">
      <c r="A11" s="33" t="s">
        <v>31</v>
      </c>
      <c r="B11" s="31"/>
      <c r="C11" s="31"/>
      <c r="D11" s="44">
        <f>SUM(D5:D10)</f>
        <v>0.71203150918887492</v>
      </c>
      <c r="E11" s="44">
        <f t="shared" ref="E11:AW11" si="2">SUM(E5:E10)</f>
        <v>4696.1328003699246</v>
      </c>
      <c r="F11" s="44">
        <f t="shared" si="2"/>
        <v>44631.702922297307</v>
      </c>
      <c r="G11" s="44">
        <f t="shared" si="2"/>
        <v>336308.07648475753</v>
      </c>
      <c r="H11" s="44">
        <f t="shared" si="2"/>
        <v>881174.41106336564</v>
      </c>
      <c r="I11" s="44">
        <f t="shared" si="2"/>
        <v>1544215.3586297561</v>
      </c>
      <c r="J11" s="44">
        <f t="shared" si="2"/>
        <v>2091960.0350125048</v>
      </c>
      <c r="K11" s="44">
        <f t="shared" si="2"/>
        <v>2362027.9257338243</v>
      </c>
      <c r="L11" s="44">
        <f t="shared" si="2"/>
        <v>2811476.7586528142</v>
      </c>
      <c r="M11" s="44">
        <f t="shared" si="2"/>
        <v>3483860.8742763405</v>
      </c>
      <c r="N11" s="44">
        <f t="shared" si="2"/>
        <v>4344159.9274297412</v>
      </c>
      <c r="O11" s="44">
        <f t="shared" si="2"/>
        <v>5265229.6128245099</v>
      </c>
      <c r="P11" s="44">
        <f t="shared" si="2"/>
        <v>5992471.9783231523</v>
      </c>
      <c r="Q11" s="44">
        <f t="shared" si="2"/>
        <v>6322967.2493307423</v>
      </c>
      <c r="R11" s="44">
        <f t="shared" si="2"/>
        <v>6771481.6294312896</v>
      </c>
      <c r="S11" s="44">
        <f t="shared" si="2"/>
        <v>7937948.4820839018</v>
      </c>
      <c r="T11" s="44">
        <f t="shared" si="2"/>
        <v>9534850.6535320561</v>
      </c>
      <c r="U11" s="44">
        <f t="shared" si="2"/>
        <v>11283123.065320907</v>
      </c>
      <c r="V11" s="44">
        <f t="shared" si="2"/>
        <v>12802594.081558477</v>
      </c>
      <c r="W11" s="44">
        <f t="shared" si="2"/>
        <v>13567474.535243882</v>
      </c>
      <c r="X11" s="44">
        <f t="shared" si="2"/>
        <v>14476282.187533755</v>
      </c>
      <c r="Y11" s="44">
        <f t="shared" si="2"/>
        <v>15596345.04408953</v>
      </c>
      <c r="Z11" s="44">
        <f t="shared" si="2"/>
        <v>16973565.708406165</v>
      </c>
      <c r="AA11" s="44">
        <f t="shared" si="2"/>
        <v>18168732.280760981</v>
      </c>
      <c r="AB11" s="44">
        <f t="shared" si="2"/>
        <v>19469364.680159729</v>
      </c>
      <c r="AC11" s="44">
        <f t="shared" si="2"/>
        <v>20675187.500933129</v>
      </c>
      <c r="AD11" s="44">
        <f t="shared" si="2"/>
        <v>22147738.779501401</v>
      </c>
      <c r="AE11" s="44">
        <f t="shared" si="2"/>
        <v>25750348.689807523</v>
      </c>
      <c r="AF11" s="44">
        <f t="shared" si="2"/>
        <v>30275328.592755113</v>
      </c>
      <c r="AG11" s="44">
        <f t="shared" si="2"/>
        <v>34833020.555107035</v>
      </c>
      <c r="AH11" s="44">
        <f t="shared" si="2"/>
        <v>38228154.180864222</v>
      </c>
      <c r="AI11" s="44">
        <f t="shared" si="2"/>
        <v>39847153.732589431</v>
      </c>
      <c r="AJ11" s="44">
        <f t="shared" si="2"/>
        <v>41540493.891890675</v>
      </c>
      <c r="AK11" s="44">
        <f t="shared" si="2"/>
        <v>43584328.406942971</v>
      </c>
      <c r="AL11" s="44">
        <f t="shared" si="2"/>
        <v>46131222.475444056</v>
      </c>
      <c r="AM11" s="44">
        <f t="shared" si="2"/>
        <v>48220838.952045664</v>
      </c>
      <c r="AN11" s="44">
        <f t="shared" si="2"/>
        <v>49133086.802811086</v>
      </c>
      <c r="AO11" s="44">
        <f t="shared" si="2"/>
        <v>49979421.019930221</v>
      </c>
      <c r="AP11" s="44">
        <f t="shared" si="2"/>
        <v>51046058.698135592</v>
      </c>
      <c r="AQ11" s="44">
        <f t="shared" si="2"/>
        <v>53909411.340259925</v>
      </c>
      <c r="AR11" s="44">
        <f t="shared" si="2"/>
        <v>57584968.863970898</v>
      </c>
      <c r="AS11" s="44">
        <f t="shared" si="2"/>
        <v>60927008.79521326</v>
      </c>
      <c r="AT11" s="44">
        <f t="shared" si="2"/>
        <v>63300855.380392052</v>
      </c>
      <c r="AU11" s="44">
        <f t="shared" si="2"/>
        <v>64352033.691516206</v>
      </c>
      <c r="AV11" s="44">
        <f t="shared" ref="AV11" si="3">SUM(AV5:AV10)</f>
        <v>65457125.867462724</v>
      </c>
      <c r="AW11" s="44">
        <f t="shared" si="2"/>
        <v>66839091.386147611</v>
      </c>
      <c r="AX11" s="44">
        <f t="shared" ref="AX11:AY11" si="4">SUM(AX5:AX10)</f>
        <v>68539809.150128752</v>
      </c>
      <c r="AY11" s="44">
        <f t="shared" si="4"/>
        <v>69896736.00920409</v>
      </c>
      <c r="AZ11" s="44">
        <f t="shared" ref="AZ11:BA11" si="5">SUM(AZ5:AZ10)</f>
        <v>71250538.199790254</v>
      </c>
      <c r="BA11" s="44">
        <f t="shared" si="5"/>
        <v>72490214.320244685</v>
      </c>
      <c r="BB11" s="44">
        <f t="shared" ref="BB11:BC11" si="6">SUM(BB5:BB10)</f>
        <v>74118300.736265481</v>
      </c>
      <c r="BC11" s="44">
        <f t="shared" si="6"/>
        <v>78629931.244112119</v>
      </c>
      <c r="BD11" s="44">
        <f t="shared" ref="BD11:BE11" si="7">SUM(BD5:BD10)</f>
        <v>79680970.61946547</v>
      </c>
      <c r="BE11" s="44">
        <f t="shared" si="7"/>
        <v>80814458.485758856</v>
      </c>
      <c r="BF11" s="44">
        <f t="shared" ref="BF11:BG11" si="8">SUM(BF5:BF10)</f>
        <v>81623219.123390526</v>
      </c>
      <c r="BG11" s="44">
        <f t="shared" si="8"/>
        <v>81998677.157857418</v>
      </c>
      <c r="BH11" s="44">
        <f t="shared" ref="BH11:BI11" si="9">SUM(BH5:BH10)</f>
        <v>82425369.487427413</v>
      </c>
      <c r="BI11" s="44">
        <f t="shared" si="9"/>
        <v>83004791.271064579</v>
      </c>
      <c r="BJ11" s="44">
        <f t="shared" ref="BJ11:BK11" si="10">SUM(BJ5:BJ10)</f>
        <v>83806396.796913326</v>
      </c>
      <c r="BK11" s="44">
        <f t="shared" si="10"/>
        <v>84403186.954921097</v>
      </c>
      <c r="BL11" s="44">
        <f t="shared" ref="BL11:BM11" si="11">SUM(BL5:BL10)</f>
        <v>85004925.621979579</v>
      </c>
      <c r="BM11" s="44">
        <f t="shared" si="11"/>
        <v>85558992.771220058</v>
      </c>
      <c r="BN11" s="44">
        <f t="shared" ref="BN11:BO11" si="12">SUM(BN5:BN10)</f>
        <v>86313368.700856626</v>
      </c>
      <c r="BO11" s="44">
        <f t="shared" si="12"/>
        <v>88338720.525732502</v>
      </c>
      <c r="BP11" s="44">
        <f t="shared" ref="BP11:BQ11" si="13">SUM(BP5:BP10)</f>
        <v>90964107.100292966</v>
      </c>
      <c r="BQ11" s="44">
        <f t="shared" si="13"/>
        <v>93505106.511273935</v>
      </c>
      <c r="BR11" s="44">
        <f t="shared" ref="BR11:CH11" si="14">SUM(BR5:BR10)</f>
        <v>95238889.852653116</v>
      </c>
      <c r="BS11" s="44">
        <f t="shared" si="14"/>
        <v>95994419.809623629</v>
      </c>
      <c r="BT11" s="44">
        <f t="shared" si="14"/>
        <v>96785710.305162817</v>
      </c>
      <c r="BU11" s="44">
        <f t="shared" si="14"/>
        <v>97854760.366635829</v>
      </c>
      <c r="BV11" s="44">
        <f t="shared" si="14"/>
        <v>99042337.622743338</v>
      </c>
      <c r="BW11" s="44">
        <f t="shared" si="14"/>
        <v>100013196.78360045</v>
      </c>
      <c r="BX11" s="44">
        <f t="shared" si="14"/>
        <v>100963648.41120517</v>
      </c>
      <c r="BY11" s="44">
        <f t="shared" si="14"/>
        <v>101802304.98053844</v>
      </c>
      <c r="BZ11" s="44">
        <f t="shared" si="14"/>
        <v>102889256.49901526</v>
      </c>
      <c r="CA11" s="44">
        <f t="shared" si="14"/>
        <v>102889256.49901526</v>
      </c>
      <c r="CB11" s="44">
        <f t="shared" si="14"/>
        <v>102889256.49901526</v>
      </c>
      <c r="CC11" s="44">
        <f t="shared" si="14"/>
        <v>102889256.49901526</v>
      </c>
      <c r="CD11" s="44">
        <f t="shared" si="14"/>
        <v>102889256.49901526</v>
      </c>
      <c r="CE11" s="44">
        <f t="shared" si="14"/>
        <v>102889256.49901526</v>
      </c>
      <c r="CF11" s="44">
        <f t="shared" si="14"/>
        <v>102889256.49901526</v>
      </c>
      <c r="CG11" s="44">
        <f t="shared" si="14"/>
        <v>102889256.49901526</v>
      </c>
      <c r="CH11" s="44">
        <f t="shared" si="14"/>
        <v>102889256.49901526</v>
      </c>
    </row>
    <row r="12" spans="1:86" x14ac:dyDescent="0.25">
      <c r="B12" s="37"/>
      <c r="C12" s="37"/>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row>
    <row r="13" spans="1:86" x14ac:dyDescent="0.25">
      <c r="A13" s="36" t="s">
        <v>39</v>
      </c>
      <c r="B13" s="37"/>
      <c r="C13" s="37"/>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275" t="s">
        <v>149</v>
      </c>
      <c r="BU13" s="276"/>
      <c r="BV13" s="45"/>
      <c r="BW13" s="45"/>
      <c r="BX13" s="45"/>
      <c r="BY13" s="45"/>
      <c r="BZ13" s="45"/>
      <c r="CA13" s="45"/>
      <c r="CB13" s="45"/>
      <c r="CC13" s="45"/>
      <c r="CD13" s="45"/>
      <c r="CE13" s="45"/>
      <c r="CF13" s="45"/>
      <c r="CG13" s="45"/>
      <c r="CH13" s="45"/>
    </row>
    <row r="14" spans="1:86" x14ac:dyDescent="0.25">
      <c r="A14" s="38" t="s">
        <v>33</v>
      </c>
      <c r="B14" s="37"/>
      <c r="C14" s="37"/>
      <c r="D14" s="45">
        <f>D5-C5</f>
        <v>0</v>
      </c>
      <c r="E14" s="45">
        <f>IF(E5="","",E5-D5)</f>
        <v>3542.7066619947968</v>
      </c>
      <c r="F14" s="45">
        <f>IF(F5="","",F5-E5)</f>
        <v>26593.748856903429</v>
      </c>
      <c r="G14" s="45">
        <f t="shared" ref="G14:BI19" si="15">IF(G5="","",G5-F5)</f>
        <v>243363.92907678595</v>
      </c>
      <c r="H14" s="45">
        <f t="shared" si="15"/>
        <v>441129.8099540461</v>
      </c>
      <c r="I14" s="45">
        <f t="shared" si="15"/>
        <v>537485.07750592032</v>
      </c>
      <c r="J14" s="45">
        <f t="shared" si="15"/>
        <v>373819.34593685856</v>
      </c>
      <c r="K14" s="45">
        <f>IF(K5="","",K5-J5)</f>
        <v>137025.9400139912</v>
      </c>
      <c r="L14" s="45">
        <f>IF(L5="","",L5-K5)</f>
        <v>273299.25349150668</v>
      </c>
      <c r="M14" s="45">
        <f t="shared" si="15"/>
        <v>463174.404168193</v>
      </c>
      <c r="N14" s="45">
        <f t="shared" si="15"/>
        <v>531472.97269952018</v>
      </c>
      <c r="O14" s="45">
        <f t="shared" si="15"/>
        <v>666836.61937977653</v>
      </c>
      <c r="P14" s="45">
        <f t="shared" si="15"/>
        <v>454713.40903503355</v>
      </c>
      <c r="Q14" s="45">
        <f t="shared" si="15"/>
        <v>209553.48167778365</v>
      </c>
      <c r="R14" s="45">
        <f t="shared" si="15"/>
        <v>235085.44029895589</v>
      </c>
      <c r="S14" s="45">
        <f t="shared" si="15"/>
        <v>734760.62978666462</v>
      </c>
      <c r="T14" s="45">
        <f t="shared" si="15"/>
        <v>1003556.2831860054</v>
      </c>
      <c r="U14" s="45">
        <f t="shared" si="15"/>
        <v>1196200.4042900102</v>
      </c>
      <c r="V14" s="45">
        <f t="shared" si="15"/>
        <v>1010150.8980212705</v>
      </c>
      <c r="W14" s="45">
        <f t="shared" si="15"/>
        <v>444243.3950046096</v>
      </c>
      <c r="X14" s="45">
        <f>IF(X5="","",X5-W5)</f>
        <v>590722.64033336937</v>
      </c>
      <c r="Y14" s="45">
        <f t="shared" si="15"/>
        <v>739064.45472672023</v>
      </c>
      <c r="Z14" s="45">
        <f t="shared" si="15"/>
        <v>760226.35555802099</v>
      </c>
      <c r="AA14" s="45">
        <f t="shared" si="15"/>
        <v>734885.09801949374</v>
      </c>
      <c r="AB14" s="45">
        <f t="shared" si="15"/>
        <v>790050.52627510764</v>
      </c>
      <c r="AC14" s="45">
        <f t="shared" si="15"/>
        <v>712591.15803163499</v>
      </c>
      <c r="AD14" s="45">
        <f t="shared" si="15"/>
        <v>788005.60592493415</v>
      </c>
      <c r="AE14" s="45">
        <f t="shared" si="15"/>
        <v>2172782.5520650391</v>
      </c>
      <c r="AF14" s="45">
        <f t="shared" si="15"/>
        <v>2655713.1081700679</v>
      </c>
      <c r="AG14" s="45">
        <f t="shared" si="15"/>
        <v>2764862.6405028403</v>
      </c>
      <c r="AH14" s="45">
        <f t="shared" si="15"/>
        <v>2093407.6803619489</v>
      </c>
      <c r="AI14" s="45">
        <f t="shared" si="15"/>
        <v>860529.3097284846</v>
      </c>
      <c r="AJ14" s="45">
        <f t="shared" si="15"/>
        <v>981461.85882917792</v>
      </c>
      <c r="AK14" s="45">
        <f t="shared" si="15"/>
        <v>1203203.2163009197</v>
      </c>
      <c r="AL14" s="45">
        <f t="shared" si="15"/>
        <v>1371395.0052714273</v>
      </c>
      <c r="AM14" s="45">
        <f t="shared" si="15"/>
        <v>1187045.9499182627</v>
      </c>
      <c r="AN14" s="45">
        <f t="shared" si="15"/>
        <v>442726.9085614942</v>
      </c>
      <c r="AO14" s="45">
        <f t="shared" si="15"/>
        <v>394740.24836762995</v>
      </c>
      <c r="AP14" s="45">
        <f t="shared" si="15"/>
        <v>444427.68705686927</v>
      </c>
      <c r="AQ14" s="45">
        <f t="shared" si="15"/>
        <v>1411496.7289061919</v>
      </c>
      <c r="AR14" s="45">
        <f t="shared" si="15"/>
        <v>1794317.4913307615</v>
      </c>
      <c r="AS14" s="45">
        <f t="shared" si="15"/>
        <v>1725059.9569640458</v>
      </c>
      <c r="AT14" s="45">
        <f t="shared" si="15"/>
        <v>1180653.1439791694</v>
      </c>
      <c r="AU14" s="45">
        <f t="shared" si="15"/>
        <v>422803.37846041471</v>
      </c>
      <c r="AV14" s="45">
        <f t="shared" si="15"/>
        <v>479921.73548690975</v>
      </c>
      <c r="AW14" s="45">
        <f t="shared" si="15"/>
        <v>606110.73515086621</v>
      </c>
      <c r="AX14" s="45">
        <f t="shared" si="15"/>
        <v>642953.3740484342</v>
      </c>
      <c r="AY14" s="45">
        <f t="shared" si="15"/>
        <v>553693.13256213069</v>
      </c>
      <c r="AZ14" s="45">
        <f t="shared" si="15"/>
        <v>529652.53078147769</v>
      </c>
      <c r="BA14" s="45">
        <f t="shared" si="15"/>
        <v>445884.63840965182</v>
      </c>
      <c r="BB14" s="45">
        <f t="shared" si="15"/>
        <v>534466.72974010557</v>
      </c>
      <c r="BC14" s="45">
        <f t="shared" si="15"/>
        <v>1935258.7858130932</v>
      </c>
      <c r="BD14" s="45">
        <f t="shared" si="15"/>
        <v>262400.13793873042</v>
      </c>
      <c r="BE14" s="45">
        <f t="shared" si="15"/>
        <v>343210.93077355623</v>
      </c>
      <c r="BF14" s="45">
        <f t="shared" si="15"/>
        <v>196084.39263684303</v>
      </c>
      <c r="BG14" s="45">
        <f t="shared" si="15"/>
        <v>47168.093592233956</v>
      </c>
      <c r="BH14" s="45">
        <f t="shared" si="15"/>
        <v>77022.190419249237</v>
      </c>
      <c r="BI14" s="45">
        <f t="shared" si="15"/>
        <v>143605.50980502367</v>
      </c>
      <c r="BJ14" s="45">
        <f t="shared" ref="BJ14:BS17" si="16">IF(BJ5="","",BJ5-BI5)</f>
        <v>175279.80121040344</v>
      </c>
      <c r="BK14" s="45">
        <f t="shared" si="16"/>
        <v>141093.20038437843</v>
      </c>
      <c r="BL14" s="45">
        <f t="shared" si="16"/>
        <v>117314.74415306747</v>
      </c>
      <c r="BM14" s="45">
        <f t="shared" si="16"/>
        <v>80448.968517124653</v>
      </c>
      <c r="BN14" s="45">
        <f t="shared" si="16"/>
        <v>125952.04617951065</v>
      </c>
      <c r="BO14" s="45">
        <f t="shared" si="16"/>
        <v>579211.9103250429</v>
      </c>
      <c r="BP14" s="45">
        <f t="shared" si="16"/>
        <v>832900.24593169987</v>
      </c>
      <c r="BQ14" s="45">
        <f t="shared" si="16"/>
        <v>850686.77720441669</v>
      </c>
      <c r="BR14" s="45">
        <f t="shared" si="16"/>
        <v>449901.37104590982</v>
      </c>
      <c r="BS14" s="45">
        <f t="shared" si="16"/>
        <v>99237.22831056267</v>
      </c>
      <c r="BT14" s="276">
        <v>158549.12562702491</v>
      </c>
      <c r="BU14" s="276">
        <v>277171.17795503646</v>
      </c>
      <c r="BV14" s="276">
        <v>285786.16730598221</v>
      </c>
      <c r="BW14" s="276">
        <v>238599.46801138483</v>
      </c>
      <c r="BX14" s="276">
        <v>187841.59015346674</v>
      </c>
      <c r="BY14" s="276">
        <v>117370.40394411131</v>
      </c>
      <c r="BZ14" s="276">
        <v>159229.91652821488</v>
      </c>
      <c r="CA14" s="276">
        <v>0</v>
      </c>
      <c r="CB14" s="276">
        <v>0</v>
      </c>
      <c r="CC14" s="276">
        <v>0</v>
      </c>
      <c r="CD14" s="276">
        <v>0</v>
      </c>
      <c r="CE14" s="276">
        <v>0</v>
      </c>
      <c r="CF14" s="276">
        <v>0</v>
      </c>
      <c r="CG14" s="276">
        <v>0</v>
      </c>
      <c r="CH14" s="276">
        <v>0</v>
      </c>
    </row>
    <row r="15" spans="1:86" x14ac:dyDescent="0.25">
      <c r="A15" s="38" t="s">
        <v>34</v>
      </c>
      <c r="B15" s="37"/>
      <c r="C15" s="37"/>
      <c r="D15" s="45">
        <f t="shared" ref="D15:D19" si="17">D6-C6</f>
        <v>0.34412602678174997</v>
      </c>
      <c r="E15" s="45">
        <f t="shared" ref="E15:T19" si="18">IF(E6="","",E6-D6)</f>
        <v>593.85341007321881</v>
      </c>
      <c r="F15" s="45">
        <f t="shared" si="18"/>
        <v>8368.5225960071712</v>
      </c>
      <c r="G15" s="45">
        <f t="shared" si="18"/>
        <v>23641.814181406706</v>
      </c>
      <c r="H15" s="45">
        <f t="shared" si="18"/>
        <v>47663.861231335664</v>
      </c>
      <c r="I15" s="45">
        <f t="shared" si="18"/>
        <v>53281.675633138075</v>
      </c>
      <c r="J15" s="45">
        <f t="shared" si="18"/>
        <v>71676.428272669378</v>
      </c>
      <c r="K15" s="45">
        <f t="shared" si="18"/>
        <v>61749.996111268818</v>
      </c>
      <c r="L15" s="45">
        <f t="shared" si="18"/>
        <v>64301.78087974526</v>
      </c>
      <c r="M15" s="45">
        <f t="shared" si="18"/>
        <v>80879.653386032383</v>
      </c>
      <c r="N15" s="45">
        <f t="shared" si="18"/>
        <v>111135.9811537732</v>
      </c>
      <c r="O15" s="45">
        <f t="shared" si="18"/>
        <v>85954.403865189641</v>
      </c>
      <c r="P15" s="45">
        <f t="shared" si="18"/>
        <v>101665.26307113573</v>
      </c>
      <c r="Q15" s="45">
        <f t="shared" si="18"/>
        <v>43704.587072193855</v>
      </c>
      <c r="R15" s="45">
        <f t="shared" si="18"/>
        <v>71459.375872766483</v>
      </c>
      <c r="S15" s="45">
        <f t="shared" si="18"/>
        <v>97753.498167764628</v>
      </c>
      <c r="T15" s="45">
        <f t="shared" si="18"/>
        <v>141015.1486218411</v>
      </c>
      <c r="U15" s="45">
        <f t="shared" si="15"/>
        <v>108492.50331897987</v>
      </c>
      <c r="V15" s="45">
        <f t="shared" si="15"/>
        <v>121638.55281044007</v>
      </c>
      <c r="W15" s="45">
        <f t="shared" si="15"/>
        <v>99508.113558219979</v>
      </c>
      <c r="X15" s="45">
        <f t="shared" si="15"/>
        <v>93848.281650386052</v>
      </c>
      <c r="Y15" s="45">
        <f t="shared" si="15"/>
        <v>110179.05255875806</v>
      </c>
      <c r="Z15" s="45">
        <f t="shared" si="15"/>
        <v>189905.1953110029</v>
      </c>
      <c r="AA15" s="45">
        <f t="shared" si="15"/>
        <v>137153.48131497181</v>
      </c>
      <c r="AB15" s="45">
        <f t="shared" si="15"/>
        <v>159323.21702728886</v>
      </c>
      <c r="AC15" s="45">
        <f t="shared" si="15"/>
        <v>162609.78061144357</v>
      </c>
      <c r="AD15" s="45">
        <f t="shared" si="15"/>
        <v>219080.05774471955</v>
      </c>
      <c r="AE15" s="45">
        <f t="shared" si="15"/>
        <v>320938.11460895883</v>
      </c>
      <c r="AF15" s="45">
        <f t="shared" si="15"/>
        <v>433498.69397499831</v>
      </c>
      <c r="AG15" s="45">
        <f t="shared" si="15"/>
        <v>374926.40798967611</v>
      </c>
      <c r="AH15" s="45">
        <f t="shared" si="15"/>
        <v>324413.71329922695</v>
      </c>
      <c r="AI15" s="45">
        <f t="shared" si="15"/>
        <v>240653.64655007282</v>
      </c>
      <c r="AJ15" s="45">
        <f t="shared" si="15"/>
        <v>212821.10111611104</v>
      </c>
      <c r="AK15" s="45">
        <f t="shared" si="15"/>
        <v>237800.65090143587</v>
      </c>
      <c r="AL15" s="45">
        <f t="shared" si="15"/>
        <v>308330.26708983164</v>
      </c>
      <c r="AM15" s="45">
        <f t="shared" si="15"/>
        <v>235466.43282882962</v>
      </c>
      <c r="AN15" s="45">
        <f t="shared" si="15"/>
        <v>95431.089405592531</v>
      </c>
      <c r="AO15" s="45">
        <f t="shared" si="15"/>
        <v>123229.53478879109</v>
      </c>
      <c r="AP15" s="45">
        <f t="shared" si="15"/>
        <v>187141.99566382077</v>
      </c>
      <c r="AQ15" s="45">
        <f t="shared" si="15"/>
        <v>251239.36356647499</v>
      </c>
      <c r="AR15" s="45">
        <f t="shared" si="15"/>
        <v>338954.98695240729</v>
      </c>
      <c r="AS15" s="45">
        <f t="shared" si="15"/>
        <v>277707.59700077679</v>
      </c>
      <c r="AT15" s="45">
        <f t="shared" si="15"/>
        <v>275931.14634561911</v>
      </c>
      <c r="AU15" s="45">
        <f t="shared" si="15"/>
        <v>169201.26599771157</v>
      </c>
      <c r="AV15" s="45">
        <f t="shared" si="15"/>
        <v>140301.6171365818</v>
      </c>
      <c r="AW15" s="45">
        <f t="shared" si="15"/>
        <v>153011.25119291805</v>
      </c>
      <c r="AX15" s="45">
        <f t="shared" si="15"/>
        <v>214829.83458737377</v>
      </c>
      <c r="AY15" s="45">
        <f t="shared" si="15"/>
        <v>154543.28055080492</v>
      </c>
      <c r="AZ15" s="45">
        <f t="shared" si="15"/>
        <v>176554.28895668872</v>
      </c>
      <c r="BA15" s="45">
        <f t="shared" si="15"/>
        <v>197186.77753549907</v>
      </c>
      <c r="BB15" s="45">
        <f t="shared" si="15"/>
        <v>269795.15392936859</v>
      </c>
      <c r="BC15" s="45">
        <f t="shared" si="15"/>
        <v>348913.57126938924</v>
      </c>
      <c r="BD15" s="45">
        <f t="shared" si="15"/>
        <v>122750.78765051626</v>
      </c>
      <c r="BE15" s="45">
        <f t="shared" si="15"/>
        <v>107939.99784592353</v>
      </c>
      <c r="BF15" s="45">
        <f t="shared" si="15"/>
        <v>102567.77023728937</v>
      </c>
      <c r="BG15" s="45">
        <f t="shared" si="15"/>
        <v>76751.691322462633</v>
      </c>
      <c r="BH15" s="45">
        <f t="shared" si="15"/>
        <v>77791.418342143297</v>
      </c>
      <c r="BI15" s="45">
        <f t="shared" si="15"/>
        <v>92721.026401594281</v>
      </c>
      <c r="BJ15" s="45">
        <f t="shared" si="16"/>
        <v>140361.9762325082</v>
      </c>
      <c r="BK15" s="45">
        <f t="shared" si="16"/>
        <v>96137.866894440725</v>
      </c>
      <c r="BL15" s="45">
        <f t="shared" si="16"/>
        <v>109415.86891996861</v>
      </c>
      <c r="BM15" s="45">
        <f t="shared" si="16"/>
        <v>122269.75169319287</v>
      </c>
      <c r="BN15" s="45">
        <f t="shared" si="16"/>
        <v>165989.49032710493</v>
      </c>
      <c r="BO15" s="45">
        <f t="shared" si="16"/>
        <v>238159.77568537928</v>
      </c>
      <c r="BP15" s="45">
        <f t="shared" si="16"/>
        <v>314037.22969015129</v>
      </c>
      <c r="BQ15" s="45">
        <f t="shared" si="16"/>
        <v>270338.52973659709</v>
      </c>
      <c r="BR15" s="45">
        <f t="shared" si="16"/>
        <v>234417.42014543898</v>
      </c>
      <c r="BS15" s="45">
        <f t="shared" si="16"/>
        <v>154844.4152282197</v>
      </c>
      <c r="BT15" s="276">
        <v>137187.91986884386</v>
      </c>
      <c r="BU15" s="276">
        <v>164887.01239190093</v>
      </c>
      <c r="BV15" s="276">
        <v>188362.69484956749</v>
      </c>
      <c r="BW15" s="276">
        <v>143670.93723410345</v>
      </c>
      <c r="BX15" s="276">
        <v>159635.46366860141</v>
      </c>
      <c r="BY15" s="276">
        <v>173786.6827678378</v>
      </c>
      <c r="BZ15" s="276">
        <v>229678.72834544003</v>
      </c>
      <c r="CA15" s="276">
        <v>0</v>
      </c>
      <c r="CB15" s="276">
        <v>0</v>
      </c>
      <c r="CC15" s="276">
        <v>0</v>
      </c>
      <c r="CD15" s="276">
        <v>0</v>
      </c>
      <c r="CE15" s="276">
        <v>0</v>
      </c>
      <c r="CF15" s="276">
        <v>0</v>
      </c>
      <c r="CG15" s="276">
        <v>0</v>
      </c>
      <c r="CH15" s="276">
        <v>0</v>
      </c>
    </row>
    <row r="16" spans="1:86" x14ac:dyDescent="0.25">
      <c r="A16" s="38" t="s">
        <v>35</v>
      </c>
      <c r="B16" s="37"/>
      <c r="C16" s="37"/>
      <c r="D16" s="45">
        <f t="shared" si="17"/>
        <v>0.36790548240712501</v>
      </c>
      <c r="E16" s="45">
        <f t="shared" si="18"/>
        <v>549.3842450882164</v>
      </c>
      <c r="F16" s="45">
        <f t="shared" si="18"/>
        <v>3822.5375931394819</v>
      </c>
      <c r="G16" s="45">
        <f t="shared" si="18"/>
        <v>16781.332362054229</v>
      </c>
      <c r="H16" s="45">
        <f t="shared" si="18"/>
        <v>40077.718380542559</v>
      </c>
      <c r="I16" s="45">
        <f t="shared" si="18"/>
        <v>53768.83317517324</v>
      </c>
      <c r="J16" s="45">
        <f t="shared" si="18"/>
        <v>78944.93348619208</v>
      </c>
      <c r="K16" s="45">
        <f t="shared" si="18"/>
        <v>55926.350991116371</v>
      </c>
      <c r="L16" s="45">
        <f t="shared" si="18"/>
        <v>83880.449084735184</v>
      </c>
      <c r="M16" s="45">
        <f t="shared" si="18"/>
        <v>99281.072172543674</v>
      </c>
      <c r="N16" s="45">
        <f t="shared" si="18"/>
        <v>148279.90203829214</v>
      </c>
      <c r="O16" s="45">
        <f t="shared" si="18"/>
        <v>118392.65769132716</v>
      </c>
      <c r="P16" s="45">
        <f t="shared" si="18"/>
        <v>119186.78334495833</v>
      </c>
      <c r="Q16" s="45">
        <f t="shared" si="18"/>
        <v>45565.551720377523</v>
      </c>
      <c r="R16" s="45">
        <f t="shared" si="18"/>
        <v>81136.967569354689</v>
      </c>
      <c r="S16" s="45">
        <f t="shared" si="18"/>
        <v>183295.85838448966</v>
      </c>
      <c r="T16" s="45">
        <f t="shared" si="18"/>
        <v>257259.11349060107</v>
      </c>
      <c r="U16" s="45">
        <f t="shared" si="15"/>
        <v>236757.62294599204</v>
      </c>
      <c r="V16" s="45">
        <f t="shared" si="15"/>
        <v>216017.06686391006</v>
      </c>
      <c r="W16" s="45">
        <f t="shared" si="15"/>
        <v>134334.55217090389</v>
      </c>
      <c r="X16" s="45">
        <f t="shared" si="15"/>
        <v>129332.01012655394</v>
      </c>
      <c r="Y16" s="45">
        <f t="shared" si="15"/>
        <v>157922.3659402621</v>
      </c>
      <c r="Z16" s="45">
        <f t="shared" si="15"/>
        <v>270666.33827841002</v>
      </c>
      <c r="AA16" s="45">
        <f t="shared" si="15"/>
        <v>198834.36725015193</v>
      </c>
      <c r="AB16" s="45">
        <f t="shared" si="15"/>
        <v>219482.47434197739</v>
      </c>
      <c r="AC16" s="45">
        <f t="shared" si="15"/>
        <v>208737.50455393642</v>
      </c>
      <c r="AD16" s="45">
        <f t="shared" si="15"/>
        <v>301225.84166622115</v>
      </c>
      <c r="AE16" s="45">
        <f t="shared" si="15"/>
        <v>684145.42895782785</v>
      </c>
      <c r="AF16" s="45">
        <f t="shared" si="15"/>
        <v>917659.32139833691</v>
      </c>
      <c r="AG16" s="45">
        <f t="shared" si="15"/>
        <v>901807.73008037545</v>
      </c>
      <c r="AH16" s="45">
        <f t="shared" si="15"/>
        <v>630298.83245725092</v>
      </c>
      <c r="AI16" s="45">
        <f t="shared" si="15"/>
        <v>337030.02955732867</v>
      </c>
      <c r="AJ16" s="45">
        <f t="shared" si="15"/>
        <v>322004.32534062304</v>
      </c>
      <c r="AK16" s="45">
        <f t="shared" si="15"/>
        <v>392891.60609848052</v>
      </c>
      <c r="AL16" s="45">
        <f t="shared" si="15"/>
        <v>599832.39393610973</v>
      </c>
      <c r="AM16" s="45">
        <f t="shared" si="15"/>
        <v>453055.57220833749</v>
      </c>
      <c r="AN16" s="45">
        <f t="shared" si="15"/>
        <v>277920.43698708341</v>
      </c>
      <c r="AO16" s="45">
        <f t="shared" si="15"/>
        <v>244050.33216398209</v>
      </c>
      <c r="AP16" s="45">
        <f t="shared" si="15"/>
        <v>327746.93017519452</v>
      </c>
      <c r="AQ16" s="45">
        <f t="shared" si="15"/>
        <v>891956.50044952147</v>
      </c>
      <c r="AR16" s="45">
        <f t="shared" si="15"/>
        <v>1113855.8695650622</v>
      </c>
      <c r="AS16" s="45">
        <f t="shared" si="15"/>
        <v>959106.99888556264</v>
      </c>
      <c r="AT16" s="45">
        <f t="shared" si="15"/>
        <v>645737.53209456243</v>
      </c>
      <c r="AU16" s="45">
        <f t="shared" si="15"/>
        <v>328956.22586071491</v>
      </c>
      <c r="AV16" s="45">
        <f t="shared" si="15"/>
        <v>347086.13893463276</v>
      </c>
      <c r="AW16" s="45">
        <f t="shared" si="15"/>
        <v>440459.06744974852</v>
      </c>
      <c r="AX16" s="45">
        <f t="shared" si="15"/>
        <v>590239.9734992478</v>
      </c>
      <c r="AY16" s="45">
        <f t="shared" si="15"/>
        <v>453536.02234676294</v>
      </c>
      <c r="AZ16" s="45">
        <f t="shared" si="15"/>
        <v>454844.71546864137</v>
      </c>
      <c r="BA16" s="45">
        <f t="shared" si="15"/>
        <v>416666.69450271688</v>
      </c>
      <c r="BB16" s="45">
        <f t="shared" si="15"/>
        <v>571603.43783871457</v>
      </c>
      <c r="BC16" s="45">
        <f t="shared" si="15"/>
        <v>1483959.207206985</v>
      </c>
      <c r="BD16" s="45">
        <f t="shared" si="15"/>
        <v>368791.15635281056</v>
      </c>
      <c r="BE16" s="45">
        <f t="shared" si="15"/>
        <v>367814.00473385304</v>
      </c>
      <c r="BF16" s="45">
        <f t="shared" si="15"/>
        <v>278840.28362636641</v>
      </c>
      <c r="BG16" s="45">
        <f t="shared" si="15"/>
        <v>149921.71366740763</v>
      </c>
      <c r="BH16" s="45">
        <f t="shared" si="15"/>
        <v>157732.86269990355</v>
      </c>
      <c r="BI16" s="45">
        <f t="shared" si="15"/>
        <v>193523.33512783051</v>
      </c>
      <c r="BJ16" s="45">
        <f t="shared" si="16"/>
        <v>273314.15854696929</v>
      </c>
      <c r="BK16" s="45">
        <f t="shared" si="16"/>
        <v>202487.37521089986</v>
      </c>
      <c r="BL16" s="45">
        <f t="shared" si="16"/>
        <v>212406.70178601518</v>
      </c>
      <c r="BM16" s="45">
        <f t="shared" si="16"/>
        <v>193564.77171407267</v>
      </c>
      <c r="BN16" s="45">
        <f t="shared" si="16"/>
        <v>253453.50084989518</v>
      </c>
      <c r="BO16" s="45">
        <f t="shared" si="16"/>
        <v>619341.00828509405</v>
      </c>
      <c r="BP16" s="45">
        <f t="shared" si="16"/>
        <v>761104.7359421663</v>
      </c>
      <c r="BQ16" s="45">
        <f t="shared" si="16"/>
        <v>722425.74611830711</v>
      </c>
      <c r="BR16" s="45">
        <f t="shared" si="16"/>
        <v>529990.8243461661</v>
      </c>
      <c r="BS16" s="45">
        <f t="shared" si="16"/>
        <v>257897.68879860267</v>
      </c>
      <c r="BT16" s="276">
        <v>247194.16424040127</v>
      </c>
      <c r="BU16" s="276">
        <v>317391.44077676564</v>
      </c>
      <c r="BV16" s="276">
        <v>374200.94479688077</v>
      </c>
      <c r="BW16" s="276">
        <v>307366.83496663952</v>
      </c>
      <c r="BX16" s="276">
        <v>320746.10986592778</v>
      </c>
      <c r="BY16" s="276">
        <v>288479.78380254831</v>
      </c>
      <c r="BZ16" s="276">
        <v>371151.06079276814</v>
      </c>
      <c r="CA16" s="276">
        <v>0</v>
      </c>
      <c r="CB16" s="276">
        <v>0</v>
      </c>
      <c r="CC16" s="276">
        <v>0</v>
      </c>
      <c r="CD16" s="276">
        <v>0</v>
      </c>
      <c r="CE16" s="276">
        <v>0</v>
      </c>
      <c r="CF16" s="276">
        <v>0</v>
      </c>
      <c r="CG16" s="276">
        <v>0</v>
      </c>
      <c r="CH16" s="276">
        <v>0</v>
      </c>
    </row>
    <row r="17" spans="1:86" x14ac:dyDescent="0.25">
      <c r="A17" s="38" t="s">
        <v>36</v>
      </c>
      <c r="B17" s="37"/>
      <c r="C17" s="37"/>
      <c r="D17" s="45">
        <f t="shared" si="17"/>
        <v>0</v>
      </c>
      <c r="E17" s="45">
        <f t="shared" si="18"/>
        <v>9.4764517045030008</v>
      </c>
      <c r="F17" s="45">
        <f t="shared" si="18"/>
        <v>992.38480063141662</v>
      </c>
      <c r="G17" s="45">
        <f t="shared" si="18"/>
        <v>7292.1248374502911</v>
      </c>
      <c r="H17" s="45">
        <f t="shared" si="18"/>
        <v>15994.94501268368</v>
      </c>
      <c r="I17" s="45">
        <f t="shared" si="18"/>
        <v>17164.241699319093</v>
      </c>
      <c r="J17" s="45">
        <f t="shared" si="18"/>
        <v>20320.430103720311</v>
      </c>
      <c r="K17" s="45">
        <f t="shared" si="18"/>
        <v>13070.873255390616</v>
      </c>
      <c r="L17" s="45">
        <f t="shared" si="18"/>
        <v>20231.253087994788</v>
      </c>
      <c r="M17" s="45">
        <f t="shared" si="18"/>
        <v>17598.692062585586</v>
      </c>
      <c r="N17" s="45">
        <f t="shared" si="18"/>
        <v>38937.79226598228</v>
      </c>
      <c r="O17" s="45">
        <f t="shared" si="18"/>
        <v>27592.203926662129</v>
      </c>
      <c r="P17" s="45">
        <f t="shared" si="18"/>
        <v>30486.6083612293</v>
      </c>
      <c r="Q17" s="45">
        <f t="shared" si="18"/>
        <v>20357.95825841499</v>
      </c>
      <c r="R17" s="45">
        <f t="shared" si="18"/>
        <v>40286.379846393131</v>
      </c>
      <c r="S17" s="45">
        <f t="shared" si="18"/>
        <v>90357.200169900665</v>
      </c>
      <c r="T17" s="45">
        <f t="shared" si="18"/>
        <v>120607.08647786122</v>
      </c>
      <c r="U17" s="45">
        <f t="shared" si="15"/>
        <v>117746.82574398903</v>
      </c>
      <c r="V17" s="45">
        <f t="shared" si="15"/>
        <v>90042.714549710974</v>
      </c>
      <c r="W17" s="45">
        <f t="shared" si="15"/>
        <v>48103.20895122306</v>
      </c>
      <c r="X17" s="45">
        <f t="shared" si="15"/>
        <v>44439.238829133916</v>
      </c>
      <c r="Y17" s="45">
        <f t="shared" si="15"/>
        <v>45576.431423941976</v>
      </c>
      <c r="Z17" s="45">
        <f t="shared" si="15"/>
        <v>85493.861875130096</v>
      </c>
      <c r="AA17" s="45">
        <f t="shared" si="15"/>
        <v>60404.694563134573</v>
      </c>
      <c r="AB17" s="45">
        <f t="shared" si="15"/>
        <v>66187.801188615616</v>
      </c>
      <c r="AC17" s="45">
        <f t="shared" si="15"/>
        <v>65843.640583625296</v>
      </c>
      <c r="AD17" s="45">
        <f t="shared" si="15"/>
        <v>97241.818953172537</v>
      </c>
      <c r="AE17" s="45">
        <f t="shared" si="15"/>
        <v>244220.78662038059</v>
      </c>
      <c r="AF17" s="45">
        <f t="shared" si="15"/>
        <v>303404.40532824234</v>
      </c>
      <c r="AG17" s="45">
        <f t="shared" si="15"/>
        <v>294330.25841648318</v>
      </c>
      <c r="AH17" s="45">
        <f t="shared" si="15"/>
        <v>188595.42307112576</v>
      </c>
      <c r="AI17" s="45">
        <f t="shared" si="15"/>
        <v>104726.50932704005</v>
      </c>
      <c r="AJ17" s="45">
        <f t="shared" si="15"/>
        <v>84625.791328145191</v>
      </c>
      <c r="AK17" s="45">
        <f t="shared" si="15"/>
        <v>90870.860348734073</v>
      </c>
      <c r="AL17" s="45">
        <f t="shared" si="15"/>
        <v>132672.81528491154</v>
      </c>
      <c r="AM17" s="45">
        <f t="shared" si="15"/>
        <v>101032.10359475715</v>
      </c>
      <c r="AN17" s="45">
        <f t="shared" si="15"/>
        <v>45752.79477960337</v>
      </c>
      <c r="AO17" s="45">
        <f t="shared" si="15"/>
        <v>44697.066485182382</v>
      </c>
      <c r="AP17" s="45">
        <f t="shared" si="15"/>
        <v>64771.954259123188</v>
      </c>
      <c r="AQ17" s="45">
        <f t="shared" si="15"/>
        <v>193382.71212351602</v>
      </c>
      <c r="AR17" s="45">
        <f t="shared" si="15"/>
        <v>268003.20881172037</v>
      </c>
      <c r="AS17" s="45">
        <f t="shared" si="15"/>
        <v>230566.83769477485</v>
      </c>
      <c r="AT17" s="45">
        <f t="shared" si="15"/>
        <v>149038.78589499276</v>
      </c>
      <c r="AU17" s="45">
        <f t="shared" si="15"/>
        <v>64473.107943349518</v>
      </c>
      <c r="AV17" s="45">
        <f t="shared" si="15"/>
        <v>59595.525131631643</v>
      </c>
      <c r="AW17" s="45">
        <f t="shared" si="15"/>
        <v>67654.963194404263</v>
      </c>
      <c r="AX17" s="45">
        <f t="shared" si="15"/>
        <v>112653.26245428575</v>
      </c>
      <c r="AY17" s="45">
        <f t="shared" si="15"/>
        <v>80398.783413374331</v>
      </c>
      <c r="AZ17" s="45">
        <f t="shared" si="15"/>
        <v>85404.008041627239</v>
      </c>
      <c r="BA17" s="45">
        <f t="shared" si="15"/>
        <v>88412.539526587352</v>
      </c>
      <c r="BB17" s="45">
        <f t="shared" si="15"/>
        <v>133353.43191240355</v>
      </c>
      <c r="BC17" s="45">
        <f t="shared" si="15"/>
        <v>375293.06528367009</v>
      </c>
      <c r="BD17" s="45">
        <f t="shared" si="15"/>
        <v>116311.37203034293</v>
      </c>
      <c r="BE17" s="45">
        <f t="shared" si="15"/>
        <v>120032.35044128075</v>
      </c>
      <c r="BF17" s="45">
        <f t="shared" si="15"/>
        <v>87097.371991563588</v>
      </c>
      <c r="BG17" s="45">
        <f t="shared" si="15"/>
        <v>40829.558489497751</v>
      </c>
      <c r="BH17" s="45">
        <f t="shared" si="15"/>
        <v>40783.031545895152</v>
      </c>
      <c r="BI17" s="45">
        <f t="shared" si="15"/>
        <v>52624.598783579655</v>
      </c>
      <c r="BJ17" s="45">
        <f t="shared" si="16"/>
        <v>90421.767377859913</v>
      </c>
      <c r="BK17" s="45">
        <f t="shared" si="16"/>
        <v>60507.219813821837</v>
      </c>
      <c r="BL17" s="45">
        <f t="shared" si="16"/>
        <v>62812.441748045385</v>
      </c>
      <c r="BM17" s="45">
        <f t="shared" si="16"/>
        <v>59918.908034297638</v>
      </c>
      <c r="BN17" s="45">
        <f t="shared" si="16"/>
        <v>86225.480218043551</v>
      </c>
      <c r="BO17" s="45">
        <f t="shared" si="16"/>
        <v>224883.4740033159</v>
      </c>
      <c r="BP17" s="45">
        <f t="shared" si="16"/>
        <v>266910.59984022751</v>
      </c>
      <c r="BQ17" s="45">
        <f t="shared" si="16"/>
        <v>257347.31360998284</v>
      </c>
      <c r="BR17" s="45">
        <f t="shared" si="16"/>
        <v>178888.37921419926</v>
      </c>
      <c r="BS17" s="45">
        <f t="shared" si="16"/>
        <v>82056.082624640316</v>
      </c>
      <c r="BT17" s="276">
        <v>72687.076774038156</v>
      </c>
      <c r="BU17" s="276">
        <v>91531.787636495545</v>
      </c>
      <c r="BV17" s="276">
        <v>112608.98107831611</v>
      </c>
      <c r="BW17" s="276">
        <v>93427.010022004135</v>
      </c>
      <c r="BX17" s="276">
        <v>98293.696193547104</v>
      </c>
      <c r="BY17" s="276">
        <v>94722.656202746701</v>
      </c>
      <c r="BZ17" s="276">
        <v>131761.10717191774</v>
      </c>
      <c r="CA17" s="276">
        <v>0</v>
      </c>
      <c r="CB17" s="276">
        <v>0</v>
      </c>
      <c r="CC17" s="276">
        <v>0</v>
      </c>
      <c r="CD17" s="276">
        <v>0</v>
      </c>
      <c r="CE17" s="276">
        <v>0</v>
      </c>
      <c r="CF17" s="276">
        <v>0</v>
      </c>
      <c r="CG17" s="276">
        <v>0</v>
      </c>
      <c r="CH17" s="276">
        <v>0</v>
      </c>
    </row>
    <row r="18" spans="1:86" x14ac:dyDescent="0.25">
      <c r="A18" s="38" t="s">
        <v>37</v>
      </c>
      <c r="B18" s="37"/>
      <c r="C18" s="37"/>
      <c r="D18" s="45">
        <f t="shared" si="17"/>
        <v>0</v>
      </c>
      <c r="E18" s="45">
        <f t="shared" si="18"/>
        <v>0</v>
      </c>
      <c r="F18" s="45">
        <f t="shared" si="18"/>
        <v>158.37627524588399</v>
      </c>
      <c r="G18" s="45">
        <f t="shared" si="18"/>
        <v>597.17310476301054</v>
      </c>
      <c r="H18" s="45">
        <f t="shared" si="18"/>
        <v>0</v>
      </c>
      <c r="I18" s="45">
        <f t="shared" si="18"/>
        <v>169.81270770721562</v>
      </c>
      <c r="J18" s="45">
        <f t="shared" si="18"/>
        <v>453.93840587905197</v>
      </c>
      <c r="K18" s="45">
        <f t="shared" si="18"/>
        <v>456.28021386938781</v>
      </c>
      <c r="L18" s="45">
        <f t="shared" si="18"/>
        <v>4319.4254014161179</v>
      </c>
      <c r="M18" s="45">
        <f t="shared" si="18"/>
        <v>2081.8680429045771</v>
      </c>
      <c r="N18" s="45">
        <f t="shared" si="18"/>
        <v>5464.5117731579412</v>
      </c>
      <c r="O18" s="45">
        <f t="shared" si="18"/>
        <v>3916.0471236254289</v>
      </c>
      <c r="P18" s="45">
        <f t="shared" si="18"/>
        <v>4286.7797434903841</v>
      </c>
      <c r="Q18" s="45">
        <f t="shared" si="18"/>
        <v>3982.5449796573193</v>
      </c>
      <c r="R18" s="45">
        <f t="shared" si="18"/>
        <v>11299.337986812028</v>
      </c>
      <c r="S18" s="45">
        <f t="shared" si="18"/>
        <v>37266.281050670106</v>
      </c>
      <c r="T18" s="45">
        <f t="shared" si="18"/>
        <v>39305.85563180274</v>
      </c>
      <c r="U18" s="45">
        <f t="shared" si="15"/>
        <v>39825.548110948119</v>
      </c>
      <c r="V18" s="45">
        <f t="shared" si="15"/>
        <v>24302.15285836329</v>
      </c>
      <c r="W18" s="45">
        <f t="shared" si="15"/>
        <v>9074.1876762166794</v>
      </c>
      <c r="X18" s="45">
        <f t="shared" si="15"/>
        <v>8467.5987787623017</v>
      </c>
      <c r="Y18" s="45">
        <f t="shared" si="15"/>
        <v>10043.475176890934</v>
      </c>
      <c r="Z18" s="45">
        <f t="shared" si="15"/>
        <v>11094.93412078757</v>
      </c>
      <c r="AA18" s="45">
        <f t="shared" si="15"/>
        <v>8945.8791974182532</v>
      </c>
      <c r="AB18" s="45">
        <f t="shared" si="15"/>
        <v>9467.3264548647567</v>
      </c>
      <c r="AC18" s="45">
        <f t="shared" si="15"/>
        <v>10005.404829831823</v>
      </c>
      <c r="AD18" s="45">
        <f t="shared" si="15"/>
        <v>18704.704243288696</v>
      </c>
      <c r="AE18" s="45">
        <f t="shared" si="15"/>
        <v>61479.015590718016</v>
      </c>
      <c r="AF18" s="45">
        <f t="shared" si="15"/>
        <v>67159.376438625099</v>
      </c>
      <c r="AG18" s="45">
        <f t="shared" si="15"/>
        <v>66916.483134767215</v>
      </c>
      <c r="AH18" s="45">
        <f t="shared" si="15"/>
        <v>39486.39096965373</v>
      </c>
      <c r="AI18" s="45">
        <f t="shared" si="15"/>
        <v>16391.286670723639</v>
      </c>
      <c r="AJ18" s="45">
        <f t="shared" si="15"/>
        <v>13125.924030081369</v>
      </c>
      <c r="AK18" s="45">
        <f t="shared" si="15"/>
        <v>13410.167764012935</v>
      </c>
      <c r="AL18" s="45">
        <f t="shared" si="15"/>
        <v>14623.775343037792</v>
      </c>
      <c r="AM18" s="45">
        <f t="shared" si="15"/>
        <v>11799.469904855709</v>
      </c>
      <c r="AN18" s="45">
        <f t="shared" si="15"/>
        <v>3692.3145879389485</v>
      </c>
      <c r="AO18" s="45">
        <f t="shared" si="15"/>
        <v>4204.7855756902136</v>
      </c>
      <c r="AP18" s="45">
        <f t="shared" si="15"/>
        <v>6322.2450522735016</v>
      </c>
      <c r="AQ18" s="45">
        <f t="shared" si="15"/>
        <v>16998.740262906649</v>
      </c>
      <c r="AR18" s="45">
        <f t="shared" si="15"/>
        <v>24454.531761112739</v>
      </c>
      <c r="AS18" s="45">
        <f t="shared" si="15"/>
        <v>24505.610798255075</v>
      </c>
      <c r="AT18" s="45">
        <f t="shared" si="15"/>
        <v>18203.425844928715</v>
      </c>
      <c r="AU18" s="45">
        <f t="shared" si="15"/>
        <v>7851.239692067029</v>
      </c>
      <c r="AV18" s="45">
        <f t="shared" si="15"/>
        <v>4908.0126723338617</v>
      </c>
      <c r="AW18" s="45">
        <f t="shared" si="15"/>
        <v>5923.4047280289233</v>
      </c>
      <c r="AX18" s="45">
        <f t="shared" si="15"/>
        <v>6352.0312849682523</v>
      </c>
      <c r="AY18" s="45">
        <f t="shared" si="15"/>
        <v>5614.7074151191628</v>
      </c>
      <c r="AZ18" s="45">
        <f t="shared" si="15"/>
        <v>6811.5314263690962</v>
      </c>
      <c r="BA18" s="45">
        <f t="shared" si="15"/>
        <v>8120.8580014418112</v>
      </c>
      <c r="BB18" s="45">
        <f t="shared" si="15"/>
        <v>16542.396630880423</v>
      </c>
      <c r="BC18" s="45">
        <f t="shared" si="15"/>
        <v>68523.222002004739</v>
      </c>
      <c r="BD18" s="45">
        <f t="shared" si="15"/>
        <v>36624.679884644225</v>
      </c>
      <c r="BE18" s="45">
        <f t="shared" si="15"/>
        <v>38171.607625738019</v>
      </c>
      <c r="BF18" s="45">
        <f t="shared" si="15"/>
        <v>19783.389279484516</v>
      </c>
      <c r="BG18" s="45">
        <f t="shared" si="15"/>
        <v>3636.3766774955438</v>
      </c>
      <c r="BH18" s="45">
        <f t="shared" si="15"/>
        <v>2369.7234684198629</v>
      </c>
      <c r="BI18" s="45">
        <f t="shared" ref="BI18:BS19" si="19">IF(BI9="","",BI9-BH9)</f>
        <v>3128.0537732590456</v>
      </c>
      <c r="BJ18" s="45">
        <f t="shared" si="19"/>
        <v>11984.518930729129</v>
      </c>
      <c r="BK18" s="45">
        <f t="shared" si="19"/>
        <v>7113.8665358065628</v>
      </c>
      <c r="BL18" s="45">
        <f t="shared" si="19"/>
        <v>7925.8422557272715</v>
      </c>
      <c r="BM18" s="45">
        <f t="shared" si="19"/>
        <v>9713.4254680548329</v>
      </c>
      <c r="BN18" s="45">
        <f t="shared" si="19"/>
        <v>18592.423872364918</v>
      </c>
      <c r="BO18" s="45">
        <f t="shared" si="19"/>
        <v>55412.093566097436</v>
      </c>
      <c r="BP18" s="45">
        <f t="shared" si="19"/>
        <v>60875.240777692292</v>
      </c>
      <c r="BQ18" s="45">
        <f t="shared" si="19"/>
        <v>60707.397697063396</v>
      </c>
      <c r="BR18" s="45">
        <f t="shared" si="19"/>
        <v>39451.202552466886</v>
      </c>
      <c r="BS18" s="45">
        <f t="shared" si="19"/>
        <v>14810.592807402834</v>
      </c>
      <c r="BT18" s="276">
        <v>8536.3764120060587</v>
      </c>
      <c r="BU18" s="276">
        <v>10102.499425712533</v>
      </c>
      <c r="BV18" s="276">
        <v>13007.656483883733</v>
      </c>
      <c r="BW18" s="276">
        <v>10522.903920566741</v>
      </c>
      <c r="BX18" s="276">
        <v>11766.914999319293</v>
      </c>
      <c r="BY18" s="276">
        <v>14458.675109430354</v>
      </c>
      <c r="BZ18" s="276">
        <v>30032.210942633086</v>
      </c>
      <c r="CA18" s="276">
        <v>0</v>
      </c>
      <c r="CB18" s="276">
        <v>0</v>
      </c>
      <c r="CC18" s="276">
        <v>0</v>
      </c>
      <c r="CD18" s="276">
        <v>0</v>
      </c>
      <c r="CE18" s="276">
        <v>0</v>
      </c>
      <c r="CF18" s="276">
        <v>0</v>
      </c>
      <c r="CG18" s="276">
        <v>0</v>
      </c>
      <c r="CH18" s="276">
        <v>0</v>
      </c>
    </row>
    <row r="19" spans="1:86" x14ac:dyDescent="0.25">
      <c r="A19" s="38" t="s">
        <v>29</v>
      </c>
      <c r="B19" s="37"/>
      <c r="C19" s="37"/>
      <c r="D19" s="45">
        <f t="shared" si="17"/>
        <v>0</v>
      </c>
      <c r="E19" s="45">
        <f t="shared" si="18"/>
        <v>0</v>
      </c>
      <c r="F19" s="45">
        <f t="shared" si="18"/>
        <v>0</v>
      </c>
      <c r="G19" s="45">
        <f t="shared" si="18"/>
        <v>0</v>
      </c>
      <c r="H19" s="45">
        <f t="shared" si="18"/>
        <v>0</v>
      </c>
      <c r="I19" s="45">
        <f t="shared" si="18"/>
        <v>1171.3068451326408</v>
      </c>
      <c r="J19" s="45">
        <f t="shared" si="18"/>
        <v>2529.6001774291863</v>
      </c>
      <c r="K19" s="45">
        <f t="shared" si="18"/>
        <v>1838.4501356835217</v>
      </c>
      <c r="L19" s="45">
        <f t="shared" si="18"/>
        <v>3416.6709735918112</v>
      </c>
      <c r="M19" s="45">
        <f t="shared" si="18"/>
        <v>9368.4257912663998</v>
      </c>
      <c r="N19" s="45">
        <f t="shared" si="18"/>
        <v>25007.893222675237</v>
      </c>
      <c r="O19" s="45">
        <f t="shared" si="18"/>
        <v>18377.753408188204</v>
      </c>
      <c r="P19" s="45">
        <f t="shared" si="18"/>
        <v>16903.521942794192</v>
      </c>
      <c r="Q19" s="45">
        <f t="shared" si="18"/>
        <v>7331.1472991635092</v>
      </c>
      <c r="R19" s="45">
        <f t="shared" si="18"/>
        <v>9246.8785262646852</v>
      </c>
      <c r="S19" s="45">
        <f t="shared" si="18"/>
        <v>23033.385093122604</v>
      </c>
      <c r="T19" s="45">
        <f t="shared" si="18"/>
        <v>35158.684040043896</v>
      </c>
      <c r="U19" s="45">
        <f t="shared" si="15"/>
        <v>49249.50737893011</v>
      </c>
      <c r="V19" s="45">
        <f t="shared" si="15"/>
        <v>57319.631133875024</v>
      </c>
      <c r="W19" s="45">
        <f t="shared" si="15"/>
        <v>29616.996324232954</v>
      </c>
      <c r="X19" s="45">
        <f t="shared" si="15"/>
        <v>41997.882571665046</v>
      </c>
      <c r="Y19" s="45">
        <f t="shared" si="15"/>
        <v>57277.076729206019</v>
      </c>
      <c r="Z19" s="45">
        <f t="shared" si="15"/>
        <v>59833.97917327896</v>
      </c>
      <c r="AA19" s="45">
        <f t="shared" si="15"/>
        <v>54943.052009645617</v>
      </c>
      <c r="AB19" s="45">
        <f t="shared" si="15"/>
        <v>56121.054110896483</v>
      </c>
      <c r="AC19" s="45">
        <f t="shared" si="15"/>
        <v>46035.332162926439</v>
      </c>
      <c r="AD19" s="45">
        <f t="shared" si="15"/>
        <v>48293.250035937643</v>
      </c>
      <c r="AE19" s="45">
        <f t="shared" si="15"/>
        <v>119044.01246319769</v>
      </c>
      <c r="AF19" s="45">
        <f t="shared" si="15"/>
        <v>147544.9976373259</v>
      </c>
      <c r="AG19" s="45">
        <f t="shared" si="15"/>
        <v>154848.44222777023</v>
      </c>
      <c r="AH19" s="45">
        <f t="shared" si="15"/>
        <v>118931.58559798705</v>
      </c>
      <c r="AI19" s="45">
        <f t="shared" si="15"/>
        <v>59668.76989156194</v>
      </c>
      <c r="AJ19" s="45">
        <f t="shared" si="15"/>
        <v>79301.158657101914</v>
      </c>
      <c r="AK19" s="45">
        <f t="shared" si="15"/>
        <v>105658.01363871386</v>
      </c>
      <c r="AL19" s="45">
        <f t="shared" si="15"/>
        <v>120039.81157577224</v>
      </c>
      <c r="AM19" s="45">
        <f t="shared" si="15"/>
        <v>101216.94814655907</v>
      </c>
      <c r="AN19" s="45">
        <f t="shared" si="15"/>
        <v>46724.306443704292</v>
      </c>
      <c r="AO19" s="45">
        <f t="shared" si="15"/>
        <v>35412.249737861566</v>
      </c>
      <c r="AP19" s="45">
        <f t="shared" si="15"/>
        <v>36226.865998081863</v>
      </c>
      <c r="AQ19" s="45">
        <f t="shared" si="15"/>
        <v>98278.596815729747</v>
      </c>
      <c r="AR19" s="45">
        <f t="shared" si="15"/>
        <v>135971.43528990331</v>
      </c>
      <c r="AS19" s="45">
        <f t="shared" si="15"/>
        <v>125092.92989895423</v>
      </c>
      <c r="AT19" s="45">
        <f t="shared" si="15"/>
        <v>104282.55101952376</v>
      </c>
      <c r="AU19" s="45">
        <f t="shared" si="15"/>
        <v>57893.093169890344</v>
      </c>
      <c r="AV19" s="45">
        <f t="shared" si="15"/>
        <v>73279.14658442419</v>
      </c>
      <c r="AW19" s="45">
        <f t="shared" si="15"/>
        <v>108806.09696892183</v>
      </c>
      <c r="AX19" s="45">
        <f t="shared" si="15"/>
        <v>133689.28810683126</v>
      </c>
      <c r="AY19" s="45">
        <f t="shared" si="15"/>
        <v>109140.9327871413</v>
      </c>
      <c r="AZ19" s="45">
        <f t="shared" si="15"/>
        <v>100535.11591136269</v>
      </c>
      <c r="BA19" s="45">
        <f t="shared" si="15"/>
        <v>83404.612478537019</v>
      </c>
      <c r="BB19" s="45">
        <f t="shared" si="15"/>
        <v>102325.26596933044</v>
      </c>
      <c r="BC19" s="45">
        <f t="shared" si="15"/>
        <v>299682.65627149772</v>
      </c>
      <c r="BD19" s="45">
        <f t="shared" si="15"/>
        <v>144161.24149628216</v>
      </c>
      <c r="BE19" s="45">
        <f t="shared" si="15"/>
        <v>156318.97487304313</v>
      </c>
      <c r="BF19" s="45">
        <f t="shared" si="15"/>
        <v>124387.42986012949</v>
      </c>
      <c r="BG19" s="45">
        <f t="shared" si="15"/>
        <v>57150.600717793219</v>
      </c>
      <c r="BH19" s="45">
        <f t="shared" si="15"/>
        <v>70993.103094398044</v>
      </c>
      <c r="BI19" s="45">
        <f t="shared" si="19"/>
        <v>93819.25974588003</v>
      </c>
      <c r="BJ19" s="45">
        <f t="shared" si="19"/>
        <v>110243.30355026387</v>
      </c>
      <c r="BK19" s="45">
        <f t="shared" si="19"/>
        <v>89450.629168430809</v>
      </c>
      <c r="BL19" s="45">
        <f t="shared" si="19"/>
        <v>91863.0681956443</v>
      </c>
      <c r="BM19" s="45">
        <f t="shared" si="19"/>
        <v>88151.323813742027</v>
      </c>
      <c r="BN19" s="45">
        <f t="shared" si="19"/>
        <v>104162.98818963766</v>
      </c>
      <c r="BO19" s="45">
        <f t="shared" si="19"/>
        <v>308343.56301096734</v>
      </c>
      <c r="BP19" s="45">
        <f t="shared" si="19"/>
        <v>389558.52237852011</v>
      </c>
      <c r="BQ19" s="45">
        <f t="shared" si="19"/>
        <v>379493.64661458787</v>
      </c>
      <c r="BR19" s="45">
        <f t="shared" si="19"/>
        <v>301134.14407501183</v>
      </c>
      <c r="BS19" s="45">
        <f t="shared" si="19"/>
        <v>146683.94920108654</v>
      </c>
      <c r="BT19" s="276">
        <v>167135.83261687006</v>
      </c>
      <c r="BU19" s="276">
        <v>207966.14328710712</v>
      </c>
      <c r="BV19" s="276">
        <v>213610.81159288192</v>
      </c>
      <c r="BW19" s="276">
        <v>177272.00670240505</v>
      </c>
      <c r="BX19" s="276">
        <v>172167.85272384752</v>
      </c>
      <c r="BY19" s="276">
        <v>149838.3675066162</v>
      </c>
      <c r="BZ19" s="276">
        <v>165098.49469581997</v>
      </c>
      <c r="CA19" s="276">
        <v>0</v>
      </c>
      <c r="CB19" s="276">
        <v>0</v>
      </c>
      <c r="CC19" s="276">
        <v>0</v>
      </c>
      <c r="CD19" s="276">
        <v>0</v>
      </c>
      <c r="CE19" s="276">
        <v>0</v>
      </c>
      <c r="CF19" s="276">
        <v>0</v>
      </c>
      <c r="CG19" s="276">
        <v>0</v>
      </c>
      <c r="CH19" s="276">
        <v>0</v>
      </c>
    </row>
    <row r="20" spans="1:86" x14ac:dyDescent="0.25">
      <c r="A20" s="35" t="s">
        <v>31</v>
      </c>
      <c r="B20" s="37"/>
      <c r="C20" s="37"/>
      <c r="D20" s="44">
        <f>SUM(D14:D19)</f>
        <v>0.71203150918887492</v>
      </c>
      <c r="E20" s="44">
        <f t="shared" ref="E20:AW20" si="20">SUM(E14:E19)</f>
        <v>4695.4207688607357</v>
      </c>
      <c r="F20" s="44">
        <f t="shared" si="20"/>
        <v>39935.570121927383</v>
      </c>
      <c r="G20" s="44">
        <f t="shared" si="20"/>
        <v>291676.37356246018</v>
      </c>
      <c r="H20" s="44">
        <f t="shared" si="20"/>
        <v>544866.33457860793</v>
      </c>
      <c r="I20" s="44">
        <f t="shared" si="20"/>
        <v>663040.9475663905</v>
      </c>
      <c r="J20" s="44">
        <f t="shared" si="20"/>
        <v>547744.67638274853</v>
      </c>
      <c r="K20" s="44">
        <f t="shared" si="20"/>
        <v>270067.89072131994</v>
      </c>
      <c r="L20" s="44">
        <f t="shared" si="20"/>
        <v>449448.83291898988</v>
      </c>
      <c r="M20" s="44">
        <f t="shared" si="20"/>
        <v>672384.11562352569</v>
      </c>
      <c r="N20" s="44">
        <f t="shared" si="20"/>
        <v>860299.05315340089</v>
      </c>
      <c r="O20" s="44">
        <f t="shared" si="20"/>
        <v>921069.68539476907</v>
      </c>
      <c r="P20" s="44">
        <f t="shared" si="20"/>
        <v>727242.36549864151</v>
      </c>
      <c r="Q20" s="44">
        <f t="shared" si="20"/>
        <v>330495.27100759087</v>
      </c>
      <c r="R20" s="44">
        <f t="shared" si="20"/>
        <v>448514.38010054693</v>
      </c>
      <c r="S20" s="44">
        <f t="shared" si="20"/>
        <v>1166466.8526526121</v>
      </c>
      <c r="T20" s="44">
        <f t="shared" si="20"/>
        <v>1596902.1714481555</v>
      </c>
      <c r="U20" s="44">
        <f t="shared" si="20"/>
        <v>1748272.4117888496</v>
      </c>
      <c r="V20" s="44">
        <f t="shared" si="20"/>
        <v>1519471.01623757</v>
      </c>
      <c r="W20" s="44">
        <f t="shared" si="20"/>
        <v>764880.45368540613</v>
      </c>
      <c r="X20" s="44">
        <f t="shared" si="20"/>
        <v>908807.65228987066</v>
      </c>
      <c r="Y20" s="44">
        <f t="shared" si="20"/>
        <v>1120062.856555779</v>
      </c>
      <c r="Z20" s="44">
        <f t="shared" si="20"/>
        <v>1377220.6643166305</v>
      </c>
      <c r="AA20" s="44">
        <f t="shared" si="20"/>
        <v>1195166.5723548159</v>
      </c>
      <c r="AB20" s="44">
        <f t="shared" si="20"/>
        <v>1300632.3993987509</v>
      </c>
      <c r="AC20" s="44">
        <f t="shared" si="20"/>
        <v>1205822.8207733985</v>
      </c>
      <c r="AD20" s="44">
        <f t="shared" si="20"/>
        <v>1472551.2785682736</v>
      </c>
      <c r="AE20" s="44">
        <f t="shared" si="20"/>
        <v>3602609.9103061217</v>
      </c>
      <c r="AF20" s="44">
        <f t="shared" si="20"/>
        <v>4524979.9029475963</v>
      </c>
      <c r="AG20" s="44">
        <f t="shared" si="20"/>
        <v>4557691.9623519126</v>
      </c>
      <c r="AH20" s="44">
        <f t="shared" si="20"/>
        <v>3395133.6257571932</v>
      </c>
      <c r="AI20" s="44">
        <f t="shared" si="20"/>
        <v>1618999.5517252118</v>
      </c>
      <c r="AJ20" s="44">
        <f t="shared" si="20"/>
        <v>1693340.1593012405</v>
      </c>
      <c r="AK20" s="44">
        <f t="shared" si="20"/>
        <v>2043834.5150522969</v>
      </c>
      <c r="AL20" s="44">
        <f t="shared" si="20"/>
        <v>2546894.0685010902</v>
      </c>
      <c r="AM20" s="44">
        <f t="shared" si="20"/>
        <v>2089616.4766016018</v>
      </c>
      <c r="AN20" s="44">
        <f t="shared" si="20"/>
        <v>912247.85076541675</v>
      </c>
      <c r="AO20" s="44">
        <f t="shared" si="20"/>
        <v>846334.21711913729</v>
      </c>
      <c r="AP20" s="44">
        <f t="shared" si="20"/>
        <v>1066637.678205363</v>
      </c>
      <c r="AQ20" s="44">
        <f t="shared" si="20"/>
        <v>2863352.6421243409</v>
      </c>
      <c r="AR20" s="44">
        <f t="shared" si="20"/>
        <v>3675557.523710967</v>
      </c>
      <c r="AS20" s="44">
        <f t="shared" si="20"/>
        <v>3342039.9312423691</v>
      </c>
      <c r="AT20" s="44">
        <f t="shared" si="20"/>
        <v>2373846.5851787962</v>
      </c>
      <c r="AU20" s="44">
        <f t="shared" si="20"/>
        <v>1051178.3111241481</v>
      </c>
      <c r="AV20" s="44">
        <f t="shared" ref="AV20" si="21">SUM(AV14:AV19)</f>
        <v>1105092.1759465141</v>
      </c>
      <c r="AW20" s="44">
        <f t="shared" si="20"/>
        <v>1381965.5186848878</v>
      </c>
      <c r="AX20" s="44">
        <f t="shared" ref="AX20:AY20" si="22">SUM(AX14:AX19)</f>
        <v>1700717.7639811411</v>
      </c>
      <c r="AY20" s="44">
        <f t="shared" si="22"/>
        <v>1356926.8590753335</v>
      </c>
      <c r="AZ20" s="44">
        <f t="shared" ref="AZ20:BA20" si="23">SUM(AZ14:AZ19)</f>
        <v>1353802.1905861669</v>
      </c>
      <c r="BA20" s="44">
        <f t="shared" si="23"/>
        <v>1239676.1204544338</v>
      </c>
      <c r="BB20" s="44">
        <f t="shared" ref="BB20:BC20" si="24">SUM(BB14:BB19)</f>
        <v>1628086.4160208032</v>
      </c>
      <c r="BC20" s="44">
        <f t="shared" si="24"/>
        <v>4511630.5078466395</v>
      </c>
      <c r="BD20" s="44">
        <f t="shared" ref="BD20:BE20" si="25">SUM(BD14:BD19)</f>
        <v>1051039.3753533266</v>
      </c>
      <c r="BE20" s="44">
        <f t="shared" si="25"/>
        <v>1133487.8662933947</v>
      </c>
      <c r="BF20" s="44">
        <f t="shared" ref="BF20:BG20" si="26">SUM(BF14:BF19)</f>
        <v>808760.63763167639</v>
      </c>
      <c r="BG20" s="44">
        <f t="shared" si="26"/>
        <v>375458.03446689073</v>
      </c>
      <c r="BH20" s="44">
        <f t="shared" ref="BH20:BI20" si="27">SUM(BH14:BH19)</f>
        <v>426692.32957000914</v>
      </c>
      <c r="BI20" s="44">
        <f t="shared" si="27"/>
        <v>579421.78363716719</v>
      </c>
      <c r="BJ20" s="44">
        <f t="shared" ref="BJ20:BK20" si="28">SUM(BJ14:BJ19)</f>
        <v>801605.52584873384</v>
      </c>
      <c r="BK20" s="44">
        <f t="shared" si="28"/>
        <v>596790.15800777823</v>
      </c>
      <c r="BL20" s="44">
        <f t="shared" ref="BL20:BM20" si="29">SUM(BL14:BL19)</f>
        <v>601738.66705846821</v>
      </c>
      <c r="BM20" s="44">
        <f t="shared" si="29"/>
        <v>554067.14924048469</v>
      </c>
      <c r="BN20" s="44">
        <f t="shared" ref="BN20:BO20" si="30">SUM(BN14:BN19)</f>
        <v>754375.92963655689</v>
      </c>
      <c r="BO20" s="44">
        <f t="shared" si="30"/>
        <v>2025351.8248758968</v>
      </c>
      <c r="BP20" s="44">
        <f t="shared" ref="BP20:BQ20" si="31">SUM(BP14:BP19)</f>
        <v>2625386.5745604574</v>
      </c>
      <c r="BQ20" s="44">
        <f t="shared" si="31"/>
        <v>2540999.4109809548</v>
      </c>
      <c r="BR20" s="44">
        <f t="shared" ref="BR20:CH20" si="32">SUM(BR14:BR19)</f>
        <v>1733783.3413791929</v>
      </c>
      <c r="BS20" s="44">
        <f t="shared" si="32"/>
        <v>755529.95697051473</v>
      </c>
      <c r="BT20" s="44">
        <f t="shared" si="32"/>
        <v>791290.49553918431</v>
      </c>
      <c r="BU20" s="44">
        <f t="shared" si="32"/>
        <v>1069050.061473018</v>
      </c>
      <c r="BV20" s="44">
        <f t="shared" si="32"/>
        <v>1187577.2561075122</v>
      </c>
      <c r="BW20" s="44">
        <f t="shared" si="32"/>
        <v>970859.16085710377</v>
      </c>
      <c r="BX20" s="44">
        <f t="shared" si="32"/>
        <v>950451.62760470971</v>
      </c>
      <c r="BY20" s="44">
        <f t="shared" si="32"/>
        <v>838656.56933329056</v>
      </c>
      <c r="BZ20" s="44">
        <f t="shared" si="32"/>
        <v>1086951.518476794</v>
      </c>
      <c r="CA20" s="44">
        <f t="shared" si="32"/>
        <v>0</v>
      </c>
      <c r="CB20" s="44">
        <f t="shared" si="32"/>
        <v>0</v>
      </c>
      <c r="CC20" s="44">
        <f t="shared" si="32"/>
        <v>0</v>
      </c>
      <c r="CD20" s="44">
        <f t="shared" si="32"/>
        <v>0</v>
      </c>
      <c r="CE20" s="44">
        <f t="shared" si="32"/>
        <v>0</v>
      </c>
      <c r="CF20" s="44">
        <f t="shared" si="32"/>
        <v>0</v>
      </c>
      <c r="CG20" s="44">
        <f t="shared" si="32"/>
        <v>0</v>
      </c>
      <c r="CH20" s="44">
        <f t="shared" si="32"/>
        <v>0</v>
      </c>
    </row>
    <row r="21" spans="1:86" x14ac:dyDescent="0.25">
      <c r="A21" s="35"/>
      <c r="B21" s="37"/>
      <c r="C21" s="37"/>
    </row>
    <row r="22" spans="1:86" x14ac:dyDescent="0.25">
      <c r="A22" s="27" t="s">
        <v>32</v>
      </c>
      <c r="B22" s="37"/>
      <c r="C22" s="37"/>
      <c r="BT22" s="277" t="s">
        <v>150</v>
      </c>
      <c r="BU22" s="278"/>
    </row>
    <row r="23" spans="1:86" x14ac:dyDescent="0.25">
      <c r="A23" t="s">
        <v>33</v>
      </c>
      <c r="B23" s="37"/>
      <c r="C23" s="37"/>
      <c r="D23" s="43">
        <v>1268128455</v>
      </c>
      <c r="E23" s="43">
        <v>872933544</v>
      </c>
      <c r="F23" s="43">
        <v>738196558</v>
      </c>
      <c r="G23" s="43">
        <v>978975302</v>
      </c>
      <c r="H23" s="43">
        <v>1243909773</v>
      </c>
      <c r="I23" s="43">
        <v>1310015315</v>
      </c>
      <c r="J23" s="43">
        <v>1208033233</v>
      </c>
      <c r="K23" s="109">
        <v>993546162</v>
      </c>
      <c r="L23" s="43">
        <v>897156231</v>
      </c>
      <c r="M23" s="43">
        <v>1208147189</v>
      </c>
      <c r="N23" s="43">
        <v>1334184680</v>
      </c>
      <c r="O23" s="43">
        <v>1302694951</v>
      </c>
      <c r="P23" s="43">
        <v>1123586700</v>
      </c>
      <c r="Q23" s="43">
        <v>886578697</v>
      </c>
      <c r="R23" s="43">
        <v>790098101</v>
      </c>
      <c r="S23" s="43">
        <v>1041013964</v>
      </c>
      <c r="T23" s="43">
        <v>1397050553</v>
      </c>
      <c r="U23" s="43">
        <v>1310723723</v>
      </c>
      <c r="V23" s="43">
        <v>1275164339</v>
      </c>
      <c r="W23" s="43">
        <v>800796996</v>
      </c>
      <c r="X23" s="43">
        <v>856955103</v>
      </c>
      <c r="Y23" s="43">
        <v>1137867523</v>
      </c>
      <c r="Z23" s="43">
        <v>1482496943</v>
      </c>
      <c r="AA23" s="43">
        <v>1507047480</v>
      </c>
      <c r="AB23" s="43">
        <v>1193201650</v>
      </c>
      <c r="AC23" s="43">
        <v>803567941</v>
      </c>
      <c r="AD23" s="43">
        <v>753161249</v>
      </c>
      <c r="AE23" s="43">
        <v>1061485022</v>
      </c>
      <c r="AF23" s="43">
        <v>1299384453</v>
      </c>
      <c r="AG23" s="43">
        <v>1325635096</v>
      </c>
      <c r="AH23" s="43">
        <v>1302322503</v>
      </c>
      <c r="AI23" s="43">
        <v>902367562</v>
      </c>
      <c r="AJ23" s="43">
        <v>849229853</v>
      </c>
      <c r="AK23" s="43">
        <v>1063566547</v>
      </c>
      <c r="AL23" s="43">
        <v>1372451320</v>
      </c>
      <c r="AM23" s="43">
        <v>1445914846</v>
      </c>
      <c r="AN23" s="43">
        <v>1156058653</v>
      </c>
      <c r="AO23" s="43">
        <v>900363528</v>
      </c>
      <c r="AP23" s="43">
        <v>837159184</v>
      </c>
      <c r="AQ23" s="43">
        <v>1060197293</v>
      </c>
      <c r="AR23" s="43">
        <v>1457350528</v>
      </c>
      <c r="AS23" s="43">
        <v>1390553772</v>
      </c>
      <c r="AT23" s="43">
        <v>1159635260</v>
      </c>
      <c r="AU23" s="43">
        <v>837049627</v>
      </c>
      <c r="AV23" s="43">
        <v>795371527</v>
      </c>
      <c r="AW23" s="43">
        <v>1056098740.4689</v>
      </c>
      <c r="AX23" s="43">
        <v>1465026007</v>
      </c>
      <c r="AY23" s="43">
        <v>1251994199</v>
      </c>
      <c r="AZ23" s="43">
        <v>1034539781</v>
      </c>
      <c r="BA23" s="43">
        <v>890081676</v>
      </c>
      <c r="BB23" s="43">
        <v>758154085</v>
      </c>
      <c r="BC23" s="43">
        <v>977251664</v>
      </c>
      <c r="BD23" s="43">
        <v>1278057997</v>
      </c>
      <c r="BE23" s="43">
        <v>1318572650</v>
      </c>
      <c r="BF23" s="43">
        <v>1220075915</v>
      </c>
      <c r="BG23" s="43">
        <v>887307993</v>
      </c>
      <c r="BH23" s="43">
        <v>778350513.42400002</v>
      </c>
      <c r="BI23" s="43">
        <v>1086671129</v>
      </c>
      <c r="BJ23" s="43">
        <v>1422169141</v>
      </c>
      <c r="BK23" s="43">
        <v>1336981468</v>
      </c>
      <c r="BL23" s="43">
        <v>926412440</v>
      </c>
      <c r="BM23" s="43">
        <v>848897331</v>
      </c>
      <c r="BN23" s="43">
        <v>766903433</v>
      </c>
      <c r="BO23" s="43">
        <v>1042127801</v>
      </c>
      <c r="BP23" s="43">
        <v>1392030781</v>
      </c>
      <c r="BQ23" s="43">
        <v>1268811473</v>
      </c>
      <c r="BR23" s="43">
        <v>1204491382</v>
      </c>
      <c r="BS23" s="43">
        <v>881094739</v>
      </c>
      <c r="BT23" s="279">
        <f>'[2]PPC.1, PCR.2F, EO.5'!B27</f>
        <v>961721412.71587527</v>
      </c>
      <c r="BU23" s="279">
        <f>'[2]PPC.1, PCR.2F, EO.5'!C27</f>
        <v>1214824095.0295494</v>
      </c>
      <c r="BV23" s="279">
        <f>'[2]PPC.1, PCR.2F, EO.5'!D27</f>
        <v>1429524901.4319398</v>
      </c>
      <c r="BW23" s="279">
        <f>'[2]PPC.1, PCR.2F, EO.5'!E27</f>
        <v>1190064267.3489525</v>
      </c>
      <c r="BX23" s="279">
        <f>'[2]PPC.1, PCR.2F, EO.5'!F27</f>
        <v>1014603094.1799415</v>
      </c>
      <c r="BY23" s="279">
        <f>'[2]PPC.1, PCR.2F, EO.5'!G27</f>
        <v>769303151.60249138</v>
      </c>
      <c r="BZ23" s="279">
        <f>'[2]PPC.1, PCR.2F, EO.5'!H27</f>
        <v>927870218.58284807</v>
      </c>
      <c r="CA23" s="279">
        <f>'[2]PPC.1, PCR.2F, EO.5'!I27</f>
        <v>1194387015.1541328</v>
      </c>
      <c r="CB23" s="279">
        <f>'[2]PPC.1, PCR.2F, EO.5'!J27</f>
        <v>1365782366.0928786</v>
      </c>
      <c r="CC23" s="279">
        <f>'[2]PPC.1, PCR.2F, EO.5'!K27</f>
        <v>1314496222.440345</v>
      </c>
      <c r="CD23" s="279">
        <f>'[2]PPC.1, PCR.2F, EO.5'!L27</f>
        <v>995414652.60440254</v>
      </c>
      <c r="CE23" s="279">
        <f>'[2]PPC.1, PCR.2F, EO.5'!M27</f>
        <v>744037470.45533097</v>
      </c>
      <c r="CF23" s="279">
        <f>'[2]PPC.1, PCR.2F, EO.5'!N27</f>
        <v>962466196.97000563</v>
      </c>
      <c r="CG23" s="279">
        <f>'[2]PPC.1, PCR.2F, EO.5'!O27</f>
        <v>1215138004.097733</v>
      </c>
      <c r="CH23" s="279">
        <f>'[2]PPC.1, PCR.2F, EO.5'!P27</f>
        <v>1429450922.8617308</v>
      </c>
    </row>
    <row r="24" spans="1:86" x14ac:dyDescent="0.25">
      <c r="A24" t="s">
        <v>34</v>
      </c>
      <c r="B24" s="37"/>
      <c r="C24" s="37"/>
      <c r="D24" s="43">
        <v>290178959</v>
      </c>
      <c r="E24" s="43">
        <v>235096003</v>
      </c>
      <c r="F24" s="43">
        <v>221772499</v>
      </c>
      <c r="G24" s="43">
        <v>258735845</v>
      </c>
      <c r="H24" s="43">
        <v>295975497</v>
      </c>
      <c r="I24" s="43">
        <v>304175879</v>
      </c>
      <c r="J24" s="43">
        <v>293549572</v>
      </c>
      <c r="K24" s="109">
        <v>264736629</v>
      </c>
      <c r="L24" s="43">
        <v>237145043</v>
      </c>
      <c r="M24" s="43">
        <v>278572550</v>
      </c>
      <c r="N24" s="43">
        <v>297050898</v>
      </c>
      <c r="O24" s="43">
        <v>290934660</v>
      </c>
      <c r="P24" s="43">
        <v>265078600</v>
      </c>
      <c r="Q24" s="43">
        <v>203506574</v>
      </c>
      <c r="R24" s="43">
        <v>184563246</v>
      </c>
      <c r="S24" s="43">
        <v>231230759</v>
      </c>
      <c r="T24" s="43">
        <v>288425422</v>
      </c>
      <c r="U24" s="43">
        <v>281389691</v>
      </c>
      <c r="V24" s="43">
        <v>269111017</v>
      </c>
      <c r="W24" s="43">
        <v>218212399</v>
      </c>
      <c r="X24" s="43">
        <v>218068919</v>
      </c>
      <c r="Y24" s="43">
        <v>251883126</v>
      </c>
      <c r="Z24" s="43">
        <v>300425840</v>
      </c>
      <c r="AA24" s="43">
        <v>303577891</v>
      </c>
      <c r="AB24" s="43">
        <v>265359424</v>
      </c>
      <c r="AC24" s="43">
        <v>211100441</v>
      </c>
      <c r="AD24" s="43">
        <v>205986967</v>
      </c>
      <c r="AE24" s="43">
        <v>264522271</v>
      </c>
      <c r="AF24" s="43">
        <v>291815734</v>
      </c>
      <c r="AG24" s="43">
        <v>291413887</v>
      </c>
      <c r="AH24" s="43">
        <v>294374400</v>
      </c>
      <c r="AI24" s="43">
        <v>245524134</v>
      </c>
      <c r="AJ24" s="43">
        <v>219607166</v>
      </c>
      <c r="AK24" s="43">
        <v>250466096</v>
      </c>
      <c r="AL24" s="43">
        <v>295383726</v>
      </c>
      <c r="AM24" s="43">
        <v>301077290</v>
      </c>
      <c r="AN24" s="43">
        <v>261058604</v>
      </c>
      <c r="AO24" s="43">
        <v>230949228</v>
      </c>
      <c r="AP24" s="43">
        <v>223998788</v>
      </c>
      <c r="AQ24" s="43">
        <v>260692423</v>
      </c>
      <c r="AR24" s="43">
        <v>312328749</v>
      </c>
      <c r="AS24" s="43">
        <v>305346654</v>
      </c>
      <c r="AT24" s="43">
        <v>279929276</v>
      </c>
      <c r="AU24" s="43">
        <v>230143220</v>
      </c>
      <c r="AV24" s="43">
        <v>219390300</v>
      </c>
      <c r="AW24" s="43">
        <v>274277285</v>
      </c>
      <c r="AX24" s="43">
        <v>313843493</v>
      </c>
      <c r="AY24" s="43">
        <v>275065920</v>
      </c>
      <c r="AZ24" s="43">
        <v>246366200</v>
      </c>
      <c r="BA24" s="43">
        <v>226379912</v>
      </c>
      <c r="BB24" s="43">
        <v>209000108</v>
      </c>
      <c r="BC24" s="43">
        <v>251344146</v>
      </c>
      <c r="BD24" s="43">
        <v>291402974</v>
      </c>
      <c r="BE24" s="43">
        <v>297748759</v>
      </c>
      <c r="BF24" s="43">
        <v>290701055</v>
      </c>
      <c r="BG24" s="43">
        <v>244186013</v>
      </c>
      <c r="BH24" s="43">
        <v>224485019</v>
      </c>
      <c r="BI24" s="43">
        <v>258087459</v>
      </c>
      <c r="BJ24" s="43">
        <v>311334710</v>
      </c>
      <c r="BK24" s="43">
        <v>292542260</v>
      </c>
      <c r="BL24" s="43">
        <v>235940797</v>
      </c>
      <c r="BM24" s="43">
        <v>229085910</v>
      </c>
      <c r="BN24" s="43">
        <v>218207531</v>
      </c>
      <c r="BO24" s="43">
        <v>266604752</v>
      </c>
      <c r="BP24" s="43">
        <v>318705410</v>
      </c>
      <c r="BQ24" s="43">
        <v>299140757</v>
      </c>
      <c r="BR24" s="43">
        <v>291256399</v>
      </c>
      <c r="BS24" s="43">
        <v>245729806</v>
      </c>
      <c r="BT24" s="279">
        <f>'[2]PPC.1, PCR.2F, EO.5'!B28</f>
        <v>230556313.97548485</v>
      </c>
      <c r="BU24" s="279">
        <f>'[2]PPC.1, PCR.2F, EO.5'!C28</f>
        <v>275979565.87286288</v>
      </c>
      <c r="BV24" s="279">
        <f>'[2]PPC.1, PCR.2F, EO.5'!D28</f>
        <v>310395670.82745898</v>
      </c>
      <c r="BW24" s="279">
        <f>'[2]PPC.1, PCR.2F, EO.5'!E28</f>
        <v>281276494.88891542</v>
      </c>
      <c r="BX24" s="279">
        <f>'[2]PPC.1, PCR.2F, EO.5'!F28</f>
        <v>249236647.45428941</v>
      </c>
      <c r="BY24" s="279">
        <f>'[2]PPC.1, PCR.2F, EO.5'!G28</f>
        <v>226767828.98855263</v>
      </c>
      <c r="BZ24" s="279">
        <f>'[2]PPC.1, PCR.2F, EO.5'!H28</f>
        <v>244827574.56690574</v>
      </c>
      <c r="CA24" s="279">
        <f>'[2]PPC.1, PCR.2F, EO.5'!I28</f>
        <v>283225222.41562188</v>
      </c>
      <c r="CB24" s="279">
        <f>'[2]PPC.1, PCR.2F, EO.5'!J28</f>
        <v>307995205.45052862</v>
      </c>
      <c r="CC24" s="279">
        <f>'[2]PPC.1, PCR.2F, EO.5'!K28</f>
        <v>298959962.50381666</v>
      </c>
      <c r="CD24" s="279">
        <f>'[2]PPC.1, PCR.2F, EO.5'!L28</f>
        <v>263905607.13617331</v>
      </c>
      <c r="CE24" s="279">
        <f>'[2]PPC.1, PCR.2F, EO.5'!M28</f>
        <v>215412360.63650614</v>
      </c>
      <c r="CF24" s="279">
        <f>'[2]PPC.1, PCR.2F, EO.5'!N28</f>
        <v>230921583.85977823</v>
      </c>
      <c r="CG24" s="279">
        <f>'[2]PPC.1, PCR.2F, EO.5'!O28</f>
        <v>276273412.16607565</v>
      </c>
      <c r="CH24" s="279">
        <f>'[2]PPC.1, PCR.2F, EO.5'!P28</f>
        <v>310697639.29799688</v>
      </c>
    </row>
    <row r="25" spans="1:86" x14ac:dyDescent="0.25">
      <c r="A25" t="s">
        <v>35</v>
      </c>
      <c r="B25" s="37"/>
      <c r="C25" s="37"/>
      <c r="D25" s="43">
        <v>599641261</v>
      </c>
      <c r="E25" s="43">
        <v>546450417</v>
      </c>
      <c r="F25" s="43">
        <v>548775486</v>
      </c>
      <c r="G25" s="43">
        <v>609609142</v>
      </c>
      <c r="H25" s="43">
        <v>656813642</v>
      </c>
      <c r="I25" s="43">
        <v>671886437</v>
      </c>
      <c r="J25" s="43">
        <v>678219627</v>
      </c>
      <c r="K25" s="109">
        <v>622550219</v>
      </c>
      <c r="L25" s="43">
        <v>549600433</v>
      </c>
      <c r="M25" s="43">
        <v>596432225</v>
      </c>
      <c r="N25" s="43">
        <v>616923082</v>
      </c>
      <c r="O25" s="43">
        <v>599527620</v>
      </c>
      <c r="P25" s="43">
        <v>566693954</v>
      </c>
      <c r="Q25" s="43">
        <v>483801855</v>
      </c>
      <c r="R25" s="43">
        <v>451939609</v>
      </c>
      <c r="S25" s="43">
        <v>534583835</v>
      </c>
      <c r="T25" s="43">
        <v>624356693</v>
      </c>
      <c r="U25" s="43">
        <v>621885740</v>
      </c>
      <c r="V25" s="43">
        <v>619148163</v>
      </c>
      <c r="W25" s="43">
        <v>528448107.69999999</v>
      </c>
      <c r="X25" s="43">
        <v>514648084</v>
      </c>
      <c r="Y25" s="43">
        <v>553120787</v>
      </c>
      <c r="Z25" s="43">
        <v>592823385</v>
      </c>
      <c r="AA25" s="43">
        <v>585712392</v>
      </c>
      <c r="AB25" s="43">
        <v>543642088</v>
      </c>
      <c r="AC25" s="43">
        <v>483262229</v>
      </c>
      <c r="AD25" s="43">
        <v>492375125.19999999</v>
      </c>
      <c r="AE25" s="43">
        <v>586671915</v>
      </c>
      <c r="AF25" s="43">
        <v>641235470</v>
      </c>
      <c r="AG25" s="43">
        <v>634777638</v>
      </c>
      <c r="AH25" s="43">
        <v>647017474</v>
      </c>
      <c r="AI25" s="43">
        <v>568724491</v>
      </c>
      <c r="AJ25" s="43">
        <v>505304455</v>
      </c>
      <c r="AK25" s="43">
        <v>555282313.60000002</v>
      </c>
      <c r="AL25" s="43">
        <v>590675076</v>
      </c>
      <c r="AM25" s="43">
        <v>582248455</v>
      </c>
      <c r="AN25" s="43">
        <v>534070902</v>
      </c>
      <c r="AO25" s="43">
        <v>506459043</v>
      </c>
      <c r="AP25" s="43">
        <v>516003997</v>
      </c>
      <c r="AQ25" s="43">
        <v>579943536</v>
      </c>
      <c r="AR25" s="43">
        <v>650768443</v>
      </c>
      <c r="AS25" s="43">
        <v>645110540</v>
      </c>
      <c r="AT25" s="43">
        <v>617464584</v>
      </c>
      <c r="AU25" s="43">
        <v>530232061</v>
      </c>
      <c r="AV25" s="43">
        <v>516180366</v>
      </c>
      <c r="AW25" s="43">
        <v>573339069</v>
      </c>
      <c r="AX25" s="43">
        <v>603008465</v>
      </c>
      <c r="AY25" s="43">
        <v>535848689</v>
      </c>
      <c r="AZ25" s="43">
        <v>513226736</v>
      </c>
      <c r="BA25" s="43">
        <v>490211820</v>
      </c>
      <c r="BB25" s="43">
        <v>487205076</v>
      </c>
      <c r="BC25" s="43">
        <v>550130655</v>
      </c>
      <c r="BD25" s="43">
        <v>592309179</v>
      </c>
      <c r="BE25" s="43">
        <v>613854730</v>
      </c>
      <c r="BF25" s="43">
        <v>614247424</v>
      </c>
      <c r="BG25" s="43">
        <v>540155873</v>
      </c>
      <c r="BH25" s="43">
        <v>496155566</v>
      </c>
      <c r="BI25" s="43">
        <v>533840032</v>
      </c>
      <c r="BJ25" s="43">
        <v>585074116</v>
      </c>
      <c r="BK25" s="43">
        <v>530212754</v>
      </c>
      <c r="BL25" s="43">
        <v>493196594</v>
      </c>
      <c r="BM25" s="43">
        <v>492216077</v>
      </c>
      <c r="BN25" s="43">
        <v>494860364</v>
      </c>
      <c r="BO25" s="43">
        <v>560458750</v>
      </c>
      <c r="BP25" s="43">
        <v>632894485</v>
      </c>
      <c r="BQ25" s="43">
        <v>593928493</v>
      </c>
      <c r="BR25" s="43">
        <v>594218359</v>
      </c>
      <c r="BS25" s="43">
        <v>530006142</v>
      </c>
      <c r="BT25" s="279">
        <f>'[2]PPC.1, PCR.2F, EO.5'!B29</f>
        <v>503402364.62291127</v>
      </c>
      <c r="BU25" s="279">
        <f>'[2]PPC.1, PCR.2F, EO.5'!C29</f>
        <v>553970107.07777035</v>
      </c>
      <c r="BV25" s="279">
        <f>'[2]PPC.1, PCR.2F, EO.5'!D29</f>
        <v>582129216.80663931</v>
      </c>
      <c r="BW25" s="279">
        <f>'[2]PPC.1, PCR.2F, EO.5'!E29</f>
        <v>515865693.45582765</v>
      </c>
      <c r="BX25" s="279">
        <f>'[2]PPC.1, PCR.2F, EO.5'!F29</f>
        <v>522575519.43424022</v>
      </c>
      <c r="BY25" s="279">
        <f>'[2]PPC.1, PCR.2F, EO.5'!G29</f>
        <v>505674054.43839753</v>
      </c>
      <c r="BZ25" s="279">
        <f>'[2]PPC.1, PCR.2F, EO.5'!H29</f>
        <v>572817819.76956499</v>
      </c>
      <c r="CA25" s="279">
        <f>'[2]PPC.1, PCR.2F, EO.5'!I29</f>
        <v>606308434.76448393</v>
      </c>
      <c r="CB25" s="279">
        <f>'[2]PPC.1, PCR.2F, EO.5'!J29</f>
        <v>651004657.0920285</v>
      </c>
      <c r="CC25" s="279">
        <f>'[2]PPC.1, PCR.2F, EO.5'!K29</f>
        <v>635975233.95183766</v>
      </c>
      <c r="CD25" s="279">
        <f>'[2]PPC.1, PCR.2F, EO.5'!L29</f>
        <v>573938163.98230696</v>
      </c>
      <c r="CE25" s="279">
        <f>'[2]PPC.1, PCR.2F, EO.5'!M29</f>
        <v>528417686.98890507</v>
      </c>
      <c r="CF25" s="279">
        <f>'[2]PPC.1, PCR.2F, EO.5'!N29</f>
        <v>506348801.23189801</v>
      </c>
      <c r="CG25" s="279">
        <f>'[2]PPC.1, PCR.2F, EO.5'!O29</f>
        <v>556790182.67338777</v>
      </c>
      <c r="CH25" s="279">
        <f>'[2]PPC.1, PCR.2F, EO.5'!P29</f>
        <v>582413683.09713233</v>
      </c>
    </row>
    <row r="26" spans="1:86" x14ac:dyDescent="0.25">
      <c r="A26" t="s">
        <v>36</v>
      </c>
      <c r="B26" s="37"/>
      <c r="C26" s="37"/>
      <c r="D26" s="43">
        <v>242499726</v>
      </c>
      <c r="E26" s="43">
        <v>232539680</v>
      </c>
      <c r="F26" s="43">
        <v>229224298</v>
      </c>
      <c r="G26" s="43">
        <v>266349220</v>
      </c>
      <c r="H26" s="43">
        <v>267674678</v>
      </c>
      <c r="I26" s="43">
        <v>281003685</v>
      </c>
      <c r="J26" s="43">
        <v>279302255</v>
      </c>
      <c r="K26" s="109">
        <v>258807768</v>
      </c>
      <c r="L26" s="43">
        <v>239334214</v>
      </c>
      <c r="M26" s="43">
        <v>241025466</v>
      </c>
      <c r="N26" s="43">
        <v>247898204</v>
      </c>
      <c r="O26" s="43">
        <v>255420215</v>
      </c>
      <c r="P26" s="43">
        <v>225135566</v>
      </c>
      <c r="Q26" s="43">
        <v>219961316</v>
      </c>
      <c r="R26" s="43">
        <v>207074154</v>
      </c>
      <c r="S26" s="43">
        <v>241165089</v>
      </c>
      <c r="T26" s="43">
        <v>253833450</v>
      </c>
      <c r="U26" s="43">
        <v>266058831</v>
      </c>
      <c r="V26" s="43">
        <v>266126792</v>
      </c>
      <c r="W26" s="43">
        <v>236673642.40000001</v>
      </c>
      <c r="X26" s="43">
        <v>234876378</v>
      </c>
      <c r="Y26" s="43">
        <v>245759481</v>
      </c>
      <c r="Z26" s="43">
        <v>241302585</v>
      </c>
      <c r="AA26" s="43">
        <v>254211213</v>
      </c>
      <c r="AB26" s="43">
        <v>216207694</v>
      </c>
      <c r="AC26" s="43">
        <v>214809052</v>
      </c>
      <c r="AD26" s="43">
        <v>221576502.5</v>
      </c>
      <c r="AE26" s="43">
        <v>232417188</v>
      </c>
      <c r="AF26" s="43">
        <v>286577542</v>
      </c>
      <c r="AG26" s="43">
        <v>263115351</v>
      </c>
      <c r="AH26" s="43">
        <v>266455046</v>
      </c>
      <c r="AI26" s="43">
        <v>230080105</v>
      </c>
      <c r="AJ26" s="43">
        <v>200697530</v>
      </c>
      <c r="AK26" s="43">
        <v>269908616.5</v>
      </c>
      <c r="AL26" s="43">
        <v>254759231</v>
      </c>
      <c r="AM26" s="43">
        <v>236605471</v>
      </c>
      <c r="AN26" s="43">
        <v>220600472</v>
      </c>
      <c r="AO26" s="43">
        <v>227017145</v>
      </c>
      <c r="AP26" s="43">
        <v>225997805</v>
      </c>
      <c r="AQ26" s="43">
        <v>251076328</v>
      </c>
      <c r="AR26" s="43">
        <v>267504084</v>
      </c>
      <c r="AS26" s="43">
        <v>272015339</v>
      </c>
      <c r="AT26" s="43">
        <v>258297228</v>
      </c>
      <c r="AU26" s="43">
        <v>229178636</v>
      </c>
      <c r="AV26" s="43">
        <v>231438770</v>
      </c>
      <c r="AW26" s="43">
        <v>241377872</v>
      </c>
      <c r="AX26" s="43">
        <v>231408894</v>
      </c>
      <c r="AY26" s="43">
        <v>221649717</v>
      </c>
      <c r="AZ26" s="43">
        <v>205003755</v>
      </c>
      <c r="BA26" s="43">
        <v>219436038</v>
      </c>
      <c r="BB26" s="43">
        <v>219271209</v>
      </c>
      <c r="BC26" s="43">
        <v>232550715</v>
      </c>
      <c r="BD26" s="43">
        <v>235130742</v>
      </c>
      <c r="BE26" s="43">
        <v>262292552</v>
      </c>
      <c r="BF26" s="43">
        <v>254203699</v>
      </c>
      <c r="BG26" s="43">
        <v>220702925</v>
      </c>
      <c r="BH26" s="43">
        <v>219441539</v>
      </c>
      <c r="BI26" s="43">
        <v>218534163</v>
      </c>
      <c r="BJ26" s="43">
        <v>232541184</v>
      </c>
      <c r="BK26" s="43">
        <v>222844092</v>
      </c>
      <c r="BL26" s="43">
        <v>216520104</v>
      </c>
      <c r="BM26" s="43">
        <v>207628128</v>
      </c>
      <c r="BN26" s="43">
        <v>217699925</v>
      </c>
      <c r="BO26" s="43">
        <v>237346838</v>
      </c>
      <c r="BP26" s="43">
        <v>254880958</v>
      </c>
      <c r="BQ26" s="43">
        <v>240871472</v>
      </c>
      <c r="BR26" s="43">
        <v>236345293</v>
      </c>
      <c r="BS26" s="43">
        <v>231951126</v>
      </c>
      <c r="BT26" s="279">
        <f>'[2]PPC.1, PCR.2F, EO.5'!B30</f>
        <v>220932655.9857884</v>
      </c>
      <c r="BU26" s="279">
        <f>'[2]PPC.1, PCR.2F, EO.5'!C30</f>
        <v>233594424.1517618</v>
      </c>
      <c r="BV26" s="279">
        <f>'[2]PPC.1, PCR.2F, EO.5'!D30</f>
        <v>243692177.27010703</v>
      </c>
      <c r="BW26" s="279">
        <f>'[2]PPC.1, PCR.2F, EO.5'!E30</f>
        <v>223508963.31422031</v>
      </c>
      <c r="BX26" s="279">
        <f>'[2]PPC.1, PCR.2F, EO.5'!F30</f>
        <v>225935520.4983165</v>
      </c>
      <c r="BY26" s="279">
        <f>'[2]PPC.1, PCR.2F, EO.5'!G30</f>
        <v>225755520.24654862</v>
      </c>
      <c r="BZ26" s="279">
        <f>'[2]PPC.1, PCR.2F, EO.5'!H30</f>
        <v>236650278.90790892</v>
      </c>
      <c r="CA26" s="279">
        <f>'[2]PPC.1, PCR.2F, EO.5'!I30</f>
        <v>249267183.76549473</v>
      </c>
      <c r="CB26" s="279">
        <f>'[2]PPC.1, PCR.2F, EO.5'!J30</f>
        <v>265487281.99319294</v>
      </c>
      <c r="CC26" s="279">
        <f>'[2]PPC.1, PCR.2F, EO.5'!K30</f>
        <v>265793432.46048093</v>
      </c>
      <c r="CD26" s="279">
        <f>'[2]PPC.1, PCR.2F, EO.5'!L30</f>
        <v>249354980.18941644</v>
      </c>
      <c r="CE26" s="279">
        <f>'[2]PPC.1, PCR.2F, EO.5'!M30</f>
        <v>232261215.72278216</v>
      </c>
      <c r="CF26" s="279">
        <f>'[2]PPC.1, PCR.2F, EO.5'!N30</f>
        <v>221653157.12380189</v>
      </c>
      <c r="CG26" s="279">
        <f>'[2]PPC.1, PCR.2F, EO.5'!O30</f>
        <v>234363625.54023194</v>
      </c>
      <c r="CH26" s="279">
        <f>'[2]PPC.1, PCR.2F, EO.5'!P30</f>
        <v>243138516.68845567</v>
      </c>
    </row>
    <row r="27" spans="1:86" x14ac:dyDescent="0.25">
      <c r="A27" t="s">
        <v>37</v>
      </c>
      <c r="B27" s="37"/>
      <c r="C27" s="37"/>
      <c r="D27" s="43">
        <v>99309923</v>
      </c>
      <c r="E27" s="43">
        <v>98876748</v>
      </c>
      <c r="F27" s="43">
        <v>96480454</v>
      </c>
      <c r="G27" s="43">
        <v>121526151</v>
      </c>
      <c r="H27" s="43">
        <v>113123855</v>
      </c>
      <c r="I27" s="43">
        <v>125262874</v>
      </c>
      <c r="J27" s="43">
        <v>126945040</v>
      </c>
      <c r="K27" s="109">
        <v>119752379</v>
      </c>
      <c r="L27" s="43">
        <v>106348532</v>
      </c>
      <c r="M27" s="43">
        <v>100067076</v>
      </c>
      <c r="N27" s="43">
        <v>105899561</v>
      </c>
      <c r="O27" s="43">
        <v>111203176</v>
      </c>
      <c r="P27" s="43">
        <v>86704807</v>
      </c>
      <c r="Q27" s="43">
        <v>92097434</v>
      </c>
      <c r="R27" s="43">
        <v>93506334</v>
      </c>
      <c r="S27" s="43">
        <v>92139707</v>
      </c>
      <c r="T27" s="43">
        <v>105110654</v>
      </c>
      <c r="U27" s="43">
        <v>108265948</v>
      </c>
      <c r="V27" s="43">
        <v>109806573</v>
      </c>
      <c r="W27" s="43">
        <v>96724322.099999994</v>
      </c>
      <c r="X27" s="43">
        <v>94866307</v>
      </c>
      <c r="Y27" s="43">
        <v>96874394</v>
      </c>
      <c r="Z27" s="43">
        <v>84244327</v>
      </c>
      <c r="AA27" s="43">
        <v>112346620</v>
      </c>
      <c r="AB27" s="43">
        <v>50801494</v>
      </c>
      <c r="AC27" s="43">
        <v>85186767</v>
      </c>
      <c r="AD27" s="43">
        <v>94290468.700000003</v>
      </c>
      <c r="AE27" s="43">
        <v>96665030</v>
      </c>
      <c r="AF27" s="43">
        <v>111403127</v>
      </c>
      <c r="AG27" s="43">
        <v>106051211</v>
      </c>
      <c r="AH27" s="43">
        <v>114673513</v>
      </c>
      <c r="AI27" s="43">
        <v>105106440</v>
      </c>
      <c r="AJ27" s="43">
        <v>69778498</v>
      </c>
      <c r="AK27" s="43">
        <v>120928612.40000001</v>
      </c>
      <c r="AL27" s="43">
        <v>91160220</v>
      </c>
      <c r="AM27" s="43">
        <v>84926008</v>
      </c>
      <c r="AN27" s="43">
        <v>81012090</v>
      </c>
      <c r="AO27" s="43">
        <v>85726323</v>
      </c>
      <c r="AP27" s="43">
        <v>71350428</v>
      </c>
      <c r="AQ27" s="43">
        <v>86976917</v>
      </c>
      <c r="AR27" s="43">
        <v>99783323</v>
      </c>
      <c r="AS27" s="43">
        <v>98663196</v>
      </c>
      <c r="AT27" s="43">
        <v>102858299</v>
      </c>
      <c r="AU27" s="43">
        <v>88364839</v>
      </c>
      <c r="AV27" s="43">
        <v>88263402</v>
      </c>
      <c r="AW27" s="43">
        <v>86648705</v>
      </c>
      <c r="AX27" s="43">
        <v>77135409</v>
      </c>
      <c r="AY27" s="43">
        <v>74737407</v>
      </c>
      <c r="AZ27" s="43">
        <v>64517924</v>
      </c>
      <c r="BA27" s="43">
        <v>64659611</v>
      </c>
      <c r="BB27" s="43">
        <v>67634326</v>
      </c>
      <c r="BC27" s="43">
        <v>81350810</v>
      </c>
      <c r="BD27" s="43">
        <v>76194105</v>
      </c>
      <c r="BE27" s="43">
        <v>87357832</v>
      </c>
      <c r="BF27" s="43">
        <v>95274398</v>
      </c>
      <c r="BG27" s="43">
        <v>96078281</v>
      </c>
      <c r="BH27" s="43">
        <v>85657578</v>
      </c>
      <c r="BI27" s="43">
        <v>96441503</v>
      </c>
      <c r="BJ27" s="43">
        <v>86731223</v>
      </c>
      <c r="BK27" s="43">
        <v>77476531</v>
      </c>
      <c r="BL27" s="43">
        <v>59042973</v>
      </c>
      <c r="BM27" s="43">
        <v>57210973</v>
      </c>
      <c r="BN27" s="43">
        <v>69610474</v>
      </c>
      <c r="BO27" s="43">
        <v>70581627</v>
      </c>
      <c r="BP27" s="43">
        <v>81457799</v>
      </c>
      <c r="BQ27" s="43">
        <v>80264416</v>
      </c>
      <c r="BR27" s="43">
        <v>70127730</v>
      </c>
      <c r="BS27" s="43">
        <v>70045643</v>
      </c>
      <c r="BT27" s="279">
        <f>'[2]PPC.1, PCR.2F, EO.5'!B31</f>
        <v>67785624.340276375</v>
      </c>
      <c r="BU27" s="279">
        <f>'[2]PPC.1, PCR.2F, EO.5'!C31</f>
        <v>67021875.10198836</v>
      </c>
      <c r="BV27" s="279">
        <f>'[2]PPC.1, PCR.2F, EO.5'!D31</f>
        <v>66767907.568719082</v>
      </c>
      <c r="BW27" s="279">
        <f>'[2]PPC.1, PCR.2F, EO.5'!E31</f>
        <v>62741418.197744302</v>
      </c>
      <c r="BX27" s="279">
        <f>'[2]PPC.1, PCR.2F, EO.5'!F31</f>
        <v>65152113.496512696</v>
      </c>
      <c r="BY27" s="279">
        <f>'[2]PPC.1, PCR.2F, EO.5'!G31</f>
        <v>69133414.966971025</v>
      </c>
      <c r="BZ27" s="279">
        <f>'[2]PPC.1, PCR.2F, EO.5'!H31</f>
        <v>75596299.297143608</v>
      </c>
      <c r="CA27" s="279">
        <f>'[2]PPC.1, PCR.2F, EO.5'!I31</f>
        <v>78385915.566683248</v>
      </c>
      <c r="CB27" s="279">
        <f>'[2]PPC.1, PCR.2F, EO.5'!J31</f>
        <v>83584005.816239804</v>
      </c>
      <c r="CC27" s="279">
        <f>'[2]PPC.1, PCR.2F, EO.5'!K31</f>
        <v>82353168.95995523</v>
      </c>
      <c r="CD27" s="279">
        <f>'[2]PPC.1, PCR.2F, EO.5'!L31</f>
        <v>75919704.330048919</v>
      </c>
      <c r="CE27" s="279">
        <f>'[2]PPC.1, PCR.2F, EO.5'!M31</f>
        <v>73493705.531886309</v>
      </c>
      <c r="CF27" s="279">
        <f>'[2]PPC.1, PCR.2F, EO.5'!N31</f>
        <v>67867153.794123709</v>
      </c>
      <c r="CG27" s="279">
        <f>'[2]PPC.1, PCR.2F, EO.5'!O31</f>
        <v>67101871.772907503</v>
      </c>
      <c r="CH27" s="279">
        <f>'[2]PPC.1, PCR.2F, EO.5'!P31</f>
        <v>68603660.857099026</v>
      </c>
    </row>
    <row r="28" spans="1:86" x14ac:dyDescent="0.25">
      <c r="A28" s="33" t="s">
        <v>31</v>
      </c>
      <c r="B28" s="31"/>
      <c r="C28" s="31"/>
      <c r="D28" s="34">
        <f>SUM(D23:D27)</f>
        <v>2499758324</v>
      </c>
      <c r="E28" s="34">
        <f t="shared" ref="E28:AW28" si="33">SUM(E23:E27)</f>
        <v>1985896392</v>
      </c>
      <c r="F28" s="34">
        <f t="shared" si="33"/>
        <v>1834449295</v>
      </c>
      <c r="G28" s="34">
        <f t="shared" si="33"/>
        <v>2235195660</v>
      </c>
      <c r="H28" s="34">
        <f t="shared" si="33"/>
        <v>2577497445</v>
      </c>
      <c r="I28" s="34">
        <f t="shared" si="33"/>
        <v>2692344190</v>
      </c>
      <c r="J28" s="34">
        <f t="shared" si="33"/>
        <v>2586049727</v>
      </c>
      <c r="K28" s="34">
        <f t="shared" si="33"/>
        <v>2259393157</v>
      </c>
      <c r="L28" s="34">
        <f t="shared" si="33"/>
        <v>2029584453</v>
      </c>
      <c r="M28" s="34">
        <f t="shared" si="33"/>
        <v>2424244506</v>
      </c>
      <c r="N28" s="34">
        <f t="shared" si="33"/>
        <v>2601956425</v>
      </c>
      <c r="O28" s="34">
        <f t="shared" si="33"/>
        <v>2559780622</v>
      </c>
      <c r="P28" s="34">
        <f t="shared" si="33"/>
        <v>2267199627</v>
      </c>
      <c r="Q28" s="34">
        <f t="shared" si="33"/>
        <v>1885945876</v>
      </c>
      <c r="R28" s="34">
        <f t="shared" si="33"/>
        <v>1727181444</v>
      </c>
      <c r="S28" s="34">
        <f t="shared" si="33"/>
        <v>2140133354</v>
      </c>
      <c r="T28" s="34">
        <f t="shared" si="33"/>
        <v>2668776772</v>
      </c>
      <c r="U28" s="34">
        <f t="shared" si="33"/>
        <v>2588323933</v>
      </c>
      <c r="V28" s="34">
        <f t="shared" si="33"/>
        <v>2539356884</v>
      </c>
      <c r="W28" s="34">
        <f t="shared" si="33"/>
        <v>1880855467.2</v>
      </c>
      <c r="X28" s="34">
        <f t="shared" si="33"/>
        <v>1919414791</v>
      </c>
      <c r="Y28" s="34">
        <f t="shared" si="33"/>
        <v>2285505311</v>
      </c>
      <c r="Z28" s="34">
        <f t="shared" si="33"/>
        <v>2701293080</v>
      </c>
      <c r="AA28" s="34">
        <f t="shared" si="33"/>
        <v>2762895596</v>
      </c>
      <c r="AB28" s="34">
        <f t="shared" si="33"/>
        <v>2269212350</v>
      </c>
      <c r="AC28" s="34">
        <f t="shared" si="33"/>
        <v>1797926430</v>
      </c>
      <c r="AD28" s="34">
        <f t="shared" si="33"/>
        <v>1767390312.4000001</v>
      </c>
      <c r="AE28" s="34">
        <f t="shared" si="33"/>
        <v>2241761426</v>
      </c>
      <c r="AF28" s="34">
        <f t="shared" si="33"/>
        <v>2630416326</v>
      </c>
      <c r="AG28" s="34">
        <f t="shared" si="33"/>
        <v>2620993183</v>
      </c>
      <c r="AH28" s="34">
        <f t="shared" si="33"/>
        <v>2624842936</v>
      </c>
      <c r="AI28" s="34">
        <f t="shared" si="33"/>
        <v>2051802732</v>
      </c>
      <c r="AJ28" s="34">
        <f t="shared" si="33"/>
        <v>1844617502</v>
      </c>
      <c r="AK28" s="34">
        <f t="shared" si="33"/>
        <v>2260152185.5</v>
      </c>
      <c r="AL28" s="34">
        <f t="shared" si="33"/>
        <v>2604429573</v>
      </c>
      <c r="AM28" s="34">
        <f t="shared" si="33"/>
        <v>2650772070</v>
      </c>
      <c r="AN28" s="34">
        <f t="shared" si="33"/>
        <v>2252800721</v>
      </c>
      <c r="AO28" s="34">
        <f t="shared" si="33"/>
        <v>1950515267</v>
      </c>
      <c r="AP28" s="34">
        <f t="shared" si="33"/>
        <v>1874510202</v>
      </c>
      <c r="AQ28" s="34">
        <f t="shared" si="33"/>
        <v>2238886497</v>
      </c>
      <c r="AR28" s="34">
        <f t="shared" si="33"/>
        <v>2787735127</v>
      </c>
      <c r="AS28" s="34">
        <f t="shared" si="33"/>
        <v>2711689501</v>
      </c>
      <c r="AT28" s="34">
        <f t="shared" si="33"/>
        <v>2418184647</v>
      </c>
      <c r="AU28" s="34">
        <f t="shared" si="33"/>
        <v>1914968383</v>
      </c>
      <c r="AV28" s="34">
        <f t="shared" ref="AV28" si="34">SUM(AV23:AV27)</f>
        <v>1850644365</v>
      </c>
      <c r="AW28" s="34">
        <f t="shared" si="33"/>
        <v>2231741671.4688997</v>
      </c>
      <c r="AX28" s="34">
        <f t="shared" ref="AX28:AY28" si="35">SUM(AX23:AX27)</f>
        <v>2690422268</v>
      </c>
      <c r="AY28" s="34">
        <f t="shared" si="35"/>
        <v>2359295932</v>
      </c>
      <c r="AZ28" s="34">
        <f t="shared" ref="AZ28:BA28" si="36">SUM(AZ23:AZ27)</f>
        <v>2063654396</v>
      </c>
      <c r="BA28" s="34">
        <f t="shared" si="36"/>
        <v>1890769057</v>
      </c>
      <c r="BB28" s="34">
        <f t="shared" ref="BB28:BC28" si="37">SUM(BB23:BB27)</f>
        <v>1741264804</v>
      </c>
      <c r="BC28" s="34">
        <f t="shared" si="37"/>
        <v>2092627990</v>
      </c>
      <c r="BD28" s="34">
        <f t="shared" ref="BD28:BE28" si="38">SUM(BD23:BD27)</f>
        <v>2473094997</v>
      </c>
      <c r="BE28" s="34">
        <f t="shared" si="38"/>
        <v>2579826523</v>
      </c>
      <c r="BF28" s="34">
        <f t="shared" ref="BF28:BG28" si="39">SUM(BF23:BF27)</f>
        <v>2474502491</v>
      </c>
      <c r="BG28" s="34">
        <f t="shared" si="39"/>
        <v>1988431085</v>
      </c>
      <c r="BH28" s="34">
        <f t="shared" ref="BH28:BI28" si="40">SUM(BH23:BH27)</f>
        <v>1804090215.424</v>
      </c>
      <c r="BI28" s="34">
        <f t="shared" si="40"/>
        <v>2193574286</v>
      </c>
      <c r="BJ28" s="34">
        <f t="shared" ref="BJ28:BK28" si="41">SUM(BJ23:BJ27)</f>
        <v>2637850374</v>
      </c>
      <c r="BK28" s="34">
        <f t="shared" si="41"/>
        <v>2460057105</v>
      </c>
      <c r="BL28" s="34">
        <f t="shared" ref="BL28:BM28" si="42">SUM(BL23:BL27)</f>
        <v>1931112908</v>
      </c>
      <c r="BM28" s="34">
        <f t="shared" si="42"/>
        <v>1835038419</v>
      </c>
      <c r="BN28" s="34">
        <f t="shared" ref="BN28:BO28" si="43">SUM(BN23:BN27)</f>
        <v>1767281727</v>
      </c>
      <c r="BO28" s="34">
        <f t="shared" si="43"/>
        <v>2177119768</v>
      </c>
      <c r="BP28" s="34">
        <f t="shared" ref="BP28:BQ28" si="44">SUM(BP23:BP27)</f>
        <v>2679969433</v>
      </c>
      <c r="BQ28" s="34">
        <f t="shared" si="44"/>
        <v>2483016611</v>
      </c>
      <c r="BR28" s="34">
        <f t="shared" ref="BR28:CH28" si="45">SUM(BR23:BR27)</f>
        <v>2396439163</v>
      </c>
      <c r="BS28" s="34">
        <f t="shared" si="45"/>
        <v>1958827456</v>
      </c>
      <c r="BT28" s="34">
        <f t="shared" si="45"/>
        <v>1984398371.640336</v>
      </c>
      <c r="BU28" s="34">
        <f t="shared" si="45"/>
        <v>2345390067.233933</v>
      </c>
      <c r="BV28" s="34">
        <f t="shared" si="45"/>
        <v>2632509873.9048643</v>
      </c>
      <c r="BW28" s="34">
        <f t="shared" si="45"/>
        <v>2273456837.2056603</v>
      </c>
      <c r="BX28" s="34">
        <f t="shared" si="45"/>
        <v>2077502895.0633001</v>
      </c>
      <c r="BY28" s="34">
        <f t="shared" si="45"/>
        <v>1796633970.2429609</v>
      </c>
      <c r="BZ28" s="34">
        <f t="shared" si="45"/>
        <v>2057762191.1243713</v>
      </c>
      <c r="CA28" s="34">
        <f t="shared" si="45"/>
        <v>2411573771.6664166</v>
      </c>
      <c r="CB28" s="34">
        <f t="shared" si="45"/>
        <v>2673853516.4448686</v>
      </c>
      <c r="CC28" s="34">
        <f t="shared" si="45"/>
        <v>2597578020.3164358</v>
      </c>
      <c r="CD28" s="34">
        <f t="shared" si="45"/>
        <v>2158533108.2423482</v>
      </c>
      <c r="CE28" s="34">
        <f t="shared" si="45"/>
        <v>1793622439.3354108</v>
      </c>
      <c r="CF28" s="34">
        <f t="shared" si="45"/>
        <v>1989256892.9796076</v>
      </c>
      <c r="CG28" s="34">
        <f t="shared" si="45"/>
        <v>2349667096.2503362</v>
      </c>
      <c r="CH28" s="34">
        <f t="shared" si="45"/>
        <v>2634304422.8024144</v>
      </c>
    </row>
    <row r="29" spans="1:86" x14ac:dyDescent="0.25">
      <c r="B29" s="37"/>
      <c r="C29" s="37"/>
    </row>
    <row r="30" spans="1:86" x14ac:dyDescent="0.25">
      <c r="A30" s="27" t="s">
        <v>40</v>
      </c>
      <c r="B30" s="37"/>
      <c r="C30" s="37"/>
      <c r="BT30" s="280"/>
      <c r="BU30" s="280"/>
      <c r="BV30" s="280"/>
    </row>
    <row r="31" spans="1:86" x14ac:dyDescent="0.25">
      <c r="A31" t="s">
        <v>33</v>
      </c>
      <c r="B31" s="37"/>
      <c r="C31" s="37"/>
      <c r="D31" s="45">
        <f>D14+(D$19*(D23/D$28))</f>
        <v>0</v>
      </c>
      <c r="E31" s="45">
        <f>IF(E14="","",E14+(E$19*(E23/E$28)))</f>
        <v>3542.7066619947968</v>
      </c>
      <c r="F31" s="45">
        <f t="shared" ref="E31:AW35" si="46">IF(F14="","",F14+(F$19*(F23/F$28)))</f>
        <v>26593.748856903429</v>
      </c>
      <c r="G31" s="45">
        <f t="shared" si="46"/>
        <v>243363.92907678595</v>
      </c>
      <c r="H31" s="45">
        <f t="shared" si="46"/>
        <v>441129.8099540461</v>
      </c>
      <c r="I31" s="45">
        <f t="shared" si="46"/>
        <v>538055.00088770315</v>
      </c>
      <c r="J31" s="45">
        <f>IF(J14="","",J14+(J$19*(J23/J$28)))</f>
        <v>375001.00963366695</v>
      </c>
      <c r="K31" s="45">
        <f>IF(K14="","",K14+(K$19*(K23/K$28)))</f>
        <v>137834.38057719183</v>
      </c>
      <c r="L31" s="45">
        <f t="shared" si="46"/>
        <v>274809.55657286098</v>
      </c>
      <c r="M31" s="45">
        <f t="shared" si="46"/>
        <v>467843.25553902646</v>
      </c>
      <c r="N31" s="45">
        <f t="shared" si="46"/>
        <v>544296.07292371744</v>
      </c>
      <c r="O31" s="45">
        <f t="shared" si="46"/>
        <v>676189.22029010952</v>
      </c>
      <c r="P31" s="45">
        <f t="shared" si="46"/>
        <v>463090.51540533279</v>
      </c>
      <c r="Q31" s="45">
        <f>IF(Q14="","",Q14+(Q$19*(Q23/Q$28)))</f>
        <v>212999.83668866704</v>
      </c>
      <c r="R31" s="45">
        <f t="shared" si="46"/>
        <v>239315.41925638349</v>
      </c>
      <c r="S31" s="45">
        <f t="shared" si="46"/>
        <v>745964.63979628112</v>
      </c>
      <c r="T31" s="45">
        <f t="shared" si="46"/>
        <v>1021961.1417325244</v>
      </c>
      <c r="U31" s="45">
        <f t="shared" si="46"/>
        <v>1221140.287913003</v>
      </c>
      <c r="V31" s="45">
        <f t="shared" si="46"/>
        <v>1038934.5439936385</v>
      </c>
      <c r="W31" s="45">
        <f t="shared" si="46"/>
        <v>456853.18990942289</v>
      </c>
      <c r="X31" s="45">
        <f t="shared" si="46"/>
        <v>609473.30327174987</v>
      </c>
      <c r="Y31" s="45">
        <f t="shared" si="46"/>
        <v>767580.56672561402</v>
      </c>
      <c r="Z31" s="45">
        <f t="shared" si="46"/>
        <v>793063.84804214339</v>
      </c>
      <c r="AA31" s="45">
        <f t="shared" si="46"/>
        <v>764854.30430963449</v>
      </c>
      <c r="AB31" s="45">
        <f t="shared" si="46"/>
        <v>819560.20806617534</v>
      </c>
      <c r="AC31" s="45">
        <f t="shared" si="46"/>
        <v>733166.25858200283</v>
      </c>
      <c r="AD31" s="45">
        <f t="shared" si="46"/>
        <v>808585.44290839287</v>
      </c>
      <c r="AE31" s="45">
        <f t="shared" si="46"/>
        <v>2229150.475396621</v>
      </c>
      <c r="AF31" s="45">
        <f t="shared" si="46"/>
        <v>2728598.0253418689</v>
      </c>
      <c r="AG31" s="45">
        <f t="shared" si="46"/>
        <v>2843181.2454154654</v>
      </c>
      <c r="AH31" s="45">
        <f t="shared" si="46"/>
        <v>2152415.8892408246</v>
      </c>
      <c r="AI31" s="45">
        <f t="shared" si="46"/>
        <v>886771.1903804827</v>
      </c>
      <c r="AJ31" s="45">
        <f t="shared" si="46"/>
        <v>1017970.7346454827</v>
      </c>
      <c r="AK31" s="45">
        <f t="shared" si="46"/>
        <v>1252923.0225376603</v>
      </c>
      <c r="AL31" s="45">
        <f t="shared" si="46"/>
        <v>1434652.1574546397</v>
      </c>
      <c r="AM31" s="45">
        <f t="shared" si="46"/>
        <v>1242256.6900827016</v>
      </c>
      <c r="AN31" s="45">
        <f t="shared" si="46"/>
        <v>466704.19082447694</v>
      </c>
      <c r="AO31" s="45">
        <f t="shared" si="46"/>
        <v>411086.64598257263</v>
      </c>
      <c r="AP31" s="45">
        <f t="shared" si="46"/>
        <v>460606.66199414816</v>
      </c>
      <c r="AQ31" s="45">
        <f t="shared" si="46"/>
        <v>1458035.3553365585</v>
      </c>
      <c r="AR31" s="45">
        <f t="shared" si="46"/>
        <v>1865399.5827007205</v>
      </c>
      <c r="AS31" s="45">
        <f t="shared" si="46"/>
        <v>1789207.583547906</v>
      </c>
      <c r="AT31" s="45">
        <f t="shared" si="46"/>
        <v>1230661.6176145528</v>
      </c>
      <c r="AU31" s="45">
        <f t="shared" si="46"/>
        <v>448108.96181830607</v>
      </c>
      <c r="AV31" s="45">
        <f t="shared" ref="AV31" si="47">IF(AV14="","",AV14+(AV$19*(AV23/AV$28)))</f>
        <v>511415.71013617213</v>
      </c>
      <c r="AW31" s="45">
        <f t="shared" si="46"/>
        <v>657599.6612363765</v>
      </c>
      <c r="AX31" s="45">
        <f t="shared" ref="AX31:AY31" si="48">IF(AX14="","",AX14+(AX$19*(AX23/AX$28)))</f>
        <v>715751.71736553009</v>
      </c>
      <c r="AY31" s="45">
        <f t="shared" si="48"/>
        <v>611610.33271900774</v>
      </c>
      <c r="AZ31" s="45">
        <f t="shared" ref="AZ31:BA31" si="49">IF(AZ14="","",AZ14+(AZ$19*(AZ23/AZ$28)))</f>
        <v>580052.23772821727</v>
      </c>
      <c r="BA31" s="45">
        <f t="shared" si="49"/>
        <v>485147.45423910866</v>
      </c>
      <c r="BB31" s="45">
        <f t="shared" ref="BB31:BC31" si="50">IF(BB14="","",BB14+(BB$19*(BB23/BB$28)))</f>
        <v>579019.58477694308</v>
      </c>
      <c r="BC31" s="45">
        <f t="shared" si="50"/>
        <v>2075209.7832731153</v>
      </c>
      <c r="BD31" s="45">
        <f t="shared" ref="BD31:BE31" si="51">IF(BD14="","",BD14+(BD$19*(BD23/BD$28)))</f>
        <v>336900.48174892482</v>
      </c>
      <c r="BE31" s="45">
        <f t="shared" si="51"/>
        <v>423106.97149800922</v>
      </c>
      <c r="BF31" s="45">
        <f t="shared" ref="BF31:BG31" si="52">IF(BF14="","",BF14+(BF$19*(BF23/BF$28)))</f>
        <v>257414.74403194929</v>
      </c>
      <c r="BG31" s="45">
        <f t="shared" si="52"/>
        <v>72670.704773576188</v>
      </c>
      <c r="BH31" s="45">
        <f t="shared" ref="BH31:BI31" si="53">IF(BH14="","",BH14+(BH$19*(BH23/BH$28)))</f>
        <v>107651.21205611953</v>
      </c>
      <c r="BI31" s="45">
        <f t="shared" si="53"/>
        <v>190082.4773555084</v>
      </c>
      <c r="BJ31" s="45">
        <f t="shared" ref="BJ31:BK31" si="54">IF(BJ14="","",BJ14+(BJ$19*(BJ23/BJ$28)))</f>
        <v>234716.31279439255</v>
      </c>
      <c r="BK31" s="45">
        <f t="shared" si="54"/>
        <v>189707.45135280554</v>
      </c>
      <c r="BL31" s="45">
        <f t="shared" ref="BL31:BM31" si="55">IF(BL14="","",BL14+(BL$19*(BL23/BL$28)))</f>
        <v>161384.19695432918</v>
      </c>
      <c r="BM31" s="45">
        <f t="shared" si="55"/>
        <v>121228.18203919443</v>
      </c>
      <c r="BN31" s="45">
        <f t="shared" ref="BN31:BO31" si="56">IF(BN14="","",BN14+(BN$19*(BN23/BN$28)))</f>
        <v>171153.07554214355</v>
      </c>
      <c r="BO31" s="45">
        <f t="shared" si="56"/>
        <v>726807.55664463679</v>
      </c>
      <c r="BP31" s="45">
        <f t="shared" ref="BP31:BQ31" si="57">IF(BP14="","",BP14+(BP$19*(BP23/BP$28)))</f>
        <v>1035244.8874318618</v>
      </c>
      <c r="BQ31" s="45">
        <f t="shared" si="57"/>
        <v>1044606.4999408977</v>
      </c>
      <c r="BR31" s="45">
        <f t="shared" ref="BR31:BS31" si="58">IF(BR14="","",BR14+(BR$19*(BR23/BR$28)))</f>
        <v>601256.55125012272</v>
      </c>
      <c r="BS31" s="45">
        <f t="shared" si="58"/>
        <v>165216.72821033362</v>
      </c>
      <c r="BT31" s="281">
        <f>IF(BT14="","",BT14+(BT$19*(BT23/BT$28)))</f>
        <v>239550.05334239668</v>
      </c>
      <c r="BU31" s="281">
        <f t="shared" ref="BU31:CH35" si="59">IF(BU14="","",BU14+(BU$19*(BU23/BU$28)))</f>
        <v>384889.84076727502</v>
      </c>
      <c r="BV31" s="281">
        <f t="shared" si="59"/>
        <v>401782.68356373912</v>
      </c>
      <c r="BW31" s="282">
        <f t="shared" si="59"/>
        <v>331394.31563078216</v>
      </c>
      <c r="BX31" s="282">
        <f t="shared" si="59"/>
        <v>271924.28217138071</v>
      </c>
      <c r="BY31" s="282">
        <f t="shared" si="59"/>
        <v>181529.89901267219</v>
      </c>
      <c r="BZ31" s="282">
        <f t="shared" si="59"/>
        <v>233674.85337361679</v>
      </c>
      <c r="CA31" s="282">
        <f t="shared" si="59"/>
        <v>0</v>
      </c>
      <c r="CB31" s="282">
        <f t="shared" si="59"/>
        <v>0</v>
      </c>
      <c r="CC31" s="282">
        <f t="shared" si="59"/>
        <v>0</v>
      </c>
      <c r="CD31" s="282">
        <f t="shared" si="59"/>
        <v>0</v>
      </c>
      <c r="CE31" s="282">
        <f t="shared" si="59"/>
        <v>0</v>
      </c>
      <c r="CF31" s="282">
        <f t="shared" si="59"/>
        <v>0</v>
      </c>
      <c r="CG31" s="282">
        <f t="shared" si="59"/>
        <v>0</v>
      </c>
      <c r="CH31" s="282">
        <f t="shared" si="59"/>
        <v>0</v>
      </c>
    </row>
    <row r="32" spans="1:86" x14ac:dyDescent="0.25">
      <c r="A32" t="s">
        <v>34</v>
      </c>
      <c r="B32" s="37"/>
      <c r="C32" s="37"/>
      <c r="D32" s="45">
        <f>D15+(D$19*(D24/D$28))</f>
        <v>0.34412602678174997</v>
      </c>
      <c r="E32" s="45">
        <f>IF(E15="","",E15+(E$19*(E24/E$28)))</f>
        <v>593.85341007321881</v>
      </c>
      <c r="F32" s="45">
        <f t="shared" si="46"/>
        <v>8368.5225960071712</v>
      </c>
      <c r="G32" s="45">
        <f t="shared" si="46"/>
        <v>23641.814181406706</v>
      </c>
      <c r="H32" s="45">
        <f t="shared" si="46"/>
        <v>47663.861231335664</v>
      </c>
      <c r="I32" s="45">
        <f t="shared" si="46"/>
        <v>53414.007632337976</v>
      </c>
      <c r="J32" s="45">
        <f t="shared" si="46"/>
        <v>71963.570102025027</v>
      </c>
      <c r="K32" s="45">
        <f t="shared" si="46"/>
        <v>61965.410188273323</v>
      </c>
      <c r="L32" s="45">
        <f t="shared" si="46"/>
        <v>64700.998849587129</v>
      </c>
      <c r="M32" s="45">
        <f t="shared" si="46"/>
        <v>81956.189294724609</v>
      </c>
      <c r="N32" s="45">
        <f t="shared" si="46"/>
        <v>113990.99327753842</v>
      </c>
      <c r="O32" s="45">
        <f t="shared" si="46"/>
        <v>88043.147483850829</v>
      </c>
      <c r="P32" s="45">
        <f t="shared" si="46"/>
        <v>103641.60510926238</v>
      </c>
      <c r="Q32" s="45">
        <f t="shared" si="46"/>
        <v>44495.668454394727</v>
      </c>
      <c r="R32" s="45">
        <f t="shared" si="46"/>
        <v>72447.479306892477</v>
      </c>
      <c r="S32" s="45">
        <f t="shared" si="46"/>
        <v>100242.14080653639</v>
      </c>
      <c r="T32" s="45">
        <f t="shared" si="46"/>
        <v>144814.88878280437</v>
      </c>
      <c r="U32" s="45">
        <f t="shared" si="46"/>
        <v>113846.66455304027</v>
      </c>
      <c r="V32" s="45">
        <f t="shared" si="46"/>
        <v>127713.0610159208</v>
      </c>
      <c r="W32" s="45">
        <f t="shared" si="46"/>
        <v>102944.20736329375</v>
      </c>
      <c r="X32" s="45">
        <f t="shared" si="46"/>
        <v>98619.753088261379</v>
      </c>
      <c r="Y32" s="45">
        <f t="shared" si="46"/>
        <v>116491.49867964754</v>
      </c>
      <c r="Z32" s="45">
        <f t="shared" si="46"/>
        <v>196559.66519683803</v>
      </c>
      <c r="AA32" s="45">
        <f t="shared" si="46"/>
        <v>143190.44336244816</v>
      </c>
      <c r="AB32" s="45">
        <f t="shared" si="46"/>
        <v>165885.95699877734</v>
      </c>
      <c r="AC32" s="45">
        <f t="shared" si="46"/>
        <v>168014.93999895826</v>
      </c>
      <c r="AD32" s="45">
        <f t="shared" si="46"/>
        <v>224708.57117023846</v>
      </c>
      <c r="AE32" s="45">
        <f t="shared" si="46"/>
        <v>334985.01191056194</v>
      </c>
      <c r="AF32" s="45">
        <f t="shared" si="46"/>
        <v>449867.18718954525</v>
      </c>
      <c r="AG32" s="45">
        <f t="shared" si="46"/>
        <v>392143.15877642907</v>
      </c>
      <c r="AH32" s="45">
        <f t="shared" si="46"/>
        <v>337751.81199888035</v>
      </c>
      <c r="AI32" s="45">
        <f t="shared" si="46"/>
        <v>247793.76914859904</v>
      </c>
      <c r="AJ32" s="45">
        <f t="shared" si="46"/>
        <v>222262.13845546212</v>
      </c>
      <c r="AK32" s="45">
        <f t="shared" si="46"/>
        <v>249509.48642011534</v>
      </c>
      <c r="AL32" s="45">
        <f t="shared" si="46"/>
        <v>321944.69044732186</v>
      </c>
      <c r="AM32" s="45">
        <f t="shared" si="46"/>
        <v>246962.75301226831</v>
      </c>
      <c r="AN32" s="45">
        <f t="shared" si="46"/>
        <v>100845.58616926862</v>
      </c>
      <c r="AO32" s="45">
        <f t="shared" si="46"/>
        <v>127422.49440160212</v>
      </c>
      <c r="AP32" s="45">
        <f t="shared" si="46"/>
        <v>191471.00601967305</v>
      </c>
      <c r="AQ32" s="45">
        <f t="shared" si="46"/>
        <v>262682.7688338983</v>
      </c>
      <c r="AR32" s="45">
        <f t="shared" si="46"/>
        <v>354188.78297288192</v>
      </c>
      <c r="AS32" s="45">
        <f t="shared" si="46"/>
        <v>291793.54141646903</v>
      </c>
      <c r="AT32" s="45">
        <f t="shared" si="46"/>
        <v>288002.90399346605</v>
      </c>
      <c r="AU32" s="45">
        <f t="shared" si="46"/>
        <v>176158.92806469859</v>
      </c>
      <c r="AV32" s="45">
        <f t="shared" ref="AV32" si="60">IF(AV15="","",AV15+(AV$19*(AV24/AV$28)))</f>
        <v>148988.71783347923</v>
      </c>
      <c r="AW32" s="45">
        <f t="shared" si="46"/>
        <v>166383.33688258496</v>
      </c>
      <c r="AX32" s="45">
        <f t="shared" ref="AX32:AY32" si="61">IF(AX15="","",AX15+(AX$19*(AX24/AX$28)))</f>
        <v>230424.97504364184</v>
      </c>
      <c r="AY32" s="45">
        <f t="shared" si="61"/>
        <v>167267.8186977868</v>
      </c>
      <c r="AZ32" s="45">
        <f t="shared" ref="AZ32:BA32" si="62">IF(AZ15="","",AZ15+(AZ$19*(AZ24/AZ$28)))</f>
        <v>188556.51884636932</v>
      </c>
      <c r="BA32" s="45">
        <f t="shared" si="62"/>
        <v>207172.72942284547</v>
      </c>
      <c r="BB32" s="45">
        <f t="shared" ref="BB32:BC32" si="63">IF(BB15="","",BB15+(BB$19*(BB24/BB$28)))</f>
        <v>282077.02604301338</v>
      </c>
      <c r="BC32" s="45">
        <f t="shared" si="63"/>
        <v>384908.25435282208</v>
      </c>
      <c r="BD32" s="45">
        <f t="shared" ref="BD32:BE32" si="64">IF(BD15="","",BD15+(BD$19*(BD24/BD$28)))</f>
        <v>139737.20125715411</v>
      </c>
      <c r="BE32" s="45">
        <f t="shared" si="64"/>
        <v>125981.43604405341</v>
      </c>
      <c r="BF32" s="45">
        <f t="shared" ref="BF32:BG32" si="65">IF(BF15="","",BF15+(BF$19*(BF24/BF$28)))</f>
        <v>117180.62967897265</v>
      </c>
      <c r="BG32" s="45">
        <f t="shared" si="65"/>
        <v>83769.976962386063</v>
      </c>
      <c r="BH32" s="45">
        <f t="shared" ref="BH32:BI32" si="66">IF(BH15="","",BH15+(BH$19*(BH24/BH$28)))</f>
        <v>86625.171754673938</v>
      </c>
      <c r="BI32" s="45">
        <f t="shared" si="66"/>
        <v>103759.43732189588</v>
      </c>
      <c r="BJ32" s="45">
        <f t="shared" ref="BJ32:BK32" si="67">IF(BJ15="","",BJ15+(BJ$19*(BJ24/BJ$28)))</f>
        <v>153373.54325638647</v>
      </c>
      <c r="BK32" s="45">
        <f t="shared" si="67"/>
        <v>106775.05460937983</v>
      </c>
      <c r="BL32" s="45">
        <f t="shared" ref="BL32:BM32" si="68">IF(BL15="","",BL15+(BL$19*(BL24/BL$28)))</f>
        <v>120639.5759518858</v>
      </c>
      <c r="BM32" s="45">
        <f t="shared" si="68"/>
        <v>133274.54920832094</v>
      </c>
      <c r="BN32" s="45">
        <f t="shared" ref="BN32:BO32" si="69">IF(BN15="","",BN15+(BN$19*(BN24/BN$28)))</f>
        <v>178850.56851695653</v>
      </c>
      <c r="BO32" s="45">
        <f t="shared" si="69"/>
        <v>275918.7728501762</v>
      </c>
      <c r="BP32" s="45">
        <f t="shared" ref="BP32:BQ32" si="70">IF(BP15="","",BP15+(BP$19*(BP24/BP$28)))</f>
        <v>360364.02993826458</v>
      </c>
      <c r="BQ32" s="45">
        <f t="shared" si="70"/>
        <v>316057.92453325889</v>
      </c>
      <c r="BR32" s="45">
        <f t="shared" ref="BR32:CF35" si="71">IF(BR15="","",BR15+(BR$19*(BR24/BR$28)))</f>
        <v>271016.40741513378</v>
      </c>
      <c r="BS32" s="45">
        <f t="shared" si="71"/>
        <v>173245.5348725713</v>
      </c>
      <c r="BT32" s="281">
        <f t="shared" si="71"/>
        <v>156606.5114440406</v>
      </c>
      <c r="BU32" s="281">
        <f t="shared" si="71"/>
        <v>189358.16827443533</v>
      </c>
      <c r="BV32" s="281">
        <f t="shared" si="71"/>
        <v>213549.25609198381</v>
      </c>
      <c r="BW32" s="282">
        <f t="shared" si="71"/>
        <v>165603.37416062257</v>
      </c>
      <c r="BX32" s="282">
        <f t="shared" si="71"/>
        <v>180290.32702126505</v>
      </c>
      <c r="BY32" s="282">
        <f t="shared" si="71"/>
        <v>192699.00540084986</v>
      </c>
      <c r="BZ32" s="282">
        <f t="shared" si="71"/>
        <v>249321.74841616</v>
      </c>
      <c r="CA32" s="282">
        <f t="shared" si="71"/>
        <v>0</v>
      </c>
      <c r="CB32" s="282">
        <f t="shared" si="71"/>
        <v>0</v>
      </c>
      <c r="CC32" s="282">
        <f>IF(CC15="","",CC15+(CC$19*(CC24/CC$28)))</f>
        <v>0</v>
      </c>
      <c r="CD32" s="282">
        <f t="shared" si="71"/>
        <v>0</v>
      </c>
      <c r="CE32" s="282">
        <f t="shared" si="71"/>
        <v>0</v>
      </c>
      <c r="CF32" s="282">
        <f t="shared" si="71"/>
        <v>0</v>
      </c>
      <c r="CG32" s="282">
        <f t="shared" si="59"/>
        <v>0</v>
      </c>
      <c r="CH32" s="282">
        <f t="shared" si="59"/>
        <v>0</v>
      </c>
    </row>
    <row r="33" spans="1:86" x14ac:dyDescent="0.25">
      <c r="A33" t="s">
        <v>35</v>
      </c>
      <c r="B33" s="37"/>
      <c r="C33" s="37"/>
      <c r="D33" s="45">
        <f>D16+(D$19*(D25/D$28))</f>
        <v>0.36790548240712501</v>
      </c>
      <c r="E33" s="45">
        <f t="shared" si="46"/>
        <v>549.3842450882164</v>
      </c>
      <c r="F33" s="45">
        <f t="shared" si="46"/>
        <v>3822.5375931394819</v>
      </c>
      <c r="G33" s="45">
        <f t="shared" si="46"/>
        <v>16781.332362054229</v>
      </c>
      <c r="H33" s="45">
        <f t="shared" si="46"/>
        <v>40077.718380542559</v>
      </c>
      <c r="I33" s="45">
        <f t="shared" si="46"/>
        <v>54061.137994792116</v>
      </c>
      <c r="J33" s="45">
        <f t="shared" si="46"/>
        <v>79608.348605740233</v>
      </c>
      <c r="K33" s="45">
        <f t="shared" si="46"/>
        <v>56432.915123633284</v>
      </c>
      <c r="L33" s="45">
        <f t="shared" si="46"/>
        <v>84805.665004540322</v>
      </c>
      <c r="M33" s="45">
        <f t="shared" si="46"/>
        <v>101585.96799703788</v>
      </c>
      <c r="N33" s="45">
        <f t="shared" si="46"/>
        <v>154209.2659634623</v>
      </c>
      <c r="O33" s="45">
        <f t="shared" si="46"/>
        <v>122696.92137199735</v>
      </c>
      <c r="P33" s="45">
        <f t="shared" si="46"/>
        <v>123411.87388052933</v>
      </c>
      <c r="Q33" s="45">
        <f t="shared" si="46"/>
        <v>47446.211556775474</v>
      </c>
      <c r="R33" s="45">
        <f t="shared" si="46"/>
        <v>83556.534245541465</v>
      </c>
      <c r="S33" s="45">
        <f t="shared" si="46"/>
        <v>189049.36683437167</v>
      </c>
      <c r="T33" s="45">
        <f t="shared" si="46"/>
        <v>265484.4397628404</v>
      </c>
      <c r="U33" s="45">
        <f t="shared" si="46"/>
        <v>248590.59560852987</v>
      </c>
      <c r="V33" s="45">
        <f t="shared" si="46"/>
        <v>229992.78825383674</v>
      </c>
      <c r="W33" s="45">
        <f t="shared" si="46"/>
        <v>142655.78999924072</v>
      </c>
      <c r="X33" s="45">
        <f t="shared" si="46"/>
        <v>140592.80164431839</v>
      </c>
      <c r="Y33" s="45">
        <f t="shared" si="46"/>
        <v>171784.13279113677</v>
      </c>
      <c r="Z33" s="45">
        <f t="shared" si="46"/>
        <v>283797.45031291858</v>
      </c>
      <c r="AA33" s="45">
        <f t="shared" si="46"/>
        <v>210481.86723637651</v>
      </c>
      <c r="AB33" s="45">
        <f t="shared" si="46"/>
        <v>232927.56555946911</v>
      </c>
      <c r="AC33" s="45">
        <f t="shared" si="46"/>
        <v>221111.27962203597</v>
      </c>
      <c r="AD33" s="45">
        <f t="shared" si="46"/>
        <v>314679.79966629087</v>
      </c>
      <c r="AE33" s="45">
        <f t="shared" si="46"/>
        <v>715299.40366319334</v>
      </c>
      <c r="AF33" s="45">
        <f t="shared" si="46"/>
        <v>953627.42461110547</v>
      </c>
      <c r="AG33" s="45">
        <f t="shared" si="46"/>
        <v>939310.43288894033</v>
      </c>
      <c r="AH33" s="45">
        <f t="shared" si="46"/>
        <v>659615.18241367524</v>
      </c>
      <c r="AI33" s="45">
        <f t="shared" si="46"/>
        <v>353569.18814987835</v>
      </c>
      <c r="AJ33" s="45">
        <f t="shared" si="46"/>
        <v>343727.65210763505</v>
      </c>
      <c r="AK33" s="45">
        <f t="shared" si="46"/>
        <v>418850.04670264991</v>
      </c>
      <c r="AL33" s="45">
        <f t="shared" si="46"/>
        <v>627056.98298263596</v>
      </c>
      <c r="AM33" s="45">
        <f t="shared" si="46"/>
        <v>475288.11809378932</v>
      </c>
      <c r="AN33" s="45">
        <f t="shared" si="46"/>
        <v>288997.35659879085</v>
      </c>
      <c r="AO33" s="45">
        <f t="shared" si="46"/>
        <v>253245.26358346242</v>
      </c>
      <c r="AP33" s="45">
        <f t="shared" si="46"/>
        <v>337719.24594805558</v>
      </c>
      <c r="AQ33" s="45">
        <f t="shared" si="46"/>
        <v>917413.81462190335</v>
      </c>
      <c r="AR33" s="45">
        <f t="shared" si="46"/>
        <v>1145597.0197120309</v>
      </c>
      <c r="AS33" s="45">
        <f t="shared" si="46"/>
        <v>988866.58881189337</v>
      </c>
      <c r="AT33" s="45">
        <f t="shared" si="46"/>
        <v>672365.26793086936</v>
      </c>
      <c r="AU33" s="45">
        <f t="shared" si="46"/>
        <v>344986.1375718661</v>
      </c>
      <c r="AV33" s="45">
        <f t="shared" ref="AV33" si="72">IF(AV16="","",AV16+(AV$19*(AV25/AV$28)))</f>
        <v>367525.10463732504</v>
      </c>
      <c r="AW33" s="45">
        <f t="shared" si="46"/>
        <v>468411.57966709038</v>
      </c>
      <c r="AX33" s="45">
        <f t="shared" ref="AX33:AY33" si="73">IF(AX16="","",AX16+(AX$19*(AX25/AX$28)))</f>
        <v>620203.95847182651</v>
      </c>
      <c r="AY33" s="45">
        <f t="shared" si="73"/>
        <v>478324.36066286819</v>
      </c>
      <c r="AZ33" s="45">
        <f t="shared" ref="AZ33:BA33" si="74">IF(AZ16="","",AZ16+(AZ$19*(AZ25/AZ$28)))</f>
        <v>479847.59845747025</v>
      </c>
      <c r="BA33" s="45">
        <f t="shared" si="74"/>
        <v>438290.6610723678</v>
      </c>
      <c r="BB33" s="45">
        <f t="shared" ref="BB33:BC33" si="75">IF(BB16="","",BB16+(BB$19*(BB25/BB$28)))</f>
        <v>600233.99929541291</v>
      </c>
      <c r="BC33" s="45">
        <f t="shared" si="75"/>
        <v>1562742.7352753344</v>
      </c>
      <c r="BD33" s="45">
        <f t="shared" ref="BD33:BE33" si="76">IF(BD16="","",BD16+(BD$19*(BD25/BD$28)))</f>
        <v>403317.94432410318</v>
      </c>
      <c r="BE33" s="45">
        <f t="shared" si="76"/>
        <v>405009.19644890801</v>
      </c>
      <c r="BF33" s="45">
        <f t="shared" ref="BF33:BG33" si="77">IF(BF16="","",BF16+(BF$19*(BF25/BF$28)))</f>
        <v>309717.05932065495</v>
      </c>
      <c r="BG33" s="45">
        <f t="shared" si="77"/>
        <v>165446.63321632627</v>
      </c>
      <c r="BH33" s="45">
        <f t="shared" ref="BH33:BI33" si="78">IF(BH16="","",BH16+(BH$19*(BH25/BH$28)))</f>
        <v>177257.17636601315</v>
      </c>
      <c r="BI33" s="45">
        <f t="shared" si="78"/>
        <v>216355.69459913264</v>
      </c>
      <c r="BJ33" s="45">
        <f t="shared" ref="BJ33:BK33" si="79">IF(BJ16="","",BJ16+(BJ$19*(BJ25/BJ$28)))</f>
        <v>297766.07742960955</v>
      </c>
      <c r="BK33" s="45">
        <f t="shared" si="79"/>
        <v>221766.54736590007</v>
      </c>
      <c r="BL33" s="45">
        <f t="shared" ref="BL33:BM33" si="80">IF(BL16="","",BL16+(BL$19*(BL25/BL$28)))</f>
        <v>235868.07069965589</v>
      </c>
      <c r="BM33" s="45">
        <f t="shared" si="80"/>
        <v>217209.78009139144</v>
      </c>
      <c r="BN33" s="45">
        <f t="shared" ref="BN33:BO33" si="81">IF(BN16="","",BN16+(BN$19*(BN25/BN$28)))</f>
        <v>282620.40359287354</v>
      </c>
      <c r="BO33" s="45">
        <f t="shared" si="81"/>
        <v>698718.28942311229</v>
      </c>
      <c r="BP33" s="45">
        <f t="shared" ref="BP33:BQ33" si="82">IF(BP16="","",BP16+(BP$19*(BP25/BP$28)))</f>
        <v>853101.84507416235</v>
      </c>
      <c r="BQ33" s="45">
        <f t="shared" si="82"/>
        <v>813199.23858644778</v>
      </c>
      <c r="BR33" s="45">
        <f t="shared" ref="BR33:BS33" si="83">IF(BR16="","",BR16+(BR$19*(BR25/BR$28)))</f>
        <v>604659.70795225631</v>
      </c>
      <c r="BS33" s="45">
        <f t="shared" si="83"/>
        <v>297586.42900451482</v>
      </c>
      <c r="BT33" s="281">
        <f t="shared" si="71"/>
        <v>289593.1978996573</v>
      </c>
      <c r="BU33" s="281">
        <f t="shared" si="71"/>
        <v>366512.06607265963</v>
      </c>
      <c r="BV33" s="281">
        <f t="shared" si="71"/>
        <v>421436.89087504114</v>
      </c>
      <c r="BW33" s="282">
        <f t="shared" si="71"/>
        <v>347591.28311593586</v>
      </c>
      <c r="BX33" s="282">
        <f t="shared" si="71"/>
        <v>364053.2481042603</v>
      </c>
      <c r="BY33" s="282">
        <f t="shared" si="71"/>
        <v>330652.74505255453</v>
      </c>
      <c r="BZ33" s="282">
        <f t="shared" si="71"/>
        <v>417109.4131168637</v>
      </c>
      <c r="CA33" s="282">
        <f t="shared" si="71"/>
        <v>0</v>
      </c>
      <c r="CB33" s="282">
        <f t="shared" si="71"/>
        <v>0</v>
      </c>
      <c r="CC33" s="282">
        <f t="shared" si="71"/>
        <v>0</v>
      </c>
      <c r="CD33" s="282">
        <f t="shared" si="71"/>
        <v>0</v>
      </c>
      <c r="CE33" s="282">
        <f t="shared" si="71"/>
        <v>0</v>
      </c>
      <c r="CF33" s="282">
        <f t="shared" si="71"/>
        <v>0</v>
      </c>
      <c r="CG33" s="282">
        <f t="shared" si="59"/>
        <v>0</v>
      </c>
      <c r="CH33" s="282">
        <f t="shared" si="59"/>
        <v>0</v>
      </c>
    </row>
    <row r="34" spans="1:86" x14ac:dyDescent="0.25">
      <c r="A34" t="s">
        <v>36</v>
      </c>
      <c r="B34" s="37"/>
      <c r="C34" s="37"/>
      <c r="D34" s="45">
        <f>D17+(D$19*(D26/D$28))</f>
        <v>0</v>
      </c>
      <c r="E34" s="45">
        <f t="shared" si="46"/>
        <v>9.4764517045030008</v>
      </c>
      <c r="F34" s="45">
        <f t="shared" si="46"/>
        <v>992.38480063141662</v>
      </c>
      <c r="G34" s="45">
        <f t="shared" si="46"/>
        <v>7292.1248374502911</v>
      </c>
      <c r="H34" s="45">
        <f t="shared" si="46"/>
        <v>15994.94501268368</v>
      </c>
      <c r="I34" s="45">
        <f t="shared" si="46"/>
        <v>17286.492613957165</v>
      </c>
      <c r="J34" s="45">
        <f t="shared" si="46"/>
        <v>20593.63561343183</v>
      </c>
      <c r="K34" s="45">
        <f t="shared" si="46"/>
        <v>13281.46306563299</v>
      </c>
      <c r="L34" s="45">
        <f t="shared" si="46"/>
        <v>20634.15638219006</v>
      </c>
      <c r="M34" s="45">
        <f t="shared" si="46"/>
        <v>18530.128304448888</v>
      </c>
      <c r="N34" s="45">
        <f t="shared" si="46"/>
        <v>41320.38859087076</v>
      </c>
      <c r="O34" s="45">
        <f t="shared" si="46"/>
        <v>29425.974245256413</v>
      </c>
      <c r="P34" s="45">
        <f t="shared" si="46"/>
        <v>32165.147795809222</v>
      </c>
      <c r="Q34" s="45">
        <f t="shared" si="46"/>
        <v>21213.003373036219</v>
      </c>
      <c r="R34" s="45">
        <f t="shared" si="46"/>
        <v>41395.000804902586</v>
      </c>
      <c r="S34" s="45">
        <f t="shared" si="46"/>
        <v>92952.761963081415</v>
      </c>
      <c r="T34" s="45">
        <f t="shared" si="46"/>
        <v>123951.10916307675</v>
      </c>
      <c r="U34" s="45">
        <f t="shared" si="46"/>
        <v>122809.27801030048</v>
      </c>
      <c r="V34" s="45">
        <f t="shared" si="46"/>
        <v>96049.861338882605</v>
      </c>
      <c r="W34" s="45">
        <f t="shared" si="46"/>
        <v>51830.00376307463</v>
      </c>
      <c r="X34" s="45">
        <f t="shared" si="46"/>
        <v>49578.466987818043</v>
      </c>
      <c r="Y34" s="45">
        <f t="shared" si="46"/>
        <v>51735.412802116007</v>
      </c>
      <c r="Z34" s="45">
        <f t="shared" si="46"/>
        <v>90838.744276912417</v>
      </c>
      <c r="AA34" s="45">
        <f t="shared" si="46"/>
        <v>65459.948883100595</v>
      </c>
      <c r="AB34" s="45">
        <f t="shared" si="46"/>
        <v>71534.944524128558</v>
      </c>
      <c r="AC34" s="45">
        <f t="shared" si="46"/>
        <v>71343.757771636898</v>
      </c>
      <c r="AD34" s="45">
        <f t="shared" si="46"/>
        <v>103296.3103477702</v>
      </c>
      <c r="AE34" s="45">
        <f t="shared" si="46"/>
        <v>256562.81120160531</v>
      </c>
      <c r="AF34" s="45">
        <f t="shared" si="46"/>
        <v>319479.07850425603</v>
      </c>
      <c r="AG34" s="45">
        <f t="shared" si="46"/>
        <v>309875.12991512951</v>
      </c>
      <c r="AH34" s="45">
        <f t="shared" si="46"/>
        <v>200668.49634980995</v>
      </c>
      <c r="AI34" s="45">
        <f t="shared" si="46"/>
        <v>111417.50190042912</v>
      </c>
      <c r="AJ34" s="45">
        <f t="shared" si="46"/>
        <v>93253.892629017733</v>
      </c>
      <c r="AK34" s="45">
        <f t="shared" si="46"/>
        <v>103488.5984224446</v>
      </c>
      <c r="AL34" s="45">
        <f t="shared" si="46"/>
        <v>144414.82989089785</v>
      </c>
      <c r="AM34" s="45">
        <f t="shared" si="46"/>
        <v>110066.63506595949</v>
      </c>
      <c r="AN34" s="45">
        <f t="shared" si="46"/>
        <v>50328.1679847302</v>
      </c>
      <c r="AO34" s="45">
        <f t="shared" si="46"/>
        <v>48818.637830727937</v>
      </c>
      <c r="AP34" s="45">
        <f t="shared" si="46"/>
        <v>69139.5977047872</v>
      </c>
      <c r="AQ34" s="45">
        <f t="shared" si="46"/>
        <v>204404.00741586328</v>
      </c>
      <c r="AR34" s="45">
        <f t="shared" si="46"/>
        <v>281050.68735267245</v>
      </c>
      <c r="AS34" s="45">
        <f t="shared" si="46"/>
        <v>243115.17544525067</v>
      </c>
      <c r="AT34" s="45">
        <f t="shared" si="46"/>
        <v>160177.67633933009</v>
      </c>
      <c r="AU34" s="45">
        <f t="shared" si="46"/>
        <v>71401.608823197399</v>
      </c>
      <c r="AV34" s="45">
        <f t="shared" ref="AV34" si="84">IF(AV17="","",AV17+(AV$19*(AV26/AV$28)))</f>
        <v>68759.703767405808</v>
      </c>
      <c r="AW34" s="45">
        <f t="shared" si="46"/>
        <v>79423.074388787179</v>
      </c>
      <c r="AX34" s="45">
        <f t="shared" ref="AX34:AY34" si="85">IF(AX17="","",AX17+(AX$19*(AX26/AX$28)))</f>
        <v>124152.16010630637</v>
      </c>
      <c r="AY34" s="45">
        <f t="shared" si="85"/>
        <v>90652.290206343227</v>
      </c>
      <c r="AZ34" s="45">
        <f t="shared" ref="AZ34:BA34" si="86">IF(AZ17="","",AZ17+(AZ$19*(AZ26/AZ$28)))</f>
        <v>95391.182401412632</v>
      </c>
      <c r="BA34" s="45">
        <f t="shared" si="86"/>
        <v>98092.186887780408</v>
      </c>
      <c r="BB34" s="45">
        <f t="shared" ref="BB34:BC34" si="87">IF(BB17="","",BB17+(BB$19*(BB26/BB$28)))</f>
        <v>146238.88433112807</v>
      </c>
      <c r="BC34" s="45">
        <f t="shared" si="87"/>
        <v>408596.36444724287</v>
      </c>
      <c r="BD34" s="45">
        <f t="shared" ref="BD34:BE34" si="88">IF(BD17="","",BD17+(BD$19*(BD26/BD$28)))</f>
        <v>130017.57406535599</v>
      </c>
      <c r="BE34" s="45">
        <f t="shared" si="88"/>
        <v>135925.39692325707</v>
      </c>
      <c r="BF34" s="45">
        <f t="shared" ref="BF34:BG34" si="89">IF(BF17="","",BF17+(BF$19*(BF26/BF$28)))</f>
        <v>99875.595046319839</v>
      </c>
      <c r="BG34" s="45">
        <f t="shared" si="89"/>
        <v>47172.903672076238</v>
      </c>
      <c r="BH34" s="45">
        <f t="shared" ref="BH34:BI34" si="90">IF(BH17="","",BH17+(BH$19*(BH26/BH$28)))</f>
        <v>49418.318001211912</v>
      </c>
      <c r="BI34" s="45">
        <f t="shared" si="90"/>
        <v>61971.31365560359</v>
      </c>
      <c r="BJ34" s="45">
        <f t="shared" ref="BJ34:BK34" si="91">IF(BJ17="","",BJ17+(BJ$19*(BJ26/BJ$28)))</f>
        <v>100140.32783463651</v>
      </c>
      <c r="BK34" s="45">
        <f t="shared" si="91"/>
        <v>68610.098480887449</v>
      </c>
      <c r="BL34" s="45">
        <f t="shared" ref="BL34:BM34" si="92">IF(BL17="","",BL17+(BL$19*(BL26/BL$28)))</f>
        <v>73112.306140790664</v>
      </c>
      <c r="BM34" s="45">
        <f t="shared" si="92"/>
        <v>69892.91956161111</v>
      </c>
      <c r="BN34" s="45">
        <f t="shared" ref="BN34:BO34" si="93">IF(BN17="","",BN17+(BN$19*(BN26/BN$28)))</f>
        <v>99056.640281670465</v>
      </c>
      <c r="BO34" s="45">
        <f t="shared" si="93"/>
        <v>258498.69847281641</v>
      </c>
      <c r="BP34" s="45">
        <f t="shared" ref="BP34:BQ34" si="94">IF(BP17="","",BP17+(BP$19*(BP26/BP$28)))</f>
        <v>303959.92143258377</v>
      </c>
      <c r="BQ34" s="45">
        <f t="shared" si="94"/>
        <v>294161.07992542034</v>
      </c>
      <c r="BR34" s="45">
        <f t="shared" ref="BR34:BS34" si="95">IF(BR17="","",BR17+(BR$19*(BR26/BR$28)))</f>
        <v>208587.29192292673</v>
      </c>
      <c r="BS34" s="45">
        <f t="shared" si="95"/>
        <v>99425.405828224626</v>
      </c>
      <c r="BT34" s="281">
        <f t="shared" si="71"/>
        <v>91295.116338149382</v>
      </c>
      <c r="BU34" s="281">
        <f t="shared" si="71"/>
        <v>112244.64566505696</v>
      </c>
      <c r="BV34" s="281">
        <f t="shared" si="71"/>
        <v>132382.9938109974</v>
      </c>
      <c r="BW34" s="282">
        <f t="shared" si="71"/>
        <v>110855.04375207746</v>
      </c>
      <c r="BX34" s="282">
        <f t="shared" si="71"/>
        <v>117017.53696925624</v>
      </c>
      <c r="BY34" s="282">
        <f t="shared" si="71"/>
        <v>113550.55279694014</v>
      </c>
      <c r="BZ34" s="282">
        <f t="shared" si="71"/>
        <v>150748.04598611247</v>
      </c>
      <c r="CA34" s="282">
        <f t="shared" si="71"/>
        <v>0</v>
      </c>
      <c r="CB34" s="282">
        <f t="shared" si="71"/>
        <v>0</v>
      </c>
      <c r="CC34" s="282">
        <f t="shared" si="71"/>
        <v>0</v>
      </c>
      <c r="CD34" s="282">
        <f t="shared" si="71"/>
        <v>0</v>
      </c>
      <c r="CE34" s="282">
        <f t="shared" si="71"/>
        <v>0</v>
      </c>
      <c r="CF34" s="282">
        <f t="shared" si="71"/>
        <v>0</v>
      </c>
      <c r="CG34" s="282">
        <f t="shared" si="59"/>
        <v>0</v>
      </c>
      <c r="CH34" s="282">
        <f t="shared" si="59"/>
        <v>0</v>
      </c>
    </row>
    <row r="35" spans="1:86" x14ac:dyDescent="0.25">
      <c r="A35" t="s">
        <v>37</v>
      </c>
      <c r="B35" s="37"/>
      <c r="C35" s="37"/>
      <c r="D35" s="45">
        <f>D18+(D$19*(D27/D$28))</f>
        <v>0</v>
      </c>
      <c r="E35" s="45">
        <f t="shared" si="46"/>
        <v>0</v>
      </c>
      <c r="F35" s="45">
        <f t="shared" si="46"/>
        <v>158.37627524588399</v>
      </c>
      <c r="G35" s="45">
        <f t="shared" si="46"/>
        <v>597.17310476301054</v>
      </c>
      <c r="H35" s="45">
        <f t="shared" si="46"/>
        <v>0</v>
      </c>
      <c r="I35" s="45">
        <f t="shared" si="46"/>
        <v>224.30843760020062</v>
      </c>
      <c r="J35" s="45">
        <f t="shared" si="46"/>
        <v>578.11242788452876</v>
      </c>
      <c r="K35" s="45">
        <f t="shared" si="46"/>
        <v>553.72176658848127</v>
      </c>
      <c r="L35" s="45">
        <f t="shared" si="46"/>
        <v>4498.45610981133</v>
      </c>
      <c r="M35" s="45">
        <f t="shared" si="46"/>
        <v>2468.5744882877784</v>
      </c>
      <c r="N35" s="45">
        <f t="shared" si="46"/>
        <v>6482.3323978120161</v>
      </c>
      <c r="O35" s="45">
        <f t="shared" si="46"/>
        <v>4714.4220035550234</v>
      </c>
      <c r="P35" s="45">
        <f t="shared" si="46"/>
        <v>4933.2233077077817</v>
      </c>
      <c r="Q35" s="45">
        <f t="shared" si="46"/>
        <v>4340.5509347173938</v>
      </c>
      <c r="R35" s="45">
        <f t="shared" si="46"/>
        <v>11799.946486826884</v>
      </c>
      <c r="S35" s="45">
        <f t="shared" si="46"/>
        <v>38257.943252341713</v>
      </c>
      <c r="T35" s="45">
        <f t="shared" si="46"/>
        <v>40690.592006909494</v>
      </c>
      <c r="U35" s="45">
        <f t="shared" si="46"/>
        <v>41885.585703975645</v>
      </c>
      <c r="V35" s="45">
        <f t="shared" si="46"/>
        <v>26780.761635291285</v>
      </c>
      <c r="W35" s="45">
        <f t="shared" si="46"/>
        <v>10597.262650374174</v>
      </c>
      <c r="X35" s="45">
        <f t="shared" si="46"/>
        <v>10543.327297722915</v>
      </c>
      <c r="Y35" s="45">
        <f t="shared" si="46"/>
        <v>12471.245557264963</v>
      </c>
      <c r="Z35" s="45">
        <f t="shared" si="46"/>
        <v>12960.956487818141</v>
      </c>
      <c r="AA35" s="45">
        <f t="shared" si="46"/>
        <v>11180.008563256184</v>
      </c>
      <c r="AB35" s="45">
        <f t="shared" si="46"/>
        <v>10723.724250200386</v>
      </c>
      <c r="AC35" s="45">
        <f t="shared" si="46"/>
        <v>12186.584798764601</v>
      </c>
      <c r="AD35" s="45">
        <f t="shared" si="46"/>
        <v>21281.154475581399</v>
      </c>
      <c r="AE35" s="45">
        <f t="shared" si="46"/>
        <v>66612.208134140514</v>
      </c>
      <c r="AF35" s="45">
        <f t="shared" si="46"/>
        <v>73408.187300820806</v>
      </c>
      <c r="AG35" s="45">
        <f t="shared" si="46"/>
        <v>73181.995355948209</v>
      </c>
      <c r="AH35" s="45">
        <f t="shared" si="46"/>
        <v>44682.245754003154</v>
      </c>
      <c r="AI35" s="45">
        <f t="shared" si="46"/>
        <v>19447.902145822471</v>
      </c>
      <c r="AJ35" s="45">
        <f t="shared" si="46"/>
        <v>16125.741463642871</v>
      </c>
      <c r="AK35" s="45">
        <f t="shared" si="46"/>
        <v>19063.36096942682</v>
      </c>
      <c r="AL35" s="45">
        <f t="shared" si="46"/>
        <v>18825.407725594807</v>
      </c>
      <c r="AM35" s="45">
        <f t="shared" si="46"/>
        <v>15042.280346882986</v>
      </c>
      <c r="AN35" s="45">
        <f t="shared" si="46"/>
        <v>5372.5491881501548</v>
      </c>
      <c r="AO35" s="45">
        <f t="shared" si="46"/>
        <v>5761.1753207721658</v>
      </c>
      <c r="AP35" s="45">
        <f t="shared" si="46"/>
        <v>7701.1665386990999</v>
      </c>
      <c r="AQ35" s="45">
        <f t="shared" si="46"/>
        <v>20816.695916117322</v>
      </c>
      <c r="AR35" s="45">
        <f t="shared" si="46"/>
        <v>29321.450972661642</v>
      </c>
      <c r="AS35" s="45">
        <f t="shared" si="46"/>
        <v>29057.042020850196</v>
      </c>
      <c r="AT35" s="45">
        <f t="shared" si="46"/>
        <v>22639.119300577775</v>
      </c>
      <c r="AU35" s="45">
        <f t="shared" si="46"/>
        <v>10522.674846079888</v>
      </c>
      <c r="AV35" s="45">
        <f t="shared" ref="AV35" si="96">IF(AV18="","",AV18+(AV$19*(AV27/AV$28)))</f>
        <v>8402.9395721317924</v>
      </c>
      <c r="AW35" s="45">
        <f t="shared" si="46"/>
        <v>10147.866510048789</v>
      </c>
      <c r="AX35" s="45">
        <f t="shared" ref="AX35:AY35" si="97">IF(AX18="","",AX18+(AX$19*(AX27/AX$28)))</f>
        <v>10184.952993836321</v>
      </c>
      <c r="AY35" s="45">
        <f t="shared" si="97"/>
        <v>9072.0567893273928</v>
      </c>
      <c r="AZ35" s="45">
        <f t="shared" ref="AZ35:BA35" si="98">IF(AZ18="","",AZ18+(AZ$19*(AZ27/AZ$28)))</f>
        <v>9954.6531526973886</v>
      </c>
      <c r="BA35" s="45">
        <f t="shared" si="98"/>
        <v>10973.088832331672</v>
      </c>
      <c r="BB35" s="45">
        <f t="shared" ref="BB35:BC35" si="99">IF(BB18="","",BB18+(BB$19*(BB27/BB$28)))</f>
        <v>20516.921574305627</v>
      </c>
      <c r="BC35" s="45">
        <f t="shared" si="99"/>
        <v>80173.370498125121</v>
      </c>
      <c r="BD35" s="45">
        <f t="shared" ref="BD35:BE35" si="100">IF(BD18="","",BD18+(BD$19*(BD27/BD$28)))</f>
        <v>41066.173957788429</v>
      </c>
      <c r="BE35" s="45">
        <f t="shared" si="100"/>
        <v>43464.865379167015</v>
      </c>
      <c r="BF35" s="45">
        <f t="shared" ref="BF35:BG35" si="101">IF(BF18="","",BF18+(BF$19*(BF27/BF$28)))</f>
        <v>24572.609553779672</v>
      </c>
      <c r="BG35" s="45">
        <f t="shared" si="101"/>
        <v>6397.8158425259671</v>
      </c>
      <c r="BH35" s="45">
        <f t="shared" ref="BH35:BI35" si="102">IF(BH18="","",BH18+(BH$19*(BH27/BH$28)))</f>
        <v>5740.4513919906103</v>
      </c>
      <c r="BI35" s="45">
        <f t="shared" si="102"/>
        <v>7252.8607050266928</v>
      </c>
      <c r="BJ35" s="45">
        <f t="shared" ref="BJ35:BK35" si="103">IF(BJ18="","",BJ18+(BJ$19*(BJ27/BJ$28)))</f>
        <v>15609.264533708742</v>
      </c>
      <c r="BK35" s="45">
        <f t="shared" si="103"/>
        <v>9931.0061988053349</v>
      </c>
      <c r="BL35" s="45">
        <f t="shared" ref="BL35:BM35" si="104">IF(BL18="","",BL18+(BL$19*(BL27/BL$28)))</f>
        <v>10734.517311806689</v>
      </c>
      <c r="BM35" s="45">
        <f t="shared" si="104"/>
        <v>12461.71833996677</v>
      </c>
      <c r="BN35" s="45">
        <f t="shared" ref="BN35:BO35" si="105">IF(BN18="","",BN18+(BN$19*(BN27/BN$28)))</f>
        <v>22695.241702912812</v>
      </c>
      <c r="BO35" s="45">
        <f t="shared" si="105"/>
        <v>65408.507485155234</v>
      </c>
      <c r="BP35" s="45">
        <f t="shared" ref="BP35:BQ35" si="106">IF(BP18="","",BP18+(BP$19*(BP27/BP$28)))</f>
        <v>72715.89068358489</v>
      </c>
      <c r="BQ35" s="45">
        <f t="shared" si="106"/>
        <v>72974.667994930234</v>
      </c>
      <c r="BR35" s="45">
        <f t="shared" ref="BR35:BS35" si="107">IF(BR18="","",BR18+(BR$19*(BR27/BR$28)))</f>
        <v>48263.382838753387</v>
      </c>
      <c r="BS35" s="45">
        <f t="shared" si="107"/>
        <v>20055.85905487034</v>
      </c>
      <c r="BT35" s="281">
        <f t="shared" si="71"/>
        <v>14245.616514940328</v>
      </c>
      <c r="BU35" s="281">
        <f t="shared" si="71"/>
        <v>16045.340693591272</v>
      </c>
      <c r="BV35" s="281">
        <f t="shared" si="71"/>
        <v>18425.431765750742</v>
      </c>
      <c r="BW35" s="282">
        <f t="shared" si="71"/>
        <v>15415.144197685662</v>
      </c>
      <c r="BX35" s="282">
        <f t="shared" si="71"/>
        <v>17166.233338547514</v>
      </c>
      <c r="BY35" s="282">
        <f t="shared" si="71"/>
        <v>20224.36707027398</v>
      </c>
      <c r="BZ35" s="282">
        <f t="shared" si="71"/>
        <v>36097.457584040902</v>
      </c>
      <c r="CA35" s="282">
        <f t="shared" si="71"/>
        <v>0</v>
      </c>
      <c r="CB35" s="282">
        <f t="shared" si="71"/>
        <v>0</v>
      </c>
      <c r="CC35" s="282">
        <f t="shared" si="71"/>
        <v>0</v>
      </c>
      <c r="CD35" s="282">
        <f t="shared" si="71"/>
        <v>0</v>
      </c>
      <c r="CE35" s="282">
        <f t="shared" si="71"/>
        <v>0</v>
      </c>
      <c r="CF35" s="282">
        <f t="shared" si="71"/>
        <v>0</v>
      </c>
      <c r="CG35" s="282">
        <f t="shared" si="59"/>
        <v>0</v>
      </c>
      <c r="CH35" s="282">
        <f t="shared" si="59"/>
        <v>0</v>
      </c>
    </row>
    <row r="36" spans="1:86" x14ac:dyDescent="0.25">
      <c r="A36" s="33" t="s">
        <v>31</v>
      </c>
      <c r="B36" s="31"/>
      <c r="C36" s="31"/>
      <c r="D36" s="44">
        <f>SUM(D31:D35)</f>
        <v>0.71203150918887492</v>
      </c>
      <c r="E36" s="44">
        <f t="shared" ref="E36:AW36" si="108">SUM(E31:E35)</f>
        <v>4695.4207688607357</v>
      </c>
      <c r="F36" s="44">
        <f t="shared" si="108"/>
        <v>39935.570121927383</v>
      </c>
      <c r="G36" s="44">
        <f t="shared" si="108"/>
        <v>291676.37356246018</v>
      </c>
      <c r="H36" s="44">
        <f t="shared" si="108"/>
        <v>544866.33457860793</v>
      </c>
      <c r="I36" s="44">
        <f t="shared" si="108"/>
        <v>663040.9475663905</v>
      </c>
      <c r="J36" s="44">
        <f t="shared" si="108"/>
        <v>547744.67638274853</v>
      </c>
      <c r="K36" s="44">
        <f t="shared" si="108"/>
        <v>270067.89072131988</v>
      </c>
      <c r="L36" s="44">
        <f t="shared" si="108"/>
        <v>449448.83291898982</v>
      </c>
      <c r="M36" s="44">
        <f t="shared" si="108"/>
        <v>672384.11562352569</v>
      </c>
      <c r="N36" s="44">
        <f t="shared" si="108"/>
        <v>860299.05315340101</v>
      </c>
      <c r="O36" s="44">
        <f t="shared" si="108"/>
        <v>921069.68539476907</v>
      </c>
      <c r="P36" s="44">
        <f t="shared" si="108"/>
        <v>727242.36549864151</v>
      </c>
      <c r="Q36" s="44">
        <f t="shared" si="108"/>
        <v>330495.27100759087</v>
      </c>
      <c r="R36" s="44">
        <f t="shared" si="108"/>
        <v>448514.38010054693</v>
      </c>
      <c r="S36" s="44">
        <f t="shared" si="108"/>
        <v>1166466.8526526124</v>
      </c>
      <c r="T36" s="44">
        <f t="shared" si="108"/>
        <v>1596902.1714481553</v>
      </c>
      <c r="U36" s="44">
        <f t="shared" si="108"/>
        <v>1748272.4117888494</v>
      </c>
      <c r="V36" s="44">
        <f t="shared" si="108"/>
        <v>1519471.0162375702</v>
      </c>
      <c r="W36" s="44">
        <f t="shared" si="108"/>
        <v>764880.45368540613</v>
      </c>
      <c r="X36" s="44">
        <f t="shared" si="108"/>
        <v>908807.65228987054</v>
      </c>
      <c r="Y36" s="44">
        <f t="shared" si="108"/>
        <v>1120062.8565557792</v>
      </c>
      <c r="Z36" s="44">
        <f t="shared" si="108"/>
        <v>1377220.6643166305</v>
      </c>
      <c r="AA36" s="44">
        <f t="shared" si="108"/>
        <v>1195166.5723548159</v>
      </c>
      <c r="AB36" s="44">
        <f t="shared" si="108"/>
        <v>1300632.3993987506</v>
      </c>
      <c r="AC36" s="44">
        <f t="shared" si="108"/>
        <v>1205822.8207733985</v>
      </c>
      <c r="AD36" s="44">
        <f t="shared" si="108"/>
        <v>1472551.2785682736</v>
      </c>
      <c r="AE36" s="44">
        <f t="shared" si="108"/>
        <v>3602609.9103061222</v>
      </c>
      <c r="AF36" s="44">
        <f t="shared" si="108"/>
        <v>4524979.9029475963</v>
      </c>
      <c r="AG36" s="44">
        <f t="shared" si="108"/>
        <v>4557691.9623519126</v>
      </c>
      <c r="AH36" s="44">
        <f t="shared" si="108"/>
        <v>3395133.6257571937</v>
      </c>
      <c r="AI36" s="44">
        <f t="shared" si="108"/>
        <v>1618999.5517252118</v>
      </c>
      <c r="AJ36" s="44">
        <f t="shared" si="108"/>
        <v>1693340.1593012405</v>
      </c>
      <c r="AK36" s="44">
        <f t="shared" si="108"/>
        <v>2043834.5150522972</v>
      </c>
      <c r="AL36" s="44">
        <f t="shared" si="108"/>
        <v>2546894.0685010902</v>
      </c>
      <c r="AM36" s="44">
        <f t="shared" si="108"/>
        <v>2089616.4766016018</v>
      </c>
      <c r="AN36" s="44">
        <f t="shared" si="108"/>
        <v>912247.85076541686</v>
      </c>
      <c r="AO36" s="44">
        <f t="shared" si="108"/>
        <v>846334.21711913741</v>
      </c>
      <c r="AP36" s="44">
        <f t="shared" si="108"/>
        <v>1066637.6782053632</v>
      </c>
      <c r="AQ36" s="44">
        <f t="shared" si="108"/>
        <v>2863352.6421243404</v>
      </c>
      <c r="AR36" s="44">
        <f t="shared" si="108"/>
        <v>3675557.5237109675</v>
      </c>
      <c r="AS36" s="44">
        <f t="shared" si="108"/>
        <v>3342039.9312423696</v>
      </c>
      <c r="AT36" s="44">
        <f t="shared" si="108"/>
        <v>2373846.5851787962</v>
      </c>
      <c r="AU36" s="44">
        <f t="shared" si="108"/>
        <v>1051178.3111241481</v>
      </c>
      <c r="AV36" s="44">
        <f t="shared" ref="AV36" si="109">SUM(AV31:AV35)</f>
        <v>1105092.1759465139</v>
      </c>
      <c r="AW36" s="44">
        <f t="shared" si="108"/>
        <v>1381965.5186848878</v>
      </c>
      <c r="AX36" s="44">
        <f t="shared" ref="AX36:AY36" si="110">SUM(AX31:AX35)</f>
        <v>1700717.7639811411</v>
      </c>
      <c r="AY36" s="44">
        <f t="shared" si="110"/>
        <v>1356926.8590753332</v>
      </c>
      <c r="AZ36" s="44">
        <f t="shared" ref="AZ36:BA36" si="111">SUM(AZ31:AZ35)</f>
        <v>1353802.1905861669</v>
      </c>
      <c r="BA36" s="44">
        <f t="shared" si="111"/>
        <v>1239676.1204544338</v>
      </c>
      <c r="BB36" s="44">
        <f t="shared" ref="BB36:BC36" si="112">SUM(BB31:BB35)</f>
        <v>1628086.4160208032</v>
      </c>
      <c r="BC36" s="44">
        <f t="shared" si="112"/>
        <v>4511630.5078466395</v>
      </c>
      <c r="BD36" s="44">
        <f t="shared" ref="BD36:BE36" si="113">SUM(BD31:BD35)</f>
        <v>1051039.3753533266</v>
      </c>
      <c r="BE36" s="44">
        <f t="shared" si="113"/>
        <v>1133487.8662933947</v>
      </c>
      <c r="BF36" s="44">
        <f t="shared" ref="BF36:BG36" si="114">SUM(BF31:BF35)</f>
        <v>808760.63763167651</v>
      </c>
      <c r="BG36" s="44">
        <f t="shared" si="114"/>
        <v>375458.03446689073</v>
      </c>
      <c r="BH36" s="44">
        <f t="shared" ref="BH36:BI36" si="115">SUM(BH31:BH35)</f>
        <v>426692.32957000914</v>
      </c>
      <c r="BI36" s="44">
        <f t="shared" si="115"/>
        <v>579421.78363716719</v>
      </c>
      <c r="BJ36" s="44">
        <f t="shared" ref="BJ36:BK36" si="116">SUM(BJ31:BJ35)</f>
        <v>801605.52584873373</v>
      </c>
      <c r="BK36" s="44">
        <f t="shared" si="116"/>
        <v>596790.15800777823</v>
      </c>
      <c r="BL36" s="44">
        <f t="shared" ref="BL36:BM36" si="117">SUM(BL31:BL35)</f>
        <v>601738.66705846821</v>
      </c>
      <c r="BM36" s="44">
        <f t="shared" si="117"/>
        <v>554067.14924048469</v>
      </c>
      <c r="BN36" s="44">
        <f t="shared" ref="BN36:BO36" si="118">SUM(BN31:BN35)</f>
        <v>754375.92963655689</v>
      </c>
      <c r="BO36" s="44">
        <f t="shared" si="118"/>
        <v>2025351.824875897</v>
      </c>
      <c r="BP36" s="44">
        <f t="shared" ref="BP36:BQ36" si="119">SUM(BP31:BP35)</f>
        <v>2625386.5745604569</v>
      </c>
      <c r="BQ36" s="44">
        <f t="shared" si="119"/>
        <v>2540999.4109809548</v>
      </c>
      <c r="BR36" s="44">
        <f t="shared" ref="BR36:CH36" si="120">SUM(BR31:BR35)</f>
        <v>1733783.3413791927</v>
      </c>
      <c r="BS36" s="44">
        <f t="shared" si="120"/>
        <v>755529.95697051473</v>
      </c>
      <c r="BT36" s="44">
        <f t="shared" si="120"/>
        <v>791290.49553918431</v>
      </c>
      <c r="BU36" s="44">
        <f t="shared" si="120"/>
        <v>1069050.061473018</v>
      </c>
      <c r="BV36" s="44">
        <f t="shared" si="120"/>
        <v>1187577.2561075122</v>
      </c>
      <c r="BW36" s="44">
        <f t="shared" si="120"/>
        <v>970859.16085710377</v>
      </c>
      <c r="BX36" s="44">
        <f t="shared" si="120"/>
        <v>950451.62760470982</v>
      </c>
      <c r="BY36" s="44">
        <f t="shared" si="120"/>
        <v>838656.56933329068</v>
      </c>
      <c r="BZ36" s="44">
        <f t="shared" si="120"/>
        <v>1086951.518476794</v>
      </c>
      <c r="CA36" s="44">
        <f t="shared" si="120"/>
        <v>0</v>
      </c>
      <c r="CB36" s="44">
        <f t="shared" si="120"/>
        <v>0</v>
      </c>
      <c r="CC36" s="44">
        <f t="shared" si="120"/>
        <v>0</v>
      </c>
      <c r="CD36" s="44">
        <f t="shared" si="120"/>
        <v>0</v>
      </c>
      <c r="CE36" s="44">
        <f t="shared" si="120"/>
        <v>0</v>
      </c>
      <c r="CF36" s="44">
        <f t="shared" si="120"/>
        <v>0</v>
      </c>
      <c r="CG36" s="44">
        <f t="shared" si="120"/>
        <v>0</v>
      </c>
      <c r="CH36" s="44">
        <f t="shared" si="120"/>
        <v>0</v>
      </c>
    </row>
    <row r="37" spans="1:86" x14ac:dyDescent="0.25">
      <c r="A37" s="33"/>
      <c r="B37" s="31"/>
      <c r="C37" s="31"/>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row>
    <row r="38" spans="1:86" x14ac:dyDescent="0.25">
      <c r="A38" s="33"/>
      <c r="B38" s="31"/>
      <c r="C38" s="31"/>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35" t="s">
        <v>155</v>
      </c>
      <c r="BT38" s="80"/>
      <c r="BU38" s="80"/>
      <c r="BV38" s="35" t="s">
        <v>151</v>
      </c>
      <c r="BW38" s="80"/>
      <c r="BX38" s="80"/>
      <c r="BY38" s="80"/>
      <c r="BZ38" s="80"/>
      <c r="CA38" s="80"/>
      <c r="CB38" s="80"/>
      <c r="CC38" s="80"/>
      <c r="CD38" s="80"/>
      <c r="CE38" s="80"/>
      <c r="CF38" s="80"/>
      <c r="CH38" s="35" t="s">
        <v>152</v>
      </c>
    </row>
    <row r="39" spans="1:86" x14ac:dyDescent="0.25">
      <c r="A39" s="33"/>
      <c r="B39" s="31"/>
      <c r="C39" s="31"/>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t="s">
        <v>33</v>
      </c>
      <c r="BS39" s="290">
        <f t="shared" ref="BS39:BS44" si="121">SUM(D31:BS31)</f>
        <v>50397886.742989235</v>
      </c>
      <c r="BT39" s="80"/>
      <c r="BU39" t="s">
        <v>33</v>
      </c>
      <c r="BV39" s="283">
        <f>SUM(BT31:BV31)</f>
        <v>1026222.5776734108</v>
      </c>
      <c r="BW39" s="80"/>
      <c r="BX39" s="80"/>
      <c r="BY39" s="80"/>
      <c r="BZ39" s="80"/>
      <c r="CA39" s="80"/>
      <c r="CB39" s="80"/>
      <c r="CC39" s="80"/>
      <c r="CD39" s="80"/>
      <c r="CE39" s="80"/>
      <c r="CF39" s="80"/>
      <c r="CG39" t="s">
        <v>33</v>
      </c>
      <c r="CH39" s="284">
        <f>SUM(BW31:CH31)</f>
        <v>1018523.3501884519</v>
      </c>
    </row>
    <row r="40" spans="1:86" x14ac:dyDescent="0.25">
      <c r="A40" s="33"/>
      <c r="B40" s="31"/>
      <c r="C40" s="31"/>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t="s">
        <v>34</v>
      </c>
      <c r="BS40" s="290">
        <f t="shared" si="121"/>
        <v>11658054.466785653</v>
      </c>
      <c r="BT40" s="80"/>
      <c r="BU40" t="s">
        <v>34</v>
      </c>
      <c r="BV40" s="283">
        <f t="shared" ref="BV40:BV44" si="122">SUM(BT32:BV32)</f>
        <v>559513.93581045978</v>
      </c>
      <c r="BW40" s="80"/>
      <c r="BX40" s="80"/>
      <c r="BY40" s="80"/>
      <c r="BZ40" s="80"/>
      <c r="CA40" s="80"/>
      <c r="CB40" s="80"/>
      <c r="CC40" s="80"/>
      <c r="CD40" s="80"/>
      <c r="CE40" s="80"/>
      <c r="CF40" s="80"/>
      <c r="CG40" t="s">
        <v>34</v>
      </c>
      <c r="CH40" s="284">
        <f t="shared" ref="CH40:CH42" si="123">SUM(BW32:CH32)</f>
        <v>787914.4549988975</v>
      </c>
    </row>
    <row r="41" spans="1:86" x14ac:dyDescent="0.25">
      <c r="A41" s="33"/>
      <c r="B41" s="31"/>
      <c r="C41" s="31"/>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t="s">
        <v>35</v>
      </c>
      <c r="BS41" s="290">
        <f t="shared" si="121"/>
        <v>25270909.276948851</v>
      </c>
      <c r="BT41" s="80"/>
      <c r="BU41" t="s">
        <v>35</v>
      </c>
      <c r="BV41" s="283">
        <f t="shared" si="122"/>
        <v>1077542.1548473579</v>
      </c>
      <c r="BW41" s="80"/>
      <c r="BX41" s="80"/>
      <c r="BY41" s="80"/>
      <c r="BZ41" s="80"/>
      <c r="CA41" s="80"/>
      <c r="CB41" s="80"/>
      <c r="CC41" s="80"/>
      <c r="CD41" s="80"/>
      <c r="CE41" s="80"/>
      <c r="CF41" s="80"/>
      <c r="CG41" t="s">
        <v>35</v>
      </c>
      <c r="CH41" s="284">
        <f t="shared" si="123"/>
        <v>1459406.6893896144</v>
      </c>
    </row>
    <row r="42" spans="1:86" x14ac:dyDescent="0.25">
      <c r="A42" s="33"/>
      <c r="B42" s="31"/>
      <c r="C42" s="31"/>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t="s">
        <v>36</v>
      </c>
      <c r="BS42" s="290">
        <f t="shared" si="121"/>
        <v>7260309.09228181</v>
      </c>
      <c r="BT42" s="80"/>
      <c r="BU42" t="s">
        <v>36</v>
      </c>
      <c r="BV42" s="283">
        <f t="shared" si="122"/>
        <v>335922.75581420376</v>
      </c>
      <c r="BW42" s="80"/>
      <c r="BX42" s="80"/>
      <c r="BY42" s="80"/>
      <c r="BZ42" s="80"/>
      <c r="CA42" s="80"/>
      <c r="CB42" s="80"/>
      <c r="CC42" s="80"/>
      <c r="CD42" s="80"/>
      <c r="CE42" s="80"/>
      <c r="CF42" s="80"/>
      <c r="CG42" t="s">
        <v>36</v>
      </c>
      <c r="CH42" s="284">
        <f t="shared" si="123"/>
        <v>492171.17950438627</v>
      </c>
    </row>
    <row r="43" spans="1:86" x14ac:dyDescent="0.25">
      <c r="A43" s="33"/>
      <c r="B43" s="31"/>
      <c r="C43" s="31"/>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t="s">
        <v>37</v>
      </c>
      <c r="BS43" s="290">
        <f t="shared" si="121"/>
        <v>1407260.2306180692</v>
      </c>
      <c r="BT43" s="80"/>
      <c r="BU43" t="s">
        <v>37</v>
      </c>
      <c r="BV43" s="283">
        <f t="shared" si="122"/>
        <v>48716.388974282338</v>
      </c>
      <c r="BW43" s="80"/>
      <c r="BX43" s="80"/>
      <c r="BY43" s="80"/>
      <c r="BZ43" s="80"/>
      <c r="CA43" s="80"/>
      <c r="CB43" s="80"/>
      <c r="CC43" s="80"/>
      <c r="CD43" s="80"/>
      <c r="CE43" s="80"/>
      <c r="CF43" s="80"/>
      <c r="CG43" t="s">
        <v>37</v>
      </c>
      <c r="CH43" s="284">
        <f>SUM(BW35:CH35)</f>
        <v>88903.202190548065</v>
      </c>
    </row>
    <row r="44" spans="1:86" x14ac:dyDescent="0.25">
      <c r="A44" s="33"/>
      <c r="B44" s="31"/>
      <c r="C44" s="31"/>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33" t="s">
        <v>31</v>
      </c>
      <c r="BS44" s="290">
        <f t="shared" si="121"/>
        <v>95994419.809623614</v>
      </c>
      <c r="BT44" s="80"/>
      <c r="BU44" s="33" t="s">
        <v>31</v>
      </c>
      <c r="BV44" s="283">
        <f t="shared" si="122"/>
        <v>3047917.8131197141</v>
      </c>
      <c r="BW44" s="80"/>
      <c r="BX44" s="80"/>
      <c r="BY44" s="80"/>
      <c r="BZ44" s="80"/>
      <c r="CA44" s="80"/>
      <c r="CB44" s="80"/>
      <c r="CC44" s="80"/>
      <c r="CD44" s="80"/>
      <c r="CE44" s="80"/>
      <c r="CF44" s="80"/>
      <c r="CG44" s="33" t="s">
        <v>31</v>
      </c>
      <c r="CH44" s="284">
        <f>SUM(BW36:CH36)</f>
        <v>3846918.8762718984</v>
      </c>
    </row>
    <row r="45" spans="1:86" x14ac:dyDescent="0.25">
      <c r="A45" s="33"/>
      <c r="B45" s="31"/>
      <c r="C45" s="31"/>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row>
    <row r="46" spans="1:86" s="82" customFormat="1" ht="15.75" thickBot="1" x14ac:dyDescent="0.3"/>
    <row r="47" spans="1:86" ht="15.75" x14ac:dyDescent="0.25">
      <c r="A47" s="79" t="s">
        <v>59</v>
      </c>
    </row>
    <row r="49" spans="1:86" x14ac:dyDescent="0.25">
      <c r="B49" s="10">
        <v>42370</v>
      </c>
      <c r="C49" s="10">
        <v>43497</v>
      </c>
      <c r="D49" s="10">
        <v>43525</v>
      </c>
      <c r="E49" s="10">
        <v>43556</v>
      </c>
      <c r="F49" s="10">
        <v>43586</v>
      </c>
      <c r="G49" s="10">
        <v>43617</v>
      </c>
      <c r="H49" s="10">
        <v>43647</v>
      </c>
      <c r="I49" s="10">
        <v>43678</v>
      </c>
      <c r="J49" s="10">
        <v>43709</v>
      </c>
      <c r="K49" s="10">
        <v>43739</v>
      </c>
      <c r="L49" s="10">
        <v>43770</v>
      </c>
      <c r="M49" s="10">
        <v>43800</v>
      </c>
      <c r="N49" s="10">
        <v>43831</v>
      </c>
      <c r="O49" s="10">
        <v>43862</v>
      </c>
      <c r="P49" s="10">
        <v>43891</v>
      </c>
      <c r="Q49" s="10">
        <v>43922</v>
      </c>
      <c r="R49" s="10">
        <v>43952</v>
      </c>
      <c r="S49" s="10">
        <v>43983</v>
      </c>
      <c r="T49" s="10">
        <v>44013</v>
      </c>
      <c r="U49" s="10">
        <v>44044</v>
      </c>
      <c r="V49" s="10">
        <v>44075</v>
      </c>
      <c r="W49" s="10">
        <v>44105</v>
      </c>
      <c r="X49" s="10">
        <v>44136</v>
      </c>
      <c r="Y49" s="10">
        <v>44166</v>
      </c>
      <c r="Z49" s="10">
        <v>44197</v>
      </c>
      <c r="AA49" s="10">
        <v>44228</v>
      </c>
      <c r="AB49" s="10">
        <v>44256</v>
      </c>
      <c r="AC49" s="10">
        <v>44287</v>
      </c>
      <c r="AD49" s="10">
        <v>44317</v>
      </c>
      <c r="AE49" s="10">
        <v>44348</v>
      </c>
      <c r="AF49" s="10">
        <v>44378</v>
      </c>
      <c r="AG49" s="10">
        <v>44409</v>
      </c>
      <c r="AH49" s="10">
        <v>44440</v>
      </c>
      <c r="AI49" s="10">
        <v>44470</v>
      </c>
      <c r="AJ49" s="10">
        <v>44501</v>
      </c>
      <c r="AK49" s="10">
        <v>44531</v>
      </c>
      <c r="AL49" s="10">
        <v>44562</v>
      </c>
      <c r="AM49" s="10">
        <v>44593</v>
      </c>
      <c r="AN49" s="10">
        <v>44621</v>
      </c>
      <c r="AO49" s="10">
        <v>44652</v>
      </c>
      <c r="AP49" s="10">
        <v>44682</v>
      </c>
      <c r="AQ49" s="10">
        <v>44713</v>
      </c>
      <c r="AR49" s="10">
        <v>44743</v>
      </c>
      <c r="AS49" s="10">
        <v>44774</v>
      </c>
      <c r="AT49" s="10">
        <v>44805</v>
      </c>
      <c r="AU49" s="10">
        <v>44835</v>
      </c>
      <c r="AV49" s="10">
        <v>44866</v>
      </c>
      <c r="AW49" s="10">
        <v>44896</v>
      </c>
      <c r="AX49" s="10">
        <v>44927</v>
      </c>
      <c r="AY49" s="10">
        <v>44958</v>
      </c>
      <c r="AZ49" s="10">
        <v>44986</v>
      </c>
      <c r="BA49" s="10">
        <v>45017</v>
      </c>
      <c r="BB49" s="10">
        <v>45047</v>
      </c>
      <c r="BC49" s="10">
        <v>45078</v>
      </c>
      <c r="BD49" s="10">
        <v>45108</v>
      </c>
      <c r="BE49" s="10">
        <v>45139</v>
      </c>
      <c r="BF49" s="10">
        <v>45170</v>
      </c>
      <c r="BG49" s="10">
        <v>45200</v>
      </c>
      <c r="BH49" s="10">
        <v>45231</v>
      </c>
      <c r="BI49" s="10">
        <v>45261</v>
      </c>
      <c r="BJ49" s="10">
        <v>45292</v>
      </c>
      <c r="BK49" s="10">
        <v>45323</v>
      </c>
      <c r="BL49" s="10">
        <v>45352</v>
      </c>
      <c r="BM49" s="10">
        <v>45383</v>
      </c>
      <c r="BN49" s="10">
        <v>45413</v>
      </c>
      <c r="BO49" s="10">
        <v>45444</v>
      </c>
      <c r="BP49" s="10">
        <v>45474</v>
      </c>
      <c r="BQ49" s="10">
        <v>45505</v>
      </c>
      <c r="BR49" s="10">
        <v>45536</v>
      </c>
      <c r="BS49" s="10">
        <v>45566</v>
      </c>
      <c r="BT49" s="10">
        <v>45597</v>
      </c>
      <c r="BU49" s="10">
        <v>45627</v>
      </c>
      <c r="BV49" s="10">
        <v>45658</v>
      </c>
      <c r="BW49" s="10">
        <v>45689</v>
      </c>
      <c r="BX49" s="10">
        <v>45717</v>
      </c>
      <c r="BY49" s="10">
        <v>45748</v>
      </c>
      <c r="BZ49" s="10">
        <v>45778</v>
      </c>
      <c r="CA49" s="10">
        <v>45809</v>
      </c>
      <c r="CB49" s="10">
        <v>45839</v>
      </c>
      <c r="CC49" s="10">
        <v>45870</v>
      </c>
      <c r="CD49" s="10">
        <v>45901</v>
      </c>
      <c r="CE49" s="10">
        <v>45931</v>
      </c>
      <c r="CF49" s="10">
        <v>45962</v>
      </c>
      <c r="CG49" s="10">
        <v>45992</v>
      </c>
      <c r="CH49" s="10">
        <v>46023</v>
      </c>
    </row>
    <row r="50" spans="1:86" x14ac:dyDescent="0.25">
      <c r="A50" s="36" t="s">
        <v>60</v>
      </c>
      <c r="B50" s="32"/>
      <c r="C50" s="32"/>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85" t="s">
        <v>153</v>
      </c>
      <c r="BU50" s="286"/>
      <c r="BV50" s="29"/>
      <c r="BW50" s="29"/>
      <c r="BX50" s="29"/>
      <c r="BY50" s="29"/>
      <c r="BZ50" s="29"/>
      <c r="CA50" s="29"/>
      <c r="CB50" s="29"/>
      <c r="CC50" s="29"/>
      <c r="CD50" s="29"/>
      <c r="CE50" s="29"/>
      <c r="CF50" s="29"/>
      <c r="CG50" s="29"/>
      <c r="CH50" s="29"/>
    </row>
    <row r="51" spans="1:86" x14ac:dyDescent="0.25">
      <c r="A51" t="s">
        <v>33</v>
      </c>
      <c r="B51" s="37"/>
      <c r="C51" s="37"/>
      <c r="D51" s="41">
        <v>0</v>
      </c>
      <c r="E51" s="41">
        <v>0</v>
      </c>
      <c r="F51" s="41">
        <v>28084.31</v>
      </c>
      <c r="G51" s="41">
        <v>338961.47</v>
      </c>
      <c r="H51" s="41">
        <v>431295.26</v>
      </c>
      <c r="I51" s="41">
        <v>454282.99</v>
      </c>
      <c r="J51" s="41">
        <v>419095.06</v>
      </c>
      <c r="K51" s="41">
        <v>344369.99</v>
      </c>
      <c r="L51" s="41">
        <v>308922.03999999998</v>
      </c>
      <c r="M51" s="41">
        <v>415727.27</v>
      </c>
      <c r="N51" s="41">
        <v>459121.81</v>
      </c>
      <c r="O51" s="41">
        <v>465524.23</v>
      </c>
      <c r="P51" s="41">
        <v>420640.46</v>
      </c>
      <c r="Q51" s="41">
        <v>333131.02</v>
      </c>
      <c r="R51" s="41">
        <v>297680.28000000003</v>
      </c>
      <c r="S51" s="41">
        <v>393958.55</v>
      </c>
      <c r="T51" s="41">
        <v>529326.34</v>
      </c>
      <c r="U51" s="41">
        <v>496875.44</v>
      </c>
      <c r="V51" s="41">
        <v>447785.36</v>
      </c>
      <c r="W51" s="41">
        <v>302563.73</v>
      </c>
      <c r="X51" s="41">
        <v>322763.34999999998</v>
      </c>
      <c r="Y51" s="41">
        <v>427989.89</v>
      </c>
      <c r="Z51" s="41">
        <v>556980.75</v>
      </c>
      <c r="AA51" s="41">
        <v>1353651.15</v>
      </c>
      <c r="AB51" s="41">
        <v>1757169.11</v>
      </c>
      <c r="AC51" s="41">
        <v>1185680.5900000001</v>
      </c>
      <c r="AD51" s="41">
        <v>1113985.45</v>
      </c>
      <c r="AE51" s="41">
        <v>1461163.75</v>
      </c>
      <c r="AF51" s="41">
        <v>1930056.97</v>
      </c>
      <c r="AG51" s="41">
        <v>1969181.34</v>
      </c>
      <c r="AH51" s="41">
        <v>1934282.8</v>
      </c>
      <c r="AI51" s="42">
        <v>1339485.02</v>
      </c>
      <c r="AJ51" s="42">
        <v>1255189.19</v>
      </c>
      <c r="AK51" s="42">
        <v>1570523</v>
      </c>
      <c r="AL51" s="42">
        <v>2029998.28</v>
      </c>
      <c r="AM51" s="42">
        <v>1633369.11</v>
      </c>
      <c r="AN51" s="42">
        <v>714783.1</v>
      </c>
      <c r="AO51" s="42">
        <v>547759.59</v>
      </c>
      <c r="AP51" s="42">
        <v>512195.47</v>
      </c>
      <c r="AQ51" s="42">
        <v>651024.82999999996</v>
      </c>
      <c r="AR51" s="42">
        <v>895488.58</v>
      </c>
      <c r="AS51" s="42">
        <v>853007.9</v>
      </c>
      <c r="AT51" s="42">
        <v>710408.72</v>
      </c>
      <c r="AU51" s="42">
        <v>511382.36</v>
      </c>
      <c r="AV51" s="42">
        <v>484043.54</v>
      </c>
      <c r="AW51" s="42">
        <v>740070.25</v>
      </c>
      <c r="AX51" s="42">
        <v>888488.17</v>
      </c>
      <c r="AY51" s="42">
        <v>877032.36</v>
      </c>
      <c r="AZ51" s="42">
        <v>866898.88</v>
      </c>
      <c r="BA51" s="42">
        <v>747574.22</v>
      </c>
      <c r="BB51" s="42">
        <v>639066.06000000006</v>
      </c>
      <c r="BC51" s="42">
        <v>826550.17</v>
      </c>
      <c r="BD51" s="42">
        <v>1081582.31</v>
      </c>
      <c r="BE51" s="42">
        <v>1114808.79</v>
      </c>
      <c r="BF51" s="42">
        <v>1031141.02</v>
      </c>
      <c r="BG51" s="42">
        <v>747638.7</v>
      </c>
      <c r="BH51" s="42">
        <v>653625.79</v>
      </c>
      <c r="BI51" s="42">
        <v>910434.22</v>
      </c>
      <c r="BJ51" s="42">
        <v>1191729.8600000001</v>
      </c>
      <c r="BK51" s="42">
        <v>902975.13</v>
      </c>
      <c r="BL51" s="42">
        <v>301871.32</v>
      </c>
      <c r="BM51" s="42">
        <v>270897.64</v>
      </c>
      <c r="BN51" s="42">
        <v>245579.13</v>
      </c>
      <c r="BO51" s="42">
        <v>335264.71999999997</v>
      </c>
      <c r="BP51" s="42">
        <v>448247.77</v>
      </c>
      <c r="BQ51" s="42">
        <v>408404.26</v>
      </c>
      <c r="BR51" s="42">
        <v>387762.57</v>
      </c>
      <c r="BS51" s="42">
        <v>283021.02</v>
      </c>
      <c r="BT51" s="287">
        <f>'[1]TDR (M3)'!BT22</f>
        <v>309858.29870482441</v>
      </c>
      <c r="BU51" s="287">
        <f>'[1]TDR (M3)'!BU22</f>
        <v>391405.78792820557</v>
      </c>
      <c r="BV51" s="287">
        <f>'[1]TDR (M3)'!BV22</f>
        <v>460580.52577097504</v>
      </c>
      <c r="BW51" s="122"/>
      <c r="BX51" s="122"/>
      <c r="BY51" s="122"/>
      <c r="BZ51" s="122"/>
      <c r="CA51" s="122"/>
      <c r="CB51" s="122"/>
      <c r="CC51" s="122"/>
      <c r="CD51" s="122"/>
      <c r="CE51" s="122"/>
      <c r="CF51" s="122"/>
      <c r="CG51" s="122"/>
      <c r="CH51" s="122"/>
    </row>
    <row r="52" spans="1:86" x14ac:dyDescent="0.25">
      <c r="A52" t="s">
        <v>34</v>
      </c>
      <c r="B52" s="37"/>
      <c r="C52" s="37"/>
      <c r="D52" s="41">
        <v>0</v>
      </c>
      <c r="E52" s="41">
        <v>0</v>
      </c>
      <c r="F52" s="41">
        <v>4774.55</v>
      </c>
      <c r="G52" s="41">
        <v>61751.54</v>
      </c>
      <c r="H52" s="41">
        <v>70665.5</v>
      </c>
      <c r="I52" s="41">
        <v>72630.98</v>
      </c>
      <c r="J52" s="41">
        <v>70137.22</v>
      </c>
      <c r="K52" s="41">
        <v>63135.64</v>
      </c>
      <c r="L52" s="41">
        <v>56628.27</v>
      </c>
      <c r="M52" s="41">
        <v>66553.34</v>
      </c>
      <c r="N52" s="41">
        <v>70974.64</v>
      </c>
      <c r="O52" s="41">
        <v>74514.039999999994</v>
      </c>
      <c r="P52" s="41">
        <v>73821.710000000006</v>
      </c>
      <c r="Q52" s="41">
        <v>56719.11</v>
      </c>
      <c r="R52" s="41">
        <v>51424.73</v>
      </c>
      <c r="S52" s="41">
        <v>64574.18</v>
      </c>
      <c r="T52" s="41">
        <v>80406.710000000006</v>
      </c>
      <c r="U52" s="41">
        <v>78372.460000000006</v>
      </c>
      <c r="V52" s="41">
        <v>75020.86</v>
      </c>
      <c r="W52" s="41">
        <v>60809.53</v>
      </c>
      <c r="X52" s="41">
        <v>60774.8</v>
      </c>
      <c r="Y52" s="41">
        <v>70212.570000000007</v>
      </c>
      <c r="Z52" s="41">
        <v>83755.55</v>
      </c>
      <c r="AA52" s="41">
        <v>247981.23</v>
      </c>
      <c r="AB52" s="41">
        <v>383476.26</v>
      </c>
      <c r="AC52" s="41">
        <v>305019.12</v>
      </c>
      <c r="AD52" s="41">
        <v>298211.62</v>
      </c>
      <c r="AE52" s="41">
        <v>355738.71</v>
      </c>
      <c r="AF52" s="41">
        <v>421100.95</v>
      </c>
      <c r="AG52" s="41">
        <v>421260.25</v>
      </c>
      <c r="AH52" s="41">
        <v>425647.35</v>
      </c>
      <c r="AI52" s="42">
        <v>355043.17</v>
      </c>
      <c r="AJ52" s="42">
        <v>317440.44</v>
      </c>
      <c r="AK52" s="42">
        <v>361675.89</v>
      </c>
      <c r="AL52" s="42">
        <v>427108.58</v>
      </c>
      <c r="AM52" s="42">
        <v>352548.03</v>
      </c>
      <c r="AN52" s="42">
        <v>202576.3</v>
      </c>
      <c r="AO52" s="42">
        <v>179190.8</v>
      </c>
      <c r="AP52" s="42">
        <v>173555.15</v>
      </c>
      <c r="AQ52" s="42">
        <v>201857.14</v>
      </c>
      <c r="AR52" s="42">
        <v>241561.15</v>
      </c>
      <c r="AS52" s="42">
        <v>236616.94</v>
      </c>
      <c r="AT52" s="42">
        <v>216950.84</v>
      </c>
      <c r="AU52" s="42">
        <v>178443.25</v>
      </c>
      <c r="AV52" s="42">
        <v>170114.82</v>
      </c>
      <c r="AW52" s="42">
        <v>212488.19</v>
      </c>
      <c r="AX52" s="42">
        <v>243116.99</v>
      </c>
      <c r="AY52" s="42">
        <v>187551.07</v>
      </c>
      <c r="AZ52" s="42">
        <v>136792.68</v>
      </c>
      <c r="BA52" s="42">
        <v>125661.64</v>
      </c>
      <c r="BB52" s="42">
        <v>115949.34</v>
      </c>
      <c r="BC52" s="42">
        <v>139369.25</v>
      </c>
      <c r="BD52" s="42">
        <v>161718.04</v>
      </c>
      <c r="BE52" s="42">
        <v>165200.46</v>
      </c>
      <c r="BF52" s="42">
        <v>159904.26</v>
      </c>
      <c r="BG52" s="42">
        <v>135422.35</v>
      </c>
      <c r="BH52" s="42">
        <v>124505.35</v>
      </c>
      <c r="BI52" s="42">
        <v>143114.57999999999</v>
      </c>
      <c r="BJ52" s="42">
        <v>172661.94</v>
      </c>
      <c r="BK52" s="42">
        <v>182184.47</v>
      </c>
      <c r="BL52" s="42">
        <v>166367.26999999999</v>
      </c>
      <c r="BM52" s="42">
        <v>161733.9</v>
      </c>
      <c r="BN52" s="42">
        <v>154028.51</v>
      </c>
      <c r="BO52" s="42">
        <v>188258.77</v>
      </c>
      <c r="BP52" s="42">
        <v>225103.9</v>
      </c>
      <c r="BQ52" s="42">
        <v>211259.27</v>
      </c>
      <c r="BR52" s="42">
        <v>205684.72</v>
      </c>
      <c r="BS52" s="42">
        <v>173502.18</v>
      </c>
      <c r="BT52" s="287">
        <f>'[1]TDR (M3)'!BT23</f>
        <v>163003.31398066776</v>
      </c>
      <c r="BU52" s="287">
        <f>'[1]TDR (M3)'!BU23</f>
        <v>195117.55307211404</v>
      </c>
      <c r="BV52" s="287">
        <f>'[1]TDR (M3)'!BV23</f>
        <v>219449.73927501347</v>
      </c>
      <c r="BW52" s="122"/>
      <c r="BX52" s="122"/>
      <c r="BY52" s="122"/>
      <c r="BZ52" s="122"/>
      <c r="CA52" s="122"/>
      <c r="CB52" s="122"/>
      <c r="CC52" s="122"/>
      <c r="CD52" s="122"/>
      <c r="CE52" s="122"/>
      <c r="CF52" s="122"/>
      <c r="CG52" s="122"/>
      <c r="CH52" s="122"/>
    </row>
    <row r="53" spans="1:86" x14ac:dyDescent="0.25">
      <c r="A53" t="s">
        <v>35</v>
      </c>
      <c r="B53" s="37"/>
      <c r="C53" s="37"/>
      <c r="D53" s="41">
        <v>0</v>
      </c>
      <c r="E53" s="41">
        <v>0</v>
      </c>
      <c r="F53" s="41">
        <v>7030.01</v>
      </c>
      <c r="G53" s="41">
        <v>109921.60000000001</v>
      </c>
      <c r="H53" s="41">
        <v>118808.51</v>
      </c>
      <c r="I53" s="41">
        <v>121642.28</v>
      </c>
      <c r="J53" s="41">
        <v>122769.41</v>
      </c>
      <c r="K53" s="41">
        <v>112787.98</v>
      </c>
      <c r="L53" s="41">
        <v>99578.23</v>
      </c>
      <c r="M53" s="41">
        <v>107954.61</v>
      </c>
      <c r="N53" s="41">
        <v>111669.28</v>
      </c>
      <c r="O53" s="41">
        <v>108510.2</v>
      </c>
      <c r="P53" s="41">
        <v>102469.35</v>
      </c>
      <c r="Q53" s="41">
        <v>87569.04</v>
      </c>
      <c r="R53" s="41">
        <v>81676.990000000005</v>
      </c>
      <c r="S53" s="41">
        <v>96788.800000000003</v>
      </c>
      <c r="T53" s="41">
        <v>113009.35</v>
      </c>
      <c r="U53" s="41">
        <v>112596.34</v>
      </c>
      <c r="V53" s="41">
        <v>112065.74</v>
      </c>
      <c r="W53" s="41">
        <v>95621.75</v>
      </c>
      <c r="X53" s="41">
        <v>93151.01</v>
      </c>
      <c r="Y53" s="41">
        <v>100114.88</v>
      </c>
      <c r="Z53" s="41">
        <v>107296.64</v>
      </c>
      <c r="AA53" s="41">
        <v>327311.55</v>
      </c>
      <c r="AB53" s="41">
        <v>570755.55000000005</v>
      </c>
      <c r="AC53" s="41">
        <v>508276</v>
      </c>
      <c r="AD53" s="41">
        <v>517711.44</v>
      </c>
      <c r="AE53" s="41">
        <v>575315.39</v>
      </c>
      <c r="AF53" s="41">
        <v>673826.02</v>
      </c>
      <c r="AG53" s="41">
        <v>667802.68999999994</v>
      </c>
      <c r="AH53" s="41">
        <v>680633.38</v>
      </c>
      <c r="AI53" s="42">
        <v>598281.09</v>
      </c>
      <c r="AJ53" s="42">
        <v>531580.77</v>
      </c>
      <c r="AK53" s="42">
        <v>580996.63</v>
      </c>
      <c r="AL53" s="42">
        <v>621109.79</v>
      </c>
      <c r="AM53" s="42">
        <v>504253.87</v>
      </c>
      <c r="AN53" s="42">
        <v>301892.69</v>
      </c>
      <c r="AO53" s="42">
        <v>280545.46999999997</v>
      </c>
      <c r="AP53" s="42">
        <v>290164.87</v>
      </c>
      <c r="AQ53" s="42">
        <v>325613.77</v>
      </c>
      <c r="AR53" s="42">
        <v>365143.97</v>
      </c>
      <c r="AS53" s="42">
        <v>362549.21</v>
      </c>
      <c r="AT53" s="42">
        <v>346741.86</v>
      </c>
      <c r="AU53" s="42">
        <v>297961.13</v>
      </c>
      <c r="AV53" s="42">
        <v>289745.45</v>
      </c>
      <c r="AW53" s="42">
        <v>322981.7</v>
      </c>
      <c r="AX53" s="42">
        <v>335255.09999999998</v>
      </c>
      <c r="AY53" s="42">
        <v>503655.97</v>
      </c>
      <c r="AZ53" s="42">
        <v>786219.87</v>
      </c>
      <c r="BA53" s="42">
        <v>753502.02</v>
      </c>
      <c r="BB53" s="42">
        <v>749883.21</v>
      </c>
      <c r="BC53" s="42">
        <v>846049.12</v>
      </c>
      <c r="BD53" s="42">
        <v>910940.94</v>
      </c>
      <c r="BE53" s="42">
        <v>943469.07</v>
      </c>
      <c r="BF53" s="42">
        <v>944687.32</v>
      </c>
      <c r="BG53" s="42">
        <v>830714.65</v>
      </c>
      <c r="BH53" s="42">
        <v>765733.92</v>
      </c>
      <c r="BI53" s="42">
        <v>816557.84</v>
      </c>
      <c r="BJ53" s="42">
        <v>899820.37</v>
      </c>
      <c r="BK53" s="42">
        <v>678121.62</v>
      </c>
      <c r="BL53" s="42">
        <v>394853.96</v>
      </c>
      <c r="BM53" s="42">
        <v>390347.84</v>
      </c>
      <c r="BN53" s="42">
        <v>392311.86</v>
      </c>
      <c r="BO53" s="42">
        <v>444401.89</v>
      </c>
      <c r="BP53" s="42">
        <v>501845.24</v>
      </c>
      <c r="BQ53" s="42">
        <v>470958.47</v>
      </c>
      <c r="BR53" s="42">
        <v>471187.07</v>
      </c>
      <c r="BS53" s="42">
        <v>420272.21</v>
      </c>
      <c r="BT53" s="287">
        <f>'[1]TDR (M3)'!BT24</f>
        <v>399198.07514596864</v>
      </c>
      <c r="BU53" s="287">
        <f>'[1]TDR (M3)'!BU24</f>
        <v>439298.2949126719</v>
      </c>
      <c r="BV53" s="287">
        <f>'[1]TDR (M3)'!BV24</f>
        <v>461628.46892766497</v>
      </c>
      <c r="BW53" s="122"/>
      <c r="BX53" s="122"/>
      <c r="BY53" s="122"/>
      <c r="BZ53" s="122"/>
      <c r="CA53" s="122"/>
      <c r="CB53" s="122"/>
      <c r="CC53" s="122"/>
      <c r="CD53" s="122"/>
      <c r="CE53" s="122"/>
      <c r="CF53" s="122"/>
      <c r="CG53" s="122"/>
      <c r="CH53" s="122"/>
    </row>
    <row r="54" spans="1:86" x14ac:dyDescent="0.25">
      <c r="A54" t="s">
        <v>36</v>
      </c>
      <c r="B54" s="37"/>
      <c r="C54" s="37"/>
      <c r="D54" s="41">
        <v>0</v>
      </c>
      <c r="E54" s="41">
        <v>0</v>
      </c>
      <c r="F54" s="41">
        <v>2496.56</v>
      </c>
      <c r="G54" s="41">
        <v>42291.09</v>
      </c>
      <c r="H54" s="41">
        <v>47913.74</v>
      </c>
      <c r="I54" s="41">
        <v>50299.83</v>
      </c>
      <c r="J54" s="41">
        <v>49993.73</v>
      </c>
      <c r="K54" s="41">
        <v>46326.65</v>
      </c>
      <c r="L54" s="41">
        <v>42840.77</v>
      </c>
      <c r="M54" s="41">
        <v>43135.040000000001</v>
      </c>
      <c r="N54" s="41">
        <v>44374.04</v>
      </c>
      <c r="O54" s="41">
        <v>45259.54</v>
      </c>
      <c r="P54" s="41">
        <v>39182.19</v>
      </c>
      <c r="Q54" s="41">
        <v>38273.29</v>
      </c>
      <c r="R54" s="41">
        <v>36030.870000000003</v>
      </c>
      <c r="S54" s="41">
        <v>41962.67</v>
      </c>
      <c r="T54" s="41">
        <v>44167.05</v>
      </c>
      <c r="U54" s="41">
        <v>46294.41</v>
      </c>
      <c r="V54" s="41">
        <v>46306.19</v>
      </c>
      <c r="W54" s="41">
        <v>41160.14</v>
      </c>
      <c r="X54" s="41">
        <v>40868.620000000003</v>
      </c>
      <c r="Y54" s="41">
        <v>42762.14</v>
      </c>
      <c r="Z54" s="41">
        <v>41986.66</v>
      </c>
      <c r="AA54" s="41">
        <v>113037.43</v>
      </c>
      <c r="AB54" s="41">
        <v>187949.41</v>
      </c>
      <c r="AC54" s="41">
        <v>188602.4</v>
      </c>
      <c r="AD54" s="41">
        <v>195382.67</v>
      </c>
      <c r="AE54" s="41">
        <v>188207.84</v>
      </c>
      <c r="AF54" s="41">
        <v>251615.09</v>
      </c>
      <c r="AG54" s="41">
        <v>231015.31</v>
      </c>
      <c r="AH54" s="41">
        <v>233947.55</v>
      </c>
      <c r="AI54" s="42">
        <v>202010.25</v>
      </c>
      <c r="AJ54" s="42">
        <v>176212.48000000001</v>
      </c>
      <c r="AK54" s="42">
        <v>231619.08</v>
      </c>
      <c r="AL54" s="42">
        <v>223678.57</v>
      </c>
      <c r="AM54" s="42">
        <v>167453.84</v>
      </c>
      <c r="AN54" s="42">
        <v>87280.08</v>
      </c>
      <c r="AO54" s="42">
        <v>74518.28</v>
      </c>
      <c r="AP54" s="42">
        <v>87009.31</v>
      </c>
      <c r="AQ54" s="42">
        <v>99059.55</v>
      </c>
      <c r="AR54" s="42">
        <v>102989.08</v>
      </c>
      <c r="AS54" s="42">
        <v>102162.93</v>
      </c>
      <c r="AT54" s="42">
        <v>99521.61</v>
      </c>
      <c r="AU54" s="42">
        <v>88233.75</v>
      </c>
      <c r="AV54" s="42">
        <v>89104.03</v>
      </c>
      <c r="AW54" s="42">
        <v>92492.2</v>
      </c>
      <c r="AX54" s="42">
        <v>88054.05</v>
      </c>
      <c r="AY54" s="42">
        <v>120533.48</v>
      </c>
      <c r="AZ54" s="42">
        <v>193175.07</v>
      </c>
      <c r="BA54" s="42">
        <v>200125.64</v>
      </c>
      <c r="BB54" s="42">
        <v>199975.26</v>
      </c>
      <c r="BC54" s="42">
        <v>209103.63</v>
      </c>
      <c r="BD54" s="42">
        <v>214447.91</v>
      </c>
      <c r="BE54" s="42">
        <v>242601.69</v>
      </c>
      <c r="BF54" s="42">
        <v>231833.74</v>
      </c>
      <c r="BG54" s="42">
        <v>201281.09</v>
      </c>
      <c r="BH54" s="42">
        <v>202710.95</v>
      </c>
      <c r="BI54" s="42">
        <v>199303.11</v>
      </c>
      <c r="BJ54" s="42">
        <v>210550.35</v>
      </c>
      <c r="BK54" s="42">
        <v>168623.56</v>
      </c>
      <c r="BL54" s="42">
        <v>84037.78</v>
      </c>
      <c r="BM54" s="42">
        <v>76596.08</v>
      </c>
      <c r="BN54" s="42">
        <v>80331.31</v>
      </c>
      <c r="BO54" s="42">
        <v>87580.99</v>
      </c>
      <c r="BP54" s="42">
        <v>94051.1</v>
      </c>
      <c r="BQ54" s="42">
        <v>88881.49</v>
      </c>
      <c r="BR54" s="42">
        <v>87211.46</v>
      </c>
      <c r="BS54" s="42">
        <v>85590.09</v>
      </c>
      <c r="BT54" s="287">
        <f>'[1]TDR (M3)'!BT25</f>
        <v>81524.150058755928</v>
      </c>
      <c r="BU54" s="287">
        <f>'[1]TDR (M3)'!BU25</f>
        <v>86196.342512000105</v>
      </c>
      <c r="BV54" s="287">
        <f>'[1]TDR (M3)'!BV25</f>
        <v>89922.413412669499</v>
      </c>
      <c r="BW54" s="122"/>
      <c r="BX54" s="122"/>
      <c r="BY54" s="122"/>
      <c r="BZ54" s="122"/>
      <c r="CA54" s="122"/>
      <c r="CB54" s="122"/>
      <c r="CC54" s="122"/>
      <c r="CD54" s="122"/>
      <c r="CE54" s="122"/>
      <c r="CF54" s="122"/>
      <c r="CG54" s="122"/>
      <c r="CH54" s="122"/>
    </row>
    <row r="55" spans="1:86" x14ac:dyDescent="0.25">
      <c r="A55" t="s">
        <v>37</v>
      </c>
      <c r="B55" s="37"/>
      <c r="C55" s="37"/>
      <c r="D55" s="41">
        <v>0</v>
      </c>
      <c r="E55" s="41">
        <v>0</v>
      </c>
      <c r="F55" s="41">
        <v>0</v>
      </c>
      <c r="G55" s="41">
        <v>4678.1400000000003</v>
      </c>
      <c r="H55" s="41">
        <v>7353.04</v>
      </c>
      <c r="I55" s="41">
        <v>8142.09</v>
      </c>
      <c r="J55" s="41">
        <v>8251.43</v>
      </c>
      <c r="K55" s="41">
        <v>7783.91</v>
      </c>
      <c r="L55" s="41">
        <v>6912.68</v>
      </c>
      <c r="M55" s="41">
        <v>6504.34</v>
      </c>
      <c r="N55" s="41">
        <v>6883.48</v>
      </c>
      <c r="O55" s="41">
        <v>11571.12</v>
      </c>
      <c r="P55" s="41">
        <v>19931.79</v>
      </c>
      <c r="Q55" s="41">
        <v>21827.09</v>
      </c>
      <c r="R55" s="41">
        <v>22161.01</v>
      </c>
      <c r="S55" s="41">
        <v>17306.599999999999</v>
      </c>
      <c r="T55" s="41">
        <v>24911.24</v>
      </c>
      <c r="U55" s="41">
        <v>25659.02</v>
      </c>
      <c r="V55" s="41">
        <v>26024.15</v>
      </c>
      <c r="W55" s="41">
        <v>22923.1</v>
      </c>
      <c r="X55" s="41">
        <v>22483.33</v>
      </c>
      <c r="Y55" s="41">
        <v>22959.24</v>
      </c>
      <c r="Z55" s="41">
        <v>20997.32</v>
      </c>
      <c r="AA55" s="41">
        <v>34921.4</v>
      </c>
      <c r="AB55" s="41">
        <v>24946.880000000001</v>
      </c>
      <c r="AC55" s="41">
        <v>42288.49</v>
      </c>
      <c r="AD55" s="41">
        <v>42963.199999999997</v>
      </c>
      <c r="AE55" s="41">
        <v>41464.47</v>
      </c>
      <c r="AF55" s="41">
        <v>52916.49</v>
      </c>
      <c r="AG55" s="41">
        <v>50374.33</v>
      </c>
      <c r="AH55" s="41">
        <v>54469.919999999998</v>
      </c>
      <c r="AI55" s="42">
        <v>49925.55</v>
      </c>
      <c r="AJ55" s="42">
        <v>33144.800000000003</v>
      </c>
      <c r="AK55" s="42">
        <v>46471.67</v>
      </c>
      <c r="AL55" s="42">
        <v>43301.11</v>
      </c>
      <c r="AM55" s="42">
        <v>35959.279999999999</v>
      </c>
      <c r="AN55" s="42">
        <v>6497.26</v>
      </c>
      <c r="AO55" s="42">
        <v>-22925.25</v>
      </c>
      <c r="AP55" s="42">
        <v>5065.87</v>
      </c>
      <c r="AQ55" s="42">
        <v>6175.37</v>
      </c>
      <c r="AR55" s="42">
        <v>7084.63</v>
      </c>
      <c r="AS55" s="42">
        <v>7005.11</v>
      </c>
      <c r="AT55" s="42">
        <v>7302.95</v>
      </c>
      <c r="AU55" s="42">
        <v>6273.92</v>
      </c>
      <c r="AV55" s="42">
        <v>6266.68</v>
      </c>
      <c r="AW55" s="42">
        <v>6152.05</v>
      </c>
      <c r="AX55" s="42">
        <v>5193.43</v>
      </c>
      <c r="AY55" s="42">
        <v>7679.01</v>
      </c>
      <c r="AZ55" s="42">
        <v>21723.21</v>
      </c>
      <c r="BA55" s="42">
        <v>21854.95</v>
      </c>
      <c r="BB55" s="42">
        <v>22860.41</v>
      </c>
      <c r="BC55" s="42">
        <v>27496.560000000001</v>
      </c>
      <c r="BD55" s="42">
        <v>25753.58</v>
      </c>
      <c r="BE55" s="42">
        <v>29526.94</v>
      </c>
      <c r="BF55" s="42">
        <v>32202.720000000001</v>
      </c>
      <c r="BG55" s="42">
        <v>32474.48</v>
      </c>
      <c r="BH55" s="42">
        <v>28952.26</v>
      </c>
      <c r="BI55" s="42">
        <v>32597.200000000001</v>
      </c>
      <c r="BJ55" s="42">
        <v>28562.54</v>
      </c>
      <c r="BK55" s="42">
        <v>20444.849999999999</v>
      </c>
      <c r="BL55" s="42">
        <v>14661.1</v>
      </c>
      <c r="BM55" s="42">
        <v>14188.33</v>
      </c>
      <c r="BN55" s="42">
        <v>17263.419999999998</v>
      </c>
      <c r="BO55" s="42">
        <v>17504.25</v>
      </c>
      <c r="BP55" s="42">
        <v>20201.560000000001</v>
      </c>
      <c r="BQ55" s="42">
        <v>19905.560000000001</v>
      </c>
      <c r="BR55" s="42">
        <v>17391.68</v>
      </c>
      <c r="BS55" s="42">
        <v>17371.310000000001</v>
      </c>
      <c r="BT55" s="287">
        <f>'[1]TDR (M3)'!BT26</f>
        <v>16810.834836388542</v>
      </c>
      <c r="BU55" s="287">
        <f>'[1]TDR (M3)'!BU26</f>
        <v>16621.425025293112</v>
      </c>
      <c r="BV55" s="287">
        <f>'[1]TDR (M3)'!BV26</f>
        <v>16558.441077042335</v>
      </c>
      <c r="BW55" s="122"/>
      <c r="BX55" s="122"/>
      <c r="BY55" s="122"/>
      <c r="BZ55" s="122"/>
      <c r="CA55" s="122"/>
      <c r="CB55" s="122"/>
      <c r="CC55" s="122"/>
      <c r="CD55" s="122"/>
      <c r="CE55" s="122"/>
      <c r="CF55" s="122"/>
      <c r="CG55" s="122"/>
      <c r="CH55" s="122"/>
    </row>
    <row r="56" spans="1:86" x14ac:dyDescent="0.25">
      <c r="A56" s="33" t="s">
        <v>31</v>
      </c>
      <c r="B56" s="31"/>
      <c r="C56" s="31"/>
      <c r="D56" s="44">
        <f>SUM(D51:D55)</f>
        <v>0</v>
      </c>
      <c r="E56" s="44">
        <f t="shared" ref="E56:AW56" si="124">SUM(E51:E55)</f>
        <v>0</v>
      </c>
      <c r="F56" s="44">
        <f t="shared" si="124"/>
        <v>42385.43</v>
      </c>
      <c r="G56" s="44">
        <f t="shared" si="124"/>
        <v>557603.83999999997</v>
      </c>
      <c r="H56" s="44">
        <f t="shared" si="124"/>
        <v>676036.05</v>
      </c>
      <c r="I56" s="44">
        <f t="shared" si="124"/>
        <v>706998.16999999993</v>
      </c>
      <c r="J56" s="44">
        <f t="shared" si="124"/>
        <v>670246.85000000009</v>
      </c>
      <c r="K56" s="44">
        <f t="shared" si="124"/>
        <v>574404.17000000004</v>
      </c>
      <c r="L56" s="44">
        <f t="shared" si="124"/>
        <v>514881.99</v>
      </c>
      <c r="M56" s="44">
        <f t="shared" si="124"/>
        <v>639874.6</v>
      </c>
      <c r="N56" s="44">
        <f t="shared" si="124"/>
        <v>693023.25</v>
      </c>
      <c r="O56" s="44">
        <f t="shared" si="124"/>
        <v>705379.13</v>
      </c>
      <c r="P56" s="44">
        <f t="shared" si="124"/>
        <v>656045.5</v>
      </c>
      <c r="Q56" s="44">
        <f t="shared" si="124"/>
        <v>537519.54999999993</v>
      </c>
      <c r="R56" s="44">
        <f t="shared" si="124"/>
        <v>488973.88</v>
      </c>
      <c r="S56" s="44">
        <f t="shared" si="124"/>
        <v>614590.80000000005</v>
      </c>
      <c r="T56" s="44">
        <f t="shared" si="124"/>
        <v>791820.69</v>
      </c>
      <c r="U56" s="44">
        <f t="shared" si="124"/>
        <v>759797.67</v>
      </c>
      <c r="V56" s="44">
        <f t="shared" si="124"/>
        <v>707202.29999999993</v>
      </c>
      <c r="W56" s="44">
        <f t="shared" si="124"/>
        <v>523078.25</v>
      </c>
      <c r="X56" s="44">
        <f t="shared" si="124"/>
        <v>540041.11</v>
      </c>
      <c r="Y56" s="44">
        <f t="shared" si="124"/>
        <v>664038.72000000009</v>
      </c>
      <c r="Z56" s="44">
        <f t="shared" si="124"/>
        <v>811016.92</v>
      </c>
      <c r="AA56" s="44">
        <f t="shared" si="124"/>
        <v>2076902.7599999998</v>
      </c>
      <c r="AB56" s="44">
        <f t="shared" si="124"/>
        <v>2924297.21</v>
      </c>
      <c r="AC56" s="44">
        <f t="shared" si="124"/>
        <v>2229866.6</v>
      </c>
      <c r="AD56" s="44">
        <f t="shared" si="124"/>
        <v>2168254.38</v>
      </c>
      <c r="AE56" s="44">
        <f t="shared" si="124"/>
        <v>2621890.16</v>
      </c>
      <c r="AF56" s="44">
        <f t="shared" si="124"/>
        <v>3329515.52</v>
      </c>
      <c r="AG56" s="44">
        <f t="shared" si="124"/>
        <v>3339633.92</v>
      </c>
      <c r="AH56" s="44">
        <f t="shared" si="124"/>
        <v>3328980.9999999995</v>
      </c>
      <c r="AI56" s="44">
        <f t="shared" si="124"/>
        <v>2544745.0799999996</v>
      </c>
      <c r="AJ56" s="44">
        <f t="shared" si="124"/>
        <v>2313567.6799999997</v>
      </c>
      <c r="AK56" s="44">
        <f t="shared" si="124"/>
        <v>2791286.27</v>
      </c>
      <c r="AL56" s="44">
        <f t="shared" si="124"/>
        <v>3345196.3299999996</v>
      </c>
      <c r="AM56" s="44">
        <f t="shared" si="124"/>
        <v>2693584.13</v>
      </c>
      <c r="AN56" s="44">
        <f t="shared" si="124"/>
        <v>1313029.43</v>
      </c>
      <c r="AO56" s="44">
        <f t="shared" si="124"/>
        <v>1059088.8899999999</v>
      </c>
      <c r="AP56" s="44">
        <f t="shared" si="124"/>
        <v>1067990.6700000002</v>
      </c>
      <c r="AQ56" s="44">
        <f t="shared" si="124"/>
        <v>1283730.6600000001</v>
      </c>
      <c r="AR56" s="44">
        <f t="shared" si="124"/>
        <v>1612267.41</v>
      </c>
      <c r="AS56" s="44">
        <f t="shared" si="124"/>
        <v>1561342.09</v>
      </c>
      <c r="AT56" s="44">
        <f t="shared" si="124"/>
        <v>1380925.98</v>
      </c>
      <c r="AU56" s="44">
        <f t="shared" si="124"/>
        <v>1082294.4099999999</v>
      </c>
      <c r="AV56" s="44">
        <f t="shared" ref="AV56" si="125">SUM(AV51:AV55)</f>
        <v>1039274.5200000001</v>
      </c>
      <c r="AW56" s="44">
        <f t="shared" si="124"/>
        <v>1374184.39</v>
      </c>
      <c r="AX56" s="44">
        <f t="shared" ref="AX56:AY56" si="126">SUM(AX51:AX55)</f>
        <v>1560107.7400000002</v>
      </c>
      <c r="AY56" s="44">
        <f t="shared" si="126"/>
        <v>1696451.89</v>
      </c>
      <c r="AZ56" s="44">
        <f t="shared" ref="AZ56:BA56" si="127">SUM(AZ51:AZ55)</f>
        <v>2004809.7100000002</v>
      </c>
      <c r="BA56" s="44">
        <f t="shared" si="127"/>
        <v>1848718.47</v>
      </c>
      <c r="BB56" s="44">
        <f t="shared" ref="BB56:BC56" si="128">SUM(BB51:BB55)</f>
        <v>1727734.2799999998</v>
      </c>
      <c r="BC56" s="44">
        <f t="shared" si="128"/>
        <v>2048568.73</v>
      </c>
      <c r="BD56" s="44">
        <f t="shared" ref="BD56:BE56" si="129">SUM(BD51:BD55)</f>
        <v>2394442.7800000003</v>
      </c>
      <c r="BE56" s="44">
        <f t="shared" si="129"/>
        <v>2495606.9499999997</v>
      </c>
      <c r="BF56" s="44">
        <f t="shared" ref="BF56:BG56" si="130">SUM(BF51:BF55)</f>
        <v>2399769.06</v>
      </c>
      <c r="BG56" s="44">
        <f t="shared" si="130"/>
        <v>1947531.27</v>
      </c>
      <c r="BH56" s="44">
        <f t="shared" ref="BH56:BI56" si="131">SUM(BH51:BH55)</f>
        <v>1775528.27</v>
      </c>
      <c r="BI56" s="44">
        <f t="shared" si="131"/>
        <v>2102006.9500000002</v>
      </c>
      <c r="BJ56" s="44">
        <f t="shared" ref="BJ56:BK56" si="132">SUM(BJ51:BJ55)</f>
        <v>2503325.06</v>
      </c>
      <c r="BK56" s="44">
        <f t="shared" si="132"/>
        <v>1952349.6300000004</v>
      </c>
      <c r="BL56" s="44">
        <f t="shared" ref="BL56:BM56" si="133">SUM(BL51:BL55)</f>
        <v>961791.43</v>
      </c>
      <c r="BM56" s="44">
        <f t="shared" si="133"/>
        <v>913763.79</v>
      </c>
      <c r="BN56" s="44">
        <f t="shared" ref="BN56:BO56" si="134">SUM(BN51:BN55)</f>
        <v>889514.2300000001</v>
      </c>
      <c r="BO56" s="44">
        <f t="shared" si="134"/>
        <v>1073010.6200000001</v>
      </c>
      <c r="BP56" s="44">
        <f t="shared" ref="BP56:BQ56" si="135">SUM(BP51:BP55)</f>
        <v>1289449.5700000003</v>
      </c>
      <c r="BQ56" s="44">
        <f t="shared" si="135"/>
        <v>1199409.05</v>
      </c>
      <c r="BR56" s="44">
        <f t="shared" ref="BR56:CH56" si="136">SUM(BR51:BR55)</f>
        <v>1169237.5</v>
      </c>
      <c r="BS56" s="44">
        <f t="shared" si="136"/>
        <v>979756.81</v>
      </c>
      <c r="BT56" s="44">
        <f t="shared" si="136"/>
        <v>970394.6727266052</v>
      </c>
      <c r="BU56" s="44">
        <f t="shared" si="136"/>
        <v>1128639.4034502846</v>
      </c>
      <c r="BV56" s="44">
        <f t="shared" si="136"/>
        <v>1248139.5884633653</v>
      </c>
      <c r="BW56" s="44">
        <f t="shared" si="136"/>
        <v>0</v>
      </c>
      <c r="BX56" s="44">
        <f t="shared" si="136"/>
        <v>0</v>
      </c>
      <c r="BY56" s="44">
        <f t="shared" si="136"/>
        <v>0</v>
      </c>
      <c r="BZ56" s="44">
        <f t="shared" si="136"/>
        <v>0</v>
      </c>
      <c r="CA56" s="44">
        <f t="shared" si="136"/>
        <v>0</v>
      </c>
      <c r="CB56" s="44">
        <f t="shared" si="136"/>
        <v>0</v>
      </c>
      <c r="CC56" s="44">
        <f t="shared" si="136"/>
        <v>0</v>
      </c>
      <c r="CD56" s="44">
        <f t="shared" si="136"/>
        <v>0</v>
      </c>
      <c r="CE56" s="44">
        <f t="shared" si="136"/>
        <v>0</v>
      </c>
      <c r="CF56" s="44">
        <f t="shared" si="136"/>
        <v>0</v>
      </c>
      <c r="CG56" s="44">
        <f t="shared" si="136"/>
        <v>0</v>
      </c>
      <c r="CH56" s="44">
        <f t="shared" si="136"/>
        <v>0</v>
      </c>
    </row>
    <row r="57" spans="1:86" x14ac:dyDescent="0.25">
      <c r="A57" s="33"/>
      <c r="B57" s="31"/>
      <c r="C57" s="31"/>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285" t="s">
        <v>154</v>
      </c>
      <c r="BU57" s="288"/>
      <c r="BV57" s="80"/>
      <c r="BW57" s="80"/>
      <c r="BX57" s="80"/>
      <c r="BY57" s="80"/>
      <c r="BZ57" s="80"/>
      <c r="CA57" s="80"/>
      <c r="CB57" s="80"/>
      <c r="CC57" s="80"/>
      <c r="CD57" s="80"/>
      <c r="CE57" s="80"/>
      <c r="CF57" s="80"/>
      <c r="CG57" s="80"/>
      <c r="CH57" s="80"/>
    </row>
    <row r="58" spans="1:86" x14ac:dyDescent="0.25">
      <c r="A58" s="36" t="s">
        <v>61</v>
      </c>
      <c r="B58" s="37"/>
      <c r="C58" s="37"/>
      <c r="D58" s="41">
        <v>0</v>
      </c>
      <c r="E58" s="41">
        <v>0</v>
      </c>
      <c r="F58" s="41">
        <v>-923.75</v>
      </c>
      <c r="G58" s="41">
        <v>-10157.06</v>
      </c>
      <c r="H58" s="41">
        <v>-12455.509999999998</v>
      </c>
      <c r="I58" s="41">
        <v>-13265.509999999998</v>
      </c>
      <c r="J58" s="41">
        <v>-12079.850000000002</v>
      </c>
      <c r="K58" s="110">
        <v>-10230.949999999997</v>
      </c>
      <c r="L58" s="41">
        <v>-11242.28</v>
      </c>
      <c r="M58" s="41">
        <v>-15494.33</v>
      </c>
      <c r="N58" s="41">
        <v>-17112.689999999999</v>
      </c>
      <c r="O58" s="41">
        <v>-17916.879999999997</v>
      </c>
      <c r="P58" s="41">
        <v>-16196.53</v>
      </c>
      <c r="Q58" s="41">
        <v>-11729.169999999998</v>
      </c>
      <c r="R58" s="41">
        <v>-9666.880000000001</v>
      </c>
      <c r="S58" s="41">
        <v>-10964.7</v>
      </c>
      <c r="T58" s="41">
        <v>-14109.349999999999</v>
      </c>
      <c r="U58" s="41">
        <v>-13038.06</v>
      </c>
      <c r="V58" s="41">
        <v>-11941.109999999999</v>
      </c>
      <c r="W58" s="41">
        <v>-8935.6699999999983</v>
      </c>
      <c r="X58" s="41">
        <v>-10579.18</v>
      </c>
      <c r="Y58" s="41">
        <v>-14636.740000000002</v>
      </c>
      <c r="Z58" s="41">
        <v>-19698.789999999997</v>
      </c>
      <c r="AA58" s="41">
        <v>-48385.84</v>
      </c>
      <c r="AB58" s="41">
        <v>-64618.5</v>
      </c>
      <c r="AC58" s="41">
        <v>-42103.360000000001</v>
      </c>
      <c r="AD58" s="41">
        <v>-36788.399999999994</v>
      </c>
      <c r="AE58" s="41">
        <v>-41724.590000000004</v>
      </c>
      <c r="AF58" s="41">
        <v>-54881.069999999992</v>
      </c>
      <c r="AG58" s="41">
        <v>-55914.9</v>
      </c>
      <c r="AH58" s="41">
        <v>-55481.14</v>
      </c>
      <c r="AI58" s="42">
        <v>-39206.850000000013</v>
      </c>
      <c r="AJ58" s="42">
        <v>-42360.3</v>
      </c>
      <c r="AK58" s="42">
        <v>-54472.2</v>
      </c>
      <c r="AL58" s="42">
        <v>-66993.759999999995</v>
      </c>
      <c r="AM58" s="42">
        <v>-58621.54</v>
      </c>
      <c r="AN58" s="42">
        <v>-25799.879999999997</v>
      </c>
      <c r="AO58" s="42">
        <v>-19928.739999999994</v>
      </c>
      <c r="AP58" s="42">
        <v>-16836.810000000001</v>
      </c>
      <c r="AQ58" s="42">
        <v>-19254.710000000003</v>
      </c>
      <c r="AR58" s="42">
        <v>-26122.889999999996</v>
      </c>
      <c r="AS58" s="42">
        <v>-25874.140000000003</v>
      </c>
      <c r="AT58" s="42">
        <v>-22617.429999999997</v>
      </c>
      <c r="AU58" s="42">
        <v>-17799.38</v>
      </c>
      <c r="AV58" s="42">
        <v>-18696.190000000002</v>
      </c>
      <c r="AW58" s="42">
        <v>-30479.339999999997</v>
      </c>
      <c r="AX58" s="42">
        <v>-37208.44</v>
      </c>
      <c r="AY58" s="42">
        <v>-37987.630000000005</v>
      </c>
      <c r="AZ58" s="42">
        <v>-38676.790000000008</v>
      </c>
      <c r="BA58" s="42">
        <v>-32952.089999999997</v>
      </c>
      <c r="BB58" s="42">
        <v>-25745.840000000007</v>
      </c>
      <c r="BC58" s="42">
        <v>-30452.22</v>
      </c>
      <c r="BD58" s="42">
        <v>-39254.820000000007</v>
      </c>
      <c r="BE58" s="42">
        <v>-41568.620000000003</v>
      </c>
      <c r="BF58" s="42">
        <v>-38859.039999999994</v>
      </c>
      <c r="BG58" s="42">
        <v>-30493.630000000008</v>
      </c>
      <c r="BH58" s="42">
        <v>-28828.210000000003</v>
      </c>
      <c r="BI58" s="42">
        <v>-42384.13</v>
      </c>
      <c r="BJ58" s="42">
        <v>-55287.310000000005</v>
      </c>
      <c r="BK58" s="42">
        <v>-45208.590000000004</v>
      </c>
      <c r="BL58" s="42">
        <v>-15001.789999999997</v>
      </c>
      <c r="BM58" s="42">
        <v>-12897.53</v>
      </c>
      <c r="BN58" s="42">
        <v>-10642.49</v>
      </c>
      <c r="BO58" s="42">
        <v>-13111.119999999997</v>
      </c>
      <c r="BP58" s="42">
        <v>-17456.84</v>
      </c>
      <c r="BQ58" s="42">
        <v>-15939.500000000004</v>
      </c>
      <c r="BR58" s="42">
        <v>-14994.950000000003</v>
      </c>
      <c r="BS58" s="42">
        <v>-11357.540000000003</v>
      </c>
      <c r="BT58" s="287">
        <f>'[1]TDR (M3)'!BT36</f>
        <v>-13280.095967709647</v>
      </c>
      <c r="BU58" s="287">
        <f>'[1]TDR (M3)'!BU36</f>
        <v>-16775.108001723016</v>
      </c>
      <c r="BV58" s="287">
        <f>'[1]TDR (M3)'!BV36</f>
        <v>-19739.841110156725</v>
      </c>
      <c r="BW58" s="122"/>
      <c r="BX58" s="122"/>
      <c r="BY58" s="122"/>
      <c r="BZ58" s="122"/>
      <c r="CA58" s="122"/>
      <c r="CB58" s="122"/>
      <c r="CC58" s="122"/>
      <c r="CD58" s="122"/>
      <c r="CE58" s="122"/>
      <c r="CF58" s="122"/>
      <c r="CG58" s="122"/>
      <c r="CH58" s="122"/>
    </row>
    <row r="59" spans="1:86" x14ac:dyDescent="0.25">
      <c r="B59" s="37"/>
      <c r="C59" s="37"/>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176"/>
      <c r="BU59" s="176"/>
      <c r="BV59" s="176"/>
      <c r="BW59" s="45"/>
      <c r="BX59" s="45"/>
      <c r="BY59" s="45"/>
      <c r="BZ59" s="45"/>
      <c r="CA59" s="45"/>
      <c r="CB59" s="45"/>
      <c r="CC59" s="45"/>
      <c r="CD59" s="45"/>
      <c r="CE59" s="45"/>
      <c r="CF59" s="45"/>
      <c r="CG59" s="45"/>
      <c r="CH59" s="45"/>
    </row>
    <row r="60" spans="1:86" x14ac:dyDescent="0.25">
      <c r="A60" s="27" t="s">
        <v>32</v>
      </c>
      <c r="B60" s="37"/>
      <c r="C60" s="37"/>
      <c r="S60" s="83"/>
    </row>
    <row r="61" spans="1:86" x14ac:dyDescent="0.25">
      <c r="A61" t="s">
        <v>33</v>
      </c>
      <c r="B61" s="37"/>
      <c r="C61" s="37"/>
      <c r="D61" s="81">
        <f t="shared" ref="D61:AU61" si="137">+D23</f>
        <v>1268128455</v>
      </c>
      <c r="E61" s="81">
        <f t="shared" si="137"/>
        <v>872933544</v>
      </c>
      <c r="F61" s="81">
        <f t="shared" si="137"/>
        <v>738196558</v>
      </c>
      <c r="G61" s="81">
        <f t="shared" si="137"/>
        <v>978975302</v>
      </c>
      <c r="H61" s="81">
        <f t="shared" si="137"/>
        <v>1243909773</v>
      </c>
      <c r="I61" s="81">
        <f t="shared" si="137"/>
        <v>1310015315</v>
      </c>
      <c r="J61" s="81">
        <f t="shared" si="137"/>
        <v>1208033233</v>
      </c>
      <c r="K61" s="81">
        <f t="shared" si="137"/>
        <v>993546162</v>
      </c>
      <c r="L61" s="81">
        <f t="shared" si="137"/>
        <v>897156231</v>
      </c>
      <c r="M61" s="81">
        <f t="shared" si="137"/>
        <v>1208147189</v>
      </c>
      <c r="N61" s="81">
        <f t="shared" si="137"/>
        <v>1334184680</v>
      </c>
      <c r="O61" s="81">
        <f t="shared" si="137"/>
        <v>1302694951</v>
      </c>
      <c r="P61" s="81">
        <f t="shared" si="137"/>
        <v>1123586700</v>
      </c>
      <c r="Q61" s="81">
        <f t="shared" si="137"/>
        <v>886578697</v>
      </c>
      <c r="R61" s="81">
        <f t="shared" si="137"/>
        <v>790098101</v>
      </c>
      <c r="S61" s="81">
        <f t="shared" si="137"/>
        <v>1041013964</v>
      </c>
      <c r="T61" s="81">
        <f t="shared" si="137"/>
        <v>1397050553</v>
      </c>
      <c r="U61" s="81">
        <f t="shared" si="137"/>
        <v>1310723723</v>
      </c>
      <c r="V61" s="81">
        <f t="shared" si="137"/>
        <v>1275164339</v>
      </c>
      <c r="W61" s="81">
        <f t="shared" si="137"/>
        <v>800796996</v>
      </c>
      <c r="X61" s="81">
        <f t="shared" si="137"/>
        <v>856955103</v>
      </c>
      <c r="Y61" s="81">
        <f t="shared" si="137"/>
        <v>1137867523</v>
      </c>
      <c r="Z61" s="81">
        <f t="shared" si="137"/>
        <v>1482496943</v>
      </c>
      <c r="AA61" s="81">
        <f t="shared" si="137"/>
        <v>1507047480</v>
      </c>
      <c r="AB61" s="81">
        <f t="shared" si="137"/>
        <v>1193201650</v>
      </c>
      <c r="AC61" s="81">
        <f t="shared" si="137"/>
        <v>803567941</v>
      </c>
      <c r="AD61" s="81">
        <f t="shared" si="137"/>
        <v>753161249</v>
      </c>
      <c r="AE61" s="81">
        <f t="shared" si="137"/>
        <v>1061485022</v>
      </c>
      <c r="AF61" s="81">
        <f t="shared" si="137"/>
        <v>1299384453</v>
      </c>
      <c r="AG61" s="81">
        <f t="shared" si="137"/>
        <v>1325635096</v>
      </c>
      <c r="AH61" s="81">
        <f t="shared" si="137"/>
        <v>1302322503</v>
      </c>
      <c r="AI61" s="81">
        <f t="shared" si="137"/>
        <v>902367562</v>
      </c>
      <c r="AJ61" s="81">
        <f t="shared" si="137"/>
        <v>849229853</v>
      </c>
      <c r="AK61" s="81">
        <f t="shared" si="137"/>
        <v>1063566547</v>
      </c>
      <c r="AL61" s="81">
        <f t="shared" si="137"/>
        <v>1372451320</v>
      </c>
      <c r="AM61" s="81">
        <f t="shared" si="137"/>
        <v>1445914846</v>
      </c>
      <c r="AN61" s="81">
        <f t="shared" si="137"/>
        <v>1156058653</v>
      </c>
      <c r="AO61" s="81">
        <f t="shared" si="137"/>
        <v>900363528</v>
      </c>
      <c r="AP61" s="81">
        <f t="shared" si="137"/>
        <v>837159184</v>
      </c>
      <c r="AQ61" s="81">
        <f t="shared" si="137"/>
        <v>1060197293</v>
      </c>
      <c r="AR61" s="81">
        <f t="shared" si="137"/>
        <v>1457350528</v>
      </c>
      <c r="AS61" s="81">
        <f t="shared" si="137"/>
        <v>1390553772</v>
      </c>
      <c r="AT61" s="81">
        <f t="shared" si="137"/>
        <v>1159635260</v>
      </c>
      <c r="AU61" s="81">
        <f t="shared" si="137"/>
        <v>837049627</v>
      </c>
      <c r="AV61" s="81">
        <f t="shared" ref="AV61" si="138">+AV23</f>
        <v>795371527</v>
      </c>
      <c r="AW61" s="81">
        <f>+AW23</f>
        <v>1056098740.4689</v>
      </c>
      <c r="AX61" s="81">
        <f t="shared" ref="AX61:AY61" si="139">+AX23</f>
        <v>1465026007</v>
      </c>
      <c r="AY61" s="81">
        <f t="shared" si="139"/>
        <v>1251994199</v>
      </c>
      <c r="AZ61" s="81">
        <f t="shared" ref="AZ61:BA61" si="140">+AZ23</f>
        <v>1034539781</v>
      </c>
      <c r="BA61" s="81">
        <f t="shared" si="140"/>
        <v>890081676</v>
      </c>
      <c r="BB61" s="81">
        <f t="shared" ref="BB61:BC61" si="141">+BB23</f>
        <v>758154085</v>
      </c>
      <c r="BC61" s="81">
        <f t="shared" si="141"/>
        <v>977251664</v>
      </c>
      <c r="BD61" s="81">
        <f t="shared" ref="BD61:BE61" si="142">+BD23</f>
        <v>1278057997</v>
      </c>
      <c r="BE61" s="81">
        <f t="shared" si="142"/>
        <v>1318572650</v>
      </c>
      <c r="BF61" s="81">
        <f t="shared" ref="BF61:BG61" si="143">+BF23</f>
        <v>1220075915</v>
      </c>
      <c r="BG61" s="81">
        <f t="shared" si="143"/>
        <v>887307993</v>
      </c>
      <c r="BH61" s="81">
        <f t="shared" ref="BH61:BI61" si="144">+BH23</f>
        <v>778350513.42400002</v>
      </c>
      <c r="BI61" s="81">
        <f t="shared" si="144"/>
        <v>1086671129</v>
      </c>
      <c r="BJ61" s="81">
        <f t="shared" ref="BJ61:BK61" si="145">+BJ23</f>
        <v>1422169141</v>
      </c>
      <c r="BK61" s="81">
        <f t="shared" si="145"/>
        <v>1336981468</v>
      </c>
      <c r="BL61" s="81">
        <f t="shared" ref="BL61:BM61" si="146">+BL23</f>
        <v>926412440</v>
      </c>
      <c r="BM61" s="81">
        <f t="shared" si="146"/>
        <v>848897331</v>
      </c>
      <c r="BN61" s="81">
        <f t="shared" ref="BN61:BO61" si="147">+BN23</f>
        <v>766903433</v>
      </c>
      <c r="BO61" s="81">
        <f t="shared" si="147"/>
        <v>1042127801</v>
      </c>
      <c r="BP61" s="81">
        <f t="shared" ref="BP61:BQ61" si="148">+BP23</f>
        <v>1392030781</v>
      </c>
      <c r="BQ61" s="81">
        <f t="shared" si="148"/>
        <v>1268811473</v>
      </c>
      <c r="BR61" s="81">
        <f t="shared" ref="BR61:CH65" si="149">+BR23</f>
        <v>1204491382</v>
      </c>
      <c r="BS61" s="81">
        <f t="shared" si="149"/>
        <v>881094739</v>
      </c>
      <c r="BT61" s="81">
        <f t="shared" si="149"/>
        <v>961721412.71587527</v>
      </c>
      <c r="BU61" s="81">
        <f t="shared" si="149"/>
        <v>1214824095.0295494</v>
      </c>
      <c r="BV61" s="81">
        <f t="shared" si="149"/>
        <v>1429524901.4319398</v>
      </c>
      <c r="BW61" s="81">
        <f t="shared" si="149"/>
        <v>1190064267.3489525</v>
      </c>
      <c r="BX61" s="81">
        <f t="shared" si="149"/>
        <v>1014603094.1799415</v>
      </c>
      <c r="BY61" s="81">
        <f t="shared" si="149"/>
        <v>769303151.60249138</v>
      </c>
      <c r="BZ61" s="81">
        <f>+BZ23</f>
        <v>927870218.58284807</v>
      </c>
      <c r="CA61" s="81">
        <f t="shared" si="149"/>
        <v>1194387015.1541328</v>
      </c>
      <c r="CB61" s="81">
        <f t="shared" si="149"/>
        <v>1365782366.0928786</v>
      </c>
      <c r="CC61" s="81">
        <f t="shared" si="149"/>
        <v>1314496222.440345</v>
      </c>
      <c r="CD61" s="81">
        <f t="shared" si="149"/>
        <v>995414652.60440254</v>
      </c>
      <c r="CE61" s="81">
        <f t="shared" si="149"/>
        <v>744037470.45533097</v>
      </c>
      <c r="CF61" s="81">
        <f t="shared" si="149"/>
        <v>962466196.97000563</v>
      </c>
      <c r="CG61" s="81">
        <f t="shared" si="149"/>
        <v>1215138004.097733</v>
      </c>
      <c r="CH61" s="81">
        <f t="shared" si="149"/>
        <v>1429450922.8617308</v>
      </c>
    </row>
    <row r="62" spans="1:86" x14ac:dyDescent="0.25">
      <c r="A62" t="s">
        <v>34</v>
      </c>
      <c r="B62" s="37"/>
      <c r="C62" s="37"/>
      <c r="D62" s="81">
        <f t="shared" ref="D62:AU62" si="150">+D24</f>
        <v>290178959</v>
      </c>
      <c r="E62" s="81">
        <f t="shared" si="150"/>
        <v>235096003</v>
      </c>
      <c r="F62" s="81">
        <f t="shared" si="150"/>
        <v>221772499</v>
      </c>
      <c r="G62" s="81">
        <f t="shared" si="150"/>
        <v>258735845</v>
      </c>
      <c r="H62" s="81">
        <f t="shared" si="150"/>
        <v>295975497</v>
      </c>
      <c r="I62" s="81">
        <f t="shared" si="150"/>
        <v>304175879</v>
      </c>
      <c r="J62" s="81">
        <f t="shared" si="150"/>
        <v>293549572</v>
      </c>
      <c r="K62" s="81">
        <f t="shared" si="150"/>
        <v>264736629</v>
      </c>
      <c r="L62" s="81">
        <f t="shared" si="150"/>
        <v>237145043</v>
      </c>
      <c r="M62" s="81">
        <f t="shared" si="150"/>
        <v>278572550</v>
      </c>
      <c r="N62" s="81">
        <f t="shared" si="150"/>
        <v>297050898</v>
      </c>
      <c r="O62" s="81">
        <f t="shared" si="150"/>
        <v>290934660</v>
      </c>
      <c r="P62" s="81">
        <f t="shared" si="150"/>
        <v>265078600</v>
      </c>
      <c r="Q62" s="81">
        <f t="shared" si="150"/>
        <v>203506574</v>
      </c>
      <c r="R62" s="81">
        <f t="shared" si="150"/>
        <v>184563246</v>
      </c>
      <c r="S62" s="81">
        <f t="shared" si="150"/>
        <v>231230759</v>
      </c>
      <c r="T62" s="81">
        <f t="shared" si="150"/>
        <v>288425422</v>
      </c>
      <c r="U62" s="81">
        <f t="shared" si="150"/>
        <v>281389691</v>
      </c>
      <c r="V62" s="81">
        <f t="shared" si="150"/>
        <v>269111017</v>
      </c>
      <c r="W62" s="81">
        <f t="shared" si="150"/>
        <v>218212399</v>
      </c>
      <c r="X62" s="81">
        <f t="shared" si="150"/>
        <v>218068919</v>
      </c>
      <c r="Y62" s="81">
        <f t="shared" si="150"/>
        <v>251883126</v>
      </c>
      <c r="Z62" s="81">
        <f t="shared" si="150"/>
        <v>300425840</v>
      </c>
      <c r="AA62" s="81">
        <f t="shared" si="150"/>
        <v>303577891</v>
      </c>
      <c r="AB62" s="81">
        <f t="shared" si="150"/>
        <v>265359424</v>
      </c>
      <c r="AC62" s="81">
        <f t="shared" si="150"/>
        <v>211100441</v>
      </c>
      <c r="AD62" s="81">
        <f t="shared" si="150"/>
        <v>205986967</v>
      </c>
      <c r="AE62" s="81">
        <f t="shared" si="150"/>
        <v>264522271</v>
      </c>
      <c r="AF62" s="81">
        <f t="shared" si="150"/>
        <v>291815734</v>
      </c>
      <c r="AG62" s="81">
        <f t="shared" si="150"/>
        <v>291413887</v>
      </c>
      <c r="AH62" s="81">
        <f t="shared" si="150"/>
        <v>294374400</v>
      </c>
      <c r="AI62" s="81">
        <f t="shared" si="150"/>
        <v>245524134</v>
      </c>
      <c r="AJ62" s="81">
        <f t="shared" si="150"/>
        <v>219607166</v>
      </c>
      <c r="AK62" s="81">
        <f t="shared" si="150"/>
        <v>250466096</v>
      </c>
      <c r="AL62" s="81">
        <f t="shared" si="150"/>
        <v>295383726</v>
      </c>
      <c r="AM62" s="81">
        <f t="shared" si="150"/>
        <v>301077290</v>
      </c>
      <c r="AN62" s="81">
        <f t="shared" si="150"/>
        <v>261058604</v>
      </c>
      <c r="AO62" s="81">
        <f t="shared" si="150"/>
        <v>230949228</v>
      </c>
      <c r="AP62" s="81">
        <f t="shared" si="150"/>
        <v>223998788</v>
      </c>
      <c r="AQ62" s="81">
        <f t="shared" si="150"/>
        <v>260692423</v>
      </c>
      <c r="AR62" s="81">
        <f t="shared" si="150"/>
        <v>312328749</v>
      </c>
      <c r="AS62" s="81">
        <f t="shared" si="150"/>
        <v>305346654</v>
      </c>
      <c r="AT62" s="81">
        <f t="shared" si="150"/>
        <v>279929276</v>
      </c>
      <c r="AU62" s="81">
        <f t="shared" si="150"/>
        <v>230143220</v>
      </c>
      <c r="AV62" s="81">
        <f t="shared" ref="AV62" si="151">+AV24</f>
        <v>219390300</v>
      </c>
      <c r="AW62" s="81">
        <f>+AW24</f>
        <v>274277285</v>
      </c>
      <c r="AX62" s="81">
        <f t="shared" ref="AX62:AY62" si="152">+AX24</f>
        <v>313843493</v>
      </c>
      <c r="AY62" s="81">
        <f t="shared" si="152"/>
        <v>275065920</v>
      </c>
      <c r="AZ62" s="81">
        <f t="shared" ref="AZ62:BA62" si="153">+AZ24</f>
        <v>246366200</v>
      </c>
      <c r="BA62" s="81">
        <f t="shared" si="153"/>
        <v>226379912</v>
      </c>
      <c r="BB62" s="81">
        <f t="shared" ref="BB62:BC62" si="154">+BB24</f>
        <v>209000108</v>
      </c>
      <c r="BC62" s="81">
        <f t="shared" si="154"/>
        <v>251344146</v>
      </c>
      <c r="BD62" s="81">
        <f t="shared" ref="BD62:BE62" si="155">+BD24</f>
        <v>291402974</v>
      </c>
      <c r="BE62" s="81">
        <f t="shared" si="155"/>
        <v>297748759</v>
      </c>
      <c r="BF62" s="81">
        <f t="shared" ref="BF62:BG62" si="156">+BF24</f>
        <v>290701055</v>
      </c>
      <c r="BG62" s="81">
        <f t="shared" si="156"/>
        <v>244186013</v>
      </c>
      <c r="BH62" s="81">
        <f t="shared" ref="BH62:BI62" si="157">+BH24</f>
        <v>224485019</v>
      </c>
      <c r="BI62" s="81">
        <f t="shared" si="157"/>
        <v>258087459</v>
      </c>
      <c r="BJ62" s="81">
        <f t="shared" ref="BJ62:BK62" si="158">+BJ24</f>
        <v>311334710</v>
      </c>
      <c r="BK62" s="81">
        <f t="shared" si="158"/>
        <v>292542260</v>
      </c>
      <c r="BL62" s="81">
        <f t="shared" ref="BL62:BM62" si="159">+BL24</f>
        <v>235940797</v>
      </c>
      <c r="BM62" s="81">
        <f t="shared" si="159"/>
        <v>229085910</v>
      </c>
      <c r="BN62" s="81">
        <f t="shared" ref="BN62:BO62" si="160">+BN24</f>
        <v>218207531</v>
      </c>
      <c r="BO62" s="81">
        <f t="shared" si="160"/>
        <v>266604752</v>
      </c>
      <c r="BP62" s="81">
        <f t="shared" ref="BP62:BQ62" si="161">+BP24</f>
        <v>318705410</v>
      </c>
      <c r="BQ62" s="81">
        <f t="shared" si="161"/>
        <v>299140757</v>
      </c>
      <c r="BR62" s="81">
        <f t="shared" ref="BR62:BS62" si="162">+BR24</f>
        <v>291256399</v>
      </c>
      <c r="BS62" s="81">
        <f t="shared" si="162"/>
        <v>245729806</v>
      </c>
      <c r="BT62" s="81">
        <f t="shared" si="149"/>
        <v>230556313.97548485</v>
      </c>
      <c r="BU62" s="81">
        <f t="shared" si="149"/>
        <v>275979565.87286288</v>
      </c>
      <c r="BV62" s="81">
        <f t="shared" si="149"/>
        <v>310395670.82745898</v>
      </c>
      <c r="BW62" s="81">
        <f t="shared" si="149"/>
        <v>281276494.88891542</v>
      </c>
      <c r="BX62" s="81">
        <f t="shared" si="149"/>
        <v>249236647.45428941</v>
      </c>
      <c r="BY62" s="81">
        <f t="shared" si="149"/>
        <v>226767828.98855263</v>
      </c>
      <c r="BZ62" s="81">
        <f t="shared" si="149"/>
        <v>244827574.56690574</v>
      </c>
      <c r="CA62" s="81">
        <f t="shared" si="149"/>
        <v>283225222.41562188</v>
      </c>
      <c r="CB62" s="81">
        <f t="shared" si="149"/>
        <v>307995205.45052862</v>
      </c>
      <c r="CC62" s="81">
        <f t="shared" si="149"/>
        <v>298959962.50381666</v>
      </c>
      <c r="CD62" s="81">
        <f t="shared" si="149"/>
        <v>263905607.13617331</v>
      </c>
      <c r="CE62" s="81">
        <f t="shared" si="149"/>
        <v>215412360.63650614</v>
      </c>
      <c r="CF62" s="81">
        <f t="shared" si="149"/>
        <v>230921583.85977823</v>
      </c>
      <c r="CG62" s="81">
        <f t="shared" si="149"/>
        <v>276273412.16607565</v>
      </c>
      <c r="CH62" s="81">
        <f t="shared" si="149"/>
        <v>310697639.29799688</v>
      </c>
    </row>
    <row r="63" spans="1:86" x14ac:dyDescent="0.25">
      <c r="A63" t="s">
        <v>35</v>
      </c>
      <c r="B63" s="37"/>
      <c r="C63" s="37"/>
      <c r="D63" s="81">
        <f t="shared" ref="D63:AU63" si="163">+D25</f>
        <v>599641261</v>
      </c>
      <c r="E63" s="81">
        <f t="shared" si="163"/>
        <v>546450417</v>
      </c>
      <c r="F63" s="81">
        <f t="shared" si="163"/>
        <v>548775486</v>
      </c>
      <c r="G63" s="81">
        <f t="shared" si="163"/>
        <v>609609142</v>
      </c>
      <c r="H63" s="81">
        <f t="shared" si="163"/>
        <v>656813642</v>
      </c>
      <c r="I63" s="81">
        <f t="shared" si="163"/>
        <v>671886437</v>
      </c>
      <c r="J63" s="81">
        <f t="shared" si="163"/>
        <v>678219627</v>
      </c>
      <c r="K63" s="81">
        <f t="shared" si="163"/>
        <v>622550219</v>
      </c>
      <c r="L63" s="81">
        <f t="shared" si="163"/>
        <v>549600433</v>
      </c>
      <c r="M63" s="81">
        <f t="shared" si="163"/>
        <v>596432225</v>
      </c>
      <c r="N63" s="81">
        <f t="shared" si="163"/>
        <v>616923082</v>
      </c>
      <c r="O63" s="81">
        <f t="shared" si="163"/>
        <v>599527620</v>
      </c>
      <c r="P63" s="81">
        <f t="shared" si="163"/>
        <v>566693954</v>
      </c>
      <c r="Q63" s="81">
        <f t="shared" si="163"/>
        <v>483801855</v>
      </c>
      <c r="R63" s="81">
        <f t="shared" si="163"/>
        <v>451939609</v>
      </c>
      <c r="S63" s="81">
        <f t="shared" si="163"/>
        <v>534583835</v>
      </c>
      <c r="T63" s="81">
        <f t="shared" si="163"/>
        <v>624356693</v>
      </c>
      <c r="U63" s="81">
        <f t="shared" si="163"/>
        <v>621885740</v>
      </c>
      <c r="V63" s="81">
        <f t="shared" si="163"/>
        <v>619148163</v>
      </c>
      <c r="W63" s="81">
        <f t="shared" si="163"/>
        <v>528448107.69999999</v>
      </c>
      <c r="X63" s="81">
        <f t="shared" si="163"/>
        <v>514648084</v>
      </c>
      <c r="Y63" s="81">
        <f t="shared" si="163"/>
        <v>553120787</v>
      </c>
      <c r="Z63" s="81">
        <f t="shared" si="163"/>
        <v>592823385</v>
      </c>
      <c r="AA63" s="81">
        <f t="shared" si="163"/>
        <v>585712392</v>
      </c>
      <c r="AB63" s="81">
        <f t="shared" si="163"/>
        <v>543642088</v>
      </c>
      <c r="AC63" s="81">
        <f t="shared" si="163"/>
        <v>483262229</v>
      </c>
      <c r="AD63" s="81">
        <f t="shared" si="163"/>
        <v>492375125.19999999</v>
      </c>
      <c r="AE63" s="81">
        <f t="shared" si="163"/>
        <v>586671915</v>
      </c>
      <c r="AF63" s="81">
        <f t="shared" si="163"/>
        <v>641235470</v>
      </c>
      <c r="AG63" s="81">
        <f t="shared" si="163"/>
        <v>634777638</v>
      </c>
      <c r="AH63" s="81">
        <f t="shared" si="163"/>
        <v>647017474</v>
      </c>
      <c r="AI63" s="81">
        <f t="shared" si="163"/>
        <v>568724491</v>
      </c>
      <c r="AJ63" s="81">
        <f t="shared" si="163"/>
        <v>505304455</v>
      </c>
      <c r="AK63" s="81">
        <f t="shared" si="163"/>
        <v>555282313.60000002</v>
      </c>
      <c r="AL63" s="81">
        <f t="shared" si="163"/>
        <v>590675076</v>
      </c>
      <c r="AM63" s="81">
        <f t="shared" si="163"/>
        <v>582248455</v>
      </c>
      <c r="AN63" s="81">
        <f t="shared" si="163"/>
        <v>534070902</v>
      </c>
      <c r="AO63" s="81">
        <f t="shared" si="163"/>
        <v>506459043</v>
      </c>
      <c r="AP63" s="81">
        <f t="shared" si="163"/>
        <v>516003997</v>
      </c>
      <c r="AQ63" s="81">
        <f t="shared" si="163"/>
        <v>579943536</v>
      </c>
      <c r="AR63" s="81">
        <f t="shared" si="163"/>
        <v>650768443</v>
      </c>
      <c r="AS63" s="81">
        <f t="shared" si="163"/>
        <v>645110540</v>
      </c>
      <c r="AT63" s="81">
        <f t="shared" si="163"/>
        <v>617464584</v>
      </c>
      <c r="AU63" s="81">
        <f t="shared" si="163"/>
        <v>530232061</v>
      </c>
      <c r="AV63" s="81">
        <f t="shared" ref="AV63" si="164">+AV25</f>
        <v>516180366</v>
      </c>
      <c r="AW63" s="81">
        <f>+AW25</f>
        <v>573339069</v>
      </c>
      <c r="AX63" s="81">
        <f t="shared" ref="AX63:AY63" si="165">+AX25</f>
        <v>603008465</v>
      </c>
      <c r="AY63" s="81">
        <f t="shared" si="165"/>
        <v>535848689</v>
      </c>
      <c r="AZ63" s="81">
        <f t="shared" ref="AZ63:BA63" si="166">+AZ25</f>
        <v>513226736</v>
      </c>
      <c r="BA63" s="81">
        <f t="shared" si="166"/>
        <v>490211820</v>
      </c>
      <c r="BB63" s="81">
        <f t="shared" ref="BB63:BC63" si="167">+BB25</f>
        <v>487205076</v>
      </c>
      <c r="BC63" s="81">
        <f t="shared" si="167"/>
        <v>550130655</v>
      </c>
      <c r="BD63" s="81">
        <f t="shared" ref="BD63:BE63" si="168">+BD25</f>
        <v>592309179</v>
      </c>
      <c r="BE63" s="81">
        <f t="shared" si="168"/>
        <v>613854730</v>
      </c>
      <c r="BF63" s="81">
        <f t="shared" ref="BF63:BG63" si="169">+BF25</f>
        <v>614247424</v>
      </c>
      <c r="BG63" s="81">
        <f t="shared" si="169"/>
        <v>540155873</v>
      </c>
      <c r="BH63" s="81">
        <f t="shared" ref="BH63:BI63" si="170">+BH25</f>
        <v>496155566</v>
      </c>
      <c r="BI63" s="81">
        <f t="shared" si="170"/>
        <v>533840032</v>
      </c>
      <c r="BJ63" s="81">
        <f t="shared" ref="BJ63:BK63" si="171">+BJ25</f>
        <v>585074116</v>
      </c>
      <c r="BK63" s="81">
        <f t="shared" si="171"/>
        <v>530212754</v>
      </c>
      <c r="BL63" s="81">
        <f t="shared" ref="BL63:BM63" si="172">+BL25</f>
        <v>493196594</v>
      </c>
      <c r="BM63" s="81">
        <f t="shared" si="172"/>
        <v>492216077</v>
      </c>
      <c r="BN63" s="81">
        <f t="shared" ref="BN63:BO63" si="173">+BN25</f>
        <v>494860364</v>
      </c>
      <c r="BO63" s="81">
        <f t="shared" si="173"/>
        <v>560458750</v>
      </c>
      <c r="BP63" s="81">
        <f t="shared" ref="BP63:BQ63" si="174">+BP25</f>
        <v>632894485</v>
      </c>
      <c r="BQ63" s="81">
        <f t="shared" si="174"/>
        <v>593928493</v>
      </c>
      <c r="BR63" s="81">
        <f t="shared" ref="BR63:BS63" si="175">+BR25</f>
        <v>594218359</v>
      </c>
      <c r="BS63" s="81">
        <f t="shared" si="175"/>
        <v>530006142</v>
      </c>
      <c r="BT63" s="81">
        <f t="shared" si="149"/>
        <v>503402364.62291127</v>
      </c>
      <c r="BU63" s="81">
        <f t="shared" si="149"/>
        <v>553970107.07777035</v>
      </c>
      <c r="BV63" s="81">
        <f t="shared" si="149"/>
        <v>582129216.80663931</v>
      </c>
      <c r="BW63" s="81">
        <f t="shared" si="149"/>
        <v>515865693.45582765</v>
      </c>
      <c r="BX63" s="81">
        <f t="shared" si="149"/>
        <v>522575519.43424022</v>
      </c>
      <c r="BY63" s="81">
        <f t="shared" si="149"/>
        <v>505674054.43839753</v>
      </c>
      <c r="BZ63" s="81">
        <f t="shared" si="149"/>
        <v>572817819.76956499</v>
      </c>
      <c r="CA63" s="81">
        <f t="shared" si="149"/>
        <v>606308434.76448393</v>
      </c>
      <c r="CB63" s="81">
        <f t="shared" si="149"/>
        <v>651004657.0920285</v>
      </c>
      <c r="CC63" s="81">
        <f t="shared" si="149"/>
        <v>635975233.95183766</v>
      </c>
      <c r="CD63" s="81">
        <f t="shared" si="149"/>
        <v>573938163.98230696</v>
      </c>
      <c r="CE63" s="81">
        <f t="shared" si="149"/>
        <v>528417686.98890507</v>
      </c>
      <c r="CF63" s="81">
        <f t="shared" si="149"/>
        <v>506348801.23189801</v>
      </c>
      <c r="CG63" s="81">
        <f t="shared" si="149"/>
        <v>556790182.67338777</v>
      </c>
      <c r="CH63" s="81">
        <f t="shared" si="149"/>
        <v>582413683.09713233</v>
      </c>
    </row>
    <row r="64" spans="1:86" x14ac:dyDescent="0.25">
      <c r="A64" t="s">
        <v>36</v>
      </c>
      <c r="B64" s="37"/>
      <c r="C64" s="37"/>
      <c r="D64" s="81">
        <f t="shared" ref="D64:AU64" si="176">+D26</f>
        <v>242499726</v>
      </c>
      <c r="E64" s="81">
        <f t="shared" si="176"/>
        <v>232539680</v>
      </c>
      <c r="F64" s="81">
        <f t="shared" si="176"/>
        <v>229224298</v>
      </c>
      <c r="G64" s="81">
        <f t="shared" si="176"/>
        <v>266349220</v>
      </c>
      <c r="H64" s="81">
        <f t="shared" si="176"/>
        <v>267674678</v>
      </c>
      <c r="I64" s="81">
        <f t="shared" si="176"/>
        <v>281003685</v>
      </c>
      <c r="J64" s="81">
        <f t="shared" si="176"/>
        <v>279302255</v>
      </c>
      <c r="K64" s="81">
        <f t="shared" si="176"/>
        <v>258807768</v>
      </c>
      <c r="L64" s="81">
        <f t="shared" si="176"/>
        <v>239334214</v>
      </c>
      <c r="M64" s="81">
        <f t="shared" si="176"/>
        <v>241025466</v>
      </c>
      <c r="N64" s="81">
        <f t="shared" si="176"/>
        <v>247898204</v>
      </c>
      <c r="O64" s="81">
        <f t="shared" si="176"/>
        <v>255420215</v>
      </c>
      <c r="P64" s="81">
        <f t="shared" si="176"/>
        <v>225135566</v>
      </c>
      <c r="Q64" s="81">
        <f t="shared" si="176"/>
        <v>219961316</v>
      </c>
      <c r="R64" s="81">
        <f t="shared" si="176"/>
        <v>207074154</v>
      </c>
      <c r="S64" s="81">
        <f t="shared" si="176"/>
        <v>241165089</v>
      </c>
      <c r="T64" s="81">
        <f t="shared" si="176"/>
        <v>253833450</v>
      </c>
      <c r="U64" s="81">
        <f t="shared" si="176"/>
        <v>266058831</v>
      </c>
      <c r="V64" s="81">
        <f t="shared" si="176"/>
        <v>266126792</v>
      </c>
      <c r="W64" s="81">
        <f t="shared" si="176"/>
        <v>236673642.40000001</v>
      </c>
      <c r="X64" s="81">
        <f t="shared" si="176"/>
        <v>234876378</v>
      </c>
      <c r="Y64" s="81">
        <f t="shared" si="176"/>
        <v>245759481</v>
      </c>
      <c r="Z64" s="81">
        <f t="shared" si="176"/>
        <v>241302585</v>
      </c>
      <c r="AA64" s="81">
        <f t="shared" si="176"/>
        <v>254211213</v>
      </c>
      <c r="AB64" s="81">
        <f t="shared" si="176"/>
        <v>216207694</v>
      </c>
      <c r="AC64" s="81">
        <f t="shared" si="176"/>
        <v>214809052</v>
      </c>
      <c r="AD64" s="81">
        <f t="shared" si="176"/>
        <v>221576502.5</v>
      </c>
      <c r="AE64" s="81">
        <f t="shared" si="176"/>
        <v>232417188</v>
      </c>
      <c r="AF64" s="81">
        <f t="shared" si="176"/>
        <v>286577542</v>
      </c>
      <c r="AG64" s="81">
        <f t="shared" si="176"/>
        <v>263115351</v>
      </c>
      <c r="AH64" s="81">
        <f t="shared" si="176"/>
        <v>266455046</v>
      </c>
      <c r="AI64" s="81">
        <f t="shared" si="176"/>
        <v>230080105</v>
      </c>
      <c r="AJ64" s="81">
        <f t="shared" si="176"/>
        <v>200697530</v>
      </c>
      <c r="AK64" s="81">
        <f t="shared" si="176"/>
        <v>269908616.5</v>
      </c>
      <c r="AL64" s="81">
        <f t="shared" si="176"/>
        <v>254759231</v>
      </c>
      <c r="AM64" s="81">
        <f t="shared" si="176"/>
        <v>236605471</v>
      </c>
      <c r="AN64" s="81">
        <f t="shared" si="176"/>
        <v>220600472</v>
      </c>
      <c r="AO64" s="81">
        <f t="shared" si="176"/>
        <v>227017145</v>
      </c>
      <c r="AP64" s="81">
        <f t="shared" si="176"/>
        <v>225997805</v>
      </c>
      <c r="AQ64" s="81">
        <f t="shared" si="176"/>
        <v>251076328</v>
      </c>
      <c r="AR64" s="81">
        <f t="shared" si="176"/>
        <v>267504084</v>
      </c>
      <c r="AS64" s="81">
        <f t="shared" si="176"/>
        <v>272015339</v>
      </c>
      <c r="AT64" s="81">
        <f t="shared" si="176"/>
        <v>258297228</v>
      </c>
      <c r="AU64" s="81">
        <f t="shared" si="176"/>
        <v>229178636</v>
      </c>
      <c r="AV64" s="81">
        <f t="shared" ref="AV64" si="177">+AV26</f>
        <v>231438770</v>
      </c>
      <c r="AW64" s="81">
        <f>+AW26</f>
        <v>241377872</v>
      </c>
      <c r="AX64" s="81">
        <f t="shared" ref="AX64:AY64" si="178">+AX26</f>
        <v>231408894</v>
      </c>
      <c r="AY64" s="81">
        <f t="shared" si="178"/>
        <v>221649717</v>
      </c>
      <c r="AZ64" s="81">
        <f t="shared" ref="AZ64:BA64" si="179">+AZ26</f>
        <v>205003755</v>
      </c>
      <c r="BA64" s="81">
        <f t="shared" si="179"/>
        <v>219436038</v>
      </c>
      <c r="BB64" s="81">
        <f t="shared" ref="BB64:BC64" si="180">+BB26</f>
        <v>219271209</v>
      </c>
      <c r="BC64" s="81">
        <f t="shared" si="180"/>
        <v>232550715</v>
      </c>
      <c r="BD64" s="81">
        <f t="shared" ref="BD64:BE64" si="181">+BD26</f>
        <v>235130742</v>
      </c>
      <c r="BE64" s="81">
        <f t="shared" si="181"/>
        <v>262292552</v>
      </c>
      <c r="BF64" s="81">
        <f t="shared" ref="BF64:BG64" si="182">+BF26</f>
        <v>254203699</v>
      </c>
      <c r="BG64" s="81">
        <f t="shared" si="182"/>
        <v>220702925</v>
      </c>
      <c r="BH64" s="81">
        <f t="shared" ref="BH64:BI64" si="183">+BH26</f>
        <v>219441539</v>
      </c>
      <c r="BI64" s="81">
        <f t="shared" si="183"/>
        <v>218534163</v>
      </c>
      <c r="BJ64" s="81">
        <f t="shared" ref="BJ64:BK64" si="184">+BJ26</f>
        <v>232541184</v>
      </c>
      <c r="BK64" s="81">
        <f t="shared" si="184"/>
        <v>222844092</v>
      </c>
      <c r="BL64" s="81">
        <f t="shared" ref="BL64:BM64" si="185">+BL26</f>
        <v>216520104</v>
      </c>
      <c r="BM64" s="81">
        <f t="shared" si="185"/>
        <v>207628128</v>
      </c>
      <c r="BN64" s="81">
        <f t="shared" ref="BN64:BO64" si="186">+BN26</f>
        <v>217699925</v>
      </c>
      <c r="BO64" s="81">
        <f t="shared" si="186"/>
        <v>237346838</v>
      </c>
      <c r="BP64" s="81">
        <f t="shared" ref="BP64:BQ64" si="187">+BP26</f>
        <v>254880958</v>
      </c>
      <c r="BQ64" s="81">
        <f t="shared" si="187"/>
        <v>240871472</v>
      </c>
      <c r="BR64" s="81">
        <f t="shared" ref="BR64:BS64" si="188">+BR26</f>
        <v>236345293</v>
      </c>
      <c r="BS64" s="81">
        <f t="shared" si="188"/>
        <v>231951126</v>
      </c>
      <c r="BT64" s="81">
        <f t="shared" si="149"/>
        <v>220932655.9857884</v>
      </c>
      <c r="BU64" s="81">
        <f t="shared" si="149"/>
        <v>233594424.1517618</v>
      </c>
      <c r="BV64" s="81">
        <f t="shared" si="149"/>
        <v>243692177.27010703</v>
      </c>
      <c r="BW64" s="81">
        <f t="shared" si="149"/>
        <v>223508963.31422031</v>
      </c>
      <c r="BX64" s="81">
        <f t="shared" si="149"/>
        <v>225935520.4983165</v>
      </c>
      <c r="BY64" s="81">
        <f t="shared" si="149"/>
        <v>225755520.24654862</v>
      </c>
      <c r="BZ64" s="81">
        <f t="shared" si="149"/>
        <v>236650278.90790892</v>
      </c>
      <c r="CA64" s="81">
        <f t="shared" si="149"/>
        <v>249267183.76549473</v>
      </c>
      <c r="CB64" s="81">
        <f t="shared" si="149"/>
        <v>265487281.99319294</v>
      </c>
      <c r="CC64" s="81">
        <f t="shared" si="149"/>
        <v>265793432.46048093</v>
      </c>
      <c r="CD64" s="81">
        <f t="shared" si="149"/>
        <v>249354980.18941644</v>
      </c>
      <c r="CE64" s="81">
        <f t="shared" si="149"/>
        <v>232261215.72278216</v>
      </c>
      <c r="CF64" s="81">
        <f t="shared" si="149"/>
        <v>221653157.12380189</v>
      </c>
      <c r="CG64" s="81">
        <f t="shared" si="149"/>
        <v>234363625.54023194</v>
      </c>
      <c r="CH64" s="81">
        <f t="shared" si="149"/>
        <v>243138516.68845567</v>
      </c>
    </row>
    <row r="65" spans="1:86" x14ac:dyDescent="0.25">
      <c r="A65" t="s">
        <v>37</v>
      </c>
      <c r="B65" s="37"/>
      <c r="C65" s="37"/>
      <c r="D65" s="81">
        <f t="shared" ref="D65:AU65" si="189">+D27</f>
        <v>99309923</v>
      </c>
      <c r="E65" s="81">
        <f t="shared" si="189"/>
        <v>98876748</v>
      </c>
      <c r="F65" s="81">
        <f t="shared" si="189"/>
        <v>96480454</v>
      </c>
      <c r="G65" s="81">
        <f t="shared" si="189"/>
        <v>121526151</v>
      </c>
      <c r="H65" s="81">
        <f t="shared" si="189"/>
        <v>113123855</v>
      </c>
      <c r="I65" s="81">
        <f t="shared" si="189"/>
        <v>125262874</v>
      </c>
      <c r="J65" s="81">
        <f t="shared" si="189"/>
        <v>126945040</v>
      </c>
      <c r="K65" s="81">
        <f t="shared" si="189"/>
        <v>119752379</v>
      </c>
      <c r="L65" s="81">
        <f t="shared" si="189"/>
        <v>106348532</v>
      </c>
      <c r="M65" s="81">
        <f t="shared" si="189"/>
        <v>100067076</v>
      </c>
      <c r="N65" s="81">
        <f t="shared" si="189"/>
        <v>105899561</v>
      </c>
      <c r="O65" s="81">
        <f t="shared" si="189"/>
        <v>111203176</v>
      </c>
      <c r="P65" s="81">
        <f t="shared" si="189"/>
        <v>86704807</v>
      </c>
      <c r="Q65" s="81">
        <f t="shared" si="189"/>
        <v>92097434</v>
      </c>
      <c r="R65" s="81">
        <f t="shared" si="189"/>
        <v>93506334</v>
      </c>
      <c r="S65" s="81">
        <f t="shared" si="189"/>
        <v>92139707</v>
      </c>
      <c r="T65" s="81">
        <f t="shared" si="189"/>
        <v>105110654</v>
      </c>
      <c r="U65" s="81">
        <f t="shared" si="189"/>
        <v>108265948</v>
      </c>
      <c r="V65" s="81">
        <f t="shared" si="189"/>
        <v>109806573</v>
      </c>
      <c r="W65" s="81">
        <f t="shared" si="189"/>
        <v>96724322.099999994</v>
      </c>
      <c r="X65" s="81">
        <f t="shared" si="189"/>
        <v>94866307</v>
      </c>
      <c r="Y65" s="81">
        <f t="shared" si="189"/>
        <v>96874394</v>
      </c>
      <c r="Z65" s="81">
        <f t="shared" si="189"/>
        <v>84244327</v>
      </c>
      <c r="AA65" s="81">
        <f t="shared" si="189"/>
        <v>112346620</v>
      </c>
      <c r="AB65" s="81">
        <f t="shared" si="189"/>
        <v>50801494</v>
      </c>
      <c r="AC65" s="81">
        <f t="shared" si="189"/>
        <v>85186767</v>
      </c>
      <c r="AD65" s="81">
        <f t="shared" si="189"/>
        <v>94290468.700000003</v>
      </c>
      <c r="AE65" s="81">
        <f t="shared" si="189"/>
        <v>96665030</v>
      </c>
      <c r="AF65" s="81">
        <f t="shared" si="189"/>
        <v>111403127</v>
      </c>
      <c r="AG65" s="81">
        <f t="shared" si="189"/>
        <v>106051211</v>
      </c>
      <c r="AH65" s="81">
        <f t="shared" si="189"/>
        <v>114673513</v>
      </c>
      <c r="AI65" s="81">
        <f t="shared" si="189"/>
        <v>105106440</v>
      </c>
      <c r="AJ65" s="81">
        <f t="shared" si="189"/>
        <v>69778498</v>
      </c>
      <c r="AK65" s="81">
        <f t="shared" si="189"/>
        <v>120928612.40000001</v>
      </c>
      <c r="AL65" s="81">
        <f t="shared" si="189"/>
        <v>91160220</v>
      </c>
      <c r="AM65" s="81">
        <f t="shared" si="189"/>
        <v>84926008</v>
      </c>
      <c r="AN65" s="81">
        <f t="shared" si="189"/>
        <v>81012090</v>
      </c>
      <c r="AO65" s="81">
        <f t="shared" si="189"/>
        <v>85726323</v>
      </c>
      <c r="AP65" s="81">
        <f t="shared" si="189"/>
        <v>71350428</v>
      </c>
      <c r="AQ65" s="81">
        <f t="shared" si="189"/>
        <v>86976917</v>
      </c>
      <c r="AR65" s="81">
        <f t="shared" si="189"/>
        <v>99783323</v>
      </c>
      <c r="AS65" s="81">
        <f t="shared" si="189"/>
        <v>98663196</v>
      </c>
      <c r="AT65" s="81">
        <f t="shared" si="189"/>
        <v>102858299</v>
      </c>
      <c r="AU65" s="81">
        <f t="shared" si="189"/>
        <v>88364839</v>
      </c>
      <c r="AV65" s="81">
        <f t="shared" ref="AV65" si="190">+AV27</f>
        <v>88263402</v>
      </c>
      <c r="AW65" s="81">
        <f>+AW27</f>
        <v>86648705</v>
      </c>
      <c r="AX65" s="81">
        <f t="shared" ref="AX65:AY65" si="191">+AX27</f>
        <v>77135409</v>
      </c>
      <c r="AY65" s="81">
        <f t="shared" si="191"/>
        <v>74737407</v>
      </c>
      <c r="AZ65" s="81">
        <f t="shared" ref="AZ65:BA65" si="192">+AZ27</f>
        <v>64517924</v>
      </c>
      <c r="BA65" s="81">
        <f t="shared" si="192"/>
        <v>64659611</v>
      </c>
      <c r="BB65" s="81">
        <f t="shared" ref="BB65:BC65" si="193">+BB27</f>
        <v>67634326</v>
      </c>
      <c r="BC65" s="81">
        <f t="shared" si="193"/>
        <v>81350810</v>
      </c>
      <c r="BD65" s="81">
        <f t="shared" ref="BD65:BE65" si="194">+BD27</f>
        <v>76194105</v>
      </c>
      <c r="BE65" s="81">
        <f t="shared" si="194"/>
        <v>87357832</v>
      </c>
      <c r="BF65" s="81">
        <f t="shared" ref="BF65:BG65" si="195">+BF27</f>
        <v>95274398</v>
      </c>
      <c r="BG65" s="81">
        <f t="shared" si="195"/>
        <v>96078281</v>
      </c>
      <c r="BH65" s="81">
        <f t="shared" ref="BH65:BI65" si="196">+BH27</f>
        <v>85657578</v>
      </c>
      <c r="BI65" s="81">
        <f t="shared" si="196"/>
        <v>96441503</v>
      </c>
      <c r="BJ65" s="81">
        <f t="shared" ref="BJ65:BK65" si="197">+BJ27</f>
        <v>86731223</v>
      </c>
      <c r="BK65" s="81">
        <f t="shared" si="197"/>
        <v>77476531</v>
      </c>
      <c r="BL65" s="81">
        <f t="shared" ref="BL65:BM65" si="198">+BL27</f>
        <v>59042973</v>
      </c>
      <c r="BM65" s="81">
        <f t="shared" si="198"/>
        <v>57210973</v>
      </c>
      <c r="BN65" s="81">
        <f t="shared" ref="BN65:BO65" si="199">+BN27</f>
        <v>69610474</v>
      </c>
      <c r="BO65" s="81">
        <f t="shared" si="199"/>
        <v>70581627</v>
      </c>
      <c r="BP65" s="81">
        <f t="shared" ref="BP65:BQ65" si="200">+BP27</f>
        <v>81457799</v>
      </c>
      <c r="BQ65" s="81">
        <f t="shared" si="200"/>
        <v>80264416</v>
      </c>
      <c r="BR65" s="81">
        <f t="shared" ref="BR65:BS65" si="201">+BR27</f>
        <v>70127730</v>
      </c>
      <c r="BS65" s="81">
        <f t="shared" si="201"/>
        <v>70045643</v>
      </c>
      <c r="BT65" s="81">
        <f t="shared" si="149"/>
        <v>67785624.340276375</v>
      </c>
      <c r="BU65" s="81">
        <f t="shared" si="149"/>
        <v>67021875.10198836</v>
      </c>
      <c r="BV65" s="81">
        <f t="shared" si="149"/>
        <v>66767907.568719082</v>
      </c>
      <c r="BW65" s="81">
        <f t="shared" si="149"/>
        <v>62741418.197744302</v>
      </c>
      <c r="BX65" s="81">
        <f t="shared" si="149"/>
        <v>65152113.496512696</v>
      </c>
      <c r="BY65" s="81">
        <f t="shared" si="149"/>
        <v>69133414.966971025</v>
      </c>
      <c r="BZ65" s="81">
        <f t="shared" si="149"/>
        <v>75596299.297143608</v>
      </c>
      <c r="CA65" s="81">
        <f t="shared" si="149"/>
        <v>78385915.566683248</v>
      </c>
      <c r="CB65" s="81">
        <f t="shared" si="149"/>
        <v>83584005.816239804</v>
      </c>
      <c r="CC65" s="81">
        <f t="shared" si="149"/>
        <v>82353168.95995523</v>
      </c>
      <c r="CD65" s="81">
        <f t="shared" si="149"/>
        <v>75919704.330048919</v>
      </c>
      <c r="CE65" s="81">
        <f t="shared" si="149"/>
        <v>73493705.531886309</v>
      </c>
      <c r="CF65" s="81">
        <f t="shared" si="149"/>
        <v>67867153.794123709</v>
      </c>
      <c r="CG65" s="81">
        <f t="shared" si="149"/>
        <v>67101871.772907503</v>
      </c>
      <c r="CH65" s="81">
        <f t="shared" si="149"/>
        <v>68603660.857099026</v>
      </c>
    </row>
    <row r="66" spans="1:86" x14ac:dyDescent="0.25">
      <c r="A66" s="33" t="s">
        <v>31</v>
      </c>
      <c r="B66" s="31"/>
      <c r="C66" s="31"/>
      <c r="D66" s="34">
        <f>SUM(D61:D65)</f>
        <v>2499758324</v>
      </c>
      <c r="E66" s="34">
        <f t="shared" ref="E66:AW66" si="202">SUM(E61:E65)</f>
        <v>1985896392</v>
      </c>
      <c r="F66" s="34">
        <f t="shared" si="202"/>
        <v>1834449295</v>
      </c>
      <c r="G66" s="34">
        <f t="shared" si="202"/>
        <v>2235195660</v>
      </c>
      <c r="H66" s="34">
        <f t="shared" si="202"/>
        <v>2577497445</v>
      </c>
      <c r="I66" s="34">
        <f t="shared" si="202"/>
        <v>2692344190</v>
      </c>
      <c r="J66" s="34">
        <f t="shared" si="202"/>
        <v>2586049727</v>
      </c>
      <c r="K66" s="34">
        <f t="shared" si="202"/>
        <v>2259393157</v>
      </c>
      <c r="L66" s="34">
        <f t="shared" si="202"/>
        <v>2029584453</v>
      </c>
      <c r="M66" s="34">
        <f t="shared" si="202"/>
        <v>2424244506</v>
      </c>
      <c r="N66" s="34">
        <f t="shared" si="202"/>
        <v>2601956425</v>
      </c>
      <c r="O66" s="34">
        <f t="shared" si="202"/>
        <v>2559780622</v>
      </c>
      <c r="P66" s="34">
        <f t="shared" si="202"/>
        <v>2267199627</v>
      </c>
      <c r="Q66" s="34">
        <f t="shared" si="202"/>
        <v>1885945876</v>
      </c>
      <c r="R66" s="34">
        <f t="shared" si="202"/>
        <v>1727181444</v>
      </c>
      <c r="S66" s="34">
        <f t="shared" si="202"/>
        <v>2140133354</v>
      </c>
      <c r="T66" s="34">
        <f t="shared" si="202"/>
        <v>2668776772</v>
      </c>
      <c r="U66" s="34">
        <f t="shared" si="202"/>
        <v>2588323933</v>
      </c>
      <c r="V66" s="34">
        <f t="shared" si="202"/>
        <v>2539356884</v>
      </c>
      <c r="W66" s="34">
        <f t="shared" si="202"/>
        <v>1880855467.2</v>
      </c>
      <c r="X66" s="34">
        <f t="shared" si="202"/>
        <v>1919414791</v>
      </c>
      <c r="Y66" s="34">
        <f t="shared" si="202"/>
        <v>2285505311</v>
      </c>
      <c r="Z66" s="34">
        <f t="shared" si="202"/>
        <v>2701293080</v>
      </c>
      <c r="AA66" s="34">
        <f t="shared" si="202"/>
        <v>2762895596</v>
      </c>
      <c r="AB66" s="34">
        <f t="shared" si="202"/>
        <v>2269212350</v>
      </c>
      <c r="AC66" s="34">
        <f t="shared" si="202"/>
        <v>1797926430</v>
      </c>
      <c r="AD66" s="34">
        <f t="shared" si="202"/>
        <v>1767390312.4000001</v>
      </c>
      <c r="AE66" s="34">
        <f t="shared" si="202"/>
        <v>2241761426</v>
      </c>
      <c r="AF66" s="34">
        <f t="shared" si="202"/>
        <v>2630416326</v>
      </c>
      <c r="AG66" s="34">
        <f t="shared" si="202"/>
        <v>2620993183</v>
      </c>
      <c r="AH66" s="34">
        <f t="shared" si="202"/>
        <v>2624842936</v>
      </c>
      <c r="AI66" s="34">
        <f t="shared" si="202"/>
        <v>2051802732</v>
      </c>
      <c r="AJ66" s="34">
        <f t="shared" si="202"/>
        <v>1844617502</v>
      </c>
      <c r="AK66" s="34">
        <f t="shared" si="202"/>
        <v>2260152185.5</v>
      </c>
      <c r="AL66" s="34">
        <f t="shared" si="202"/>
        <v>2604429573</v>
      </c>
      <c r="AM66" s="34">
        <f t="shared" si="202"/>
        <v>2650772070</v>
      </c>
      <c r="AN66" s="34">
        <f t="shared" si="202"/>
        <v>2252800721</v>
      </c>
      <c r="AO66" s="34">
        <f t="shared" si="202"/>
        <v>1950515267</v>
      </c>
      <c r="AP66" s="34">
        <f t="shared" si="202"/>
        <v>1874510202</v>
      </c>
      <c r="AQ66" s="34">
        <f t="shared" si="202"/>
        <v>2238886497</v>
      </c>
      <c r="AR66" s="34">
        <f t="shared" si="202"/>
        <v>2787735127</v>
      </c>
      <c r="AS66" s="34">
        <f t="shared" si="202"/>
        <v>2711689501</v>
      </c>
      <c r="AT66" s="34">
        <f t="shared" si="202"/>
        <v>2418184647</v>
      </c>
      <c r="AU66" s="34">
        <f t="shared" si="202"/>
        <v>1914968383</v>
      </c>
      <c r="AV66" s="34">
        <f t="shared" ref="AV66" si="203">SUM(AV61:AV65)</f>
        <v>1850644365</v>
      </c>
      <c r="AW66" s="34">
        <f t="shared" si="202"/>
        <v>2231741671.4688997</v>
      </c>
      <c r="AX66" s="34">
        <f t="shared" ref="AX66:AY66" si="204">SUM(AX61:AX65)</f>
        <v>2690422268</v>
      </c>
      <c r="AY66" s="34">
        <f t="shared" si="204"/>
        <v>2359295932</v>
      </c>
      <c r="AZ66" s="34">
        <f t="shared" ref="AZ66:BA66" si="205">SUM(AZ61:AZ65)</f>
        <v>2063654396</v>
      </c>
      <c r="BA66" s="34">
        <f t="shared" si="205"/>
        <v>1890769057</v>
      </c>
      <c r="BB66" s="34">
        <f t="shared" ref="BB66:BC66" si="206">SUM(BB61:BB65)</f>
        <v>1741264804</v>
      </c>
      <c r="BC66" s="34">
        <f t="shared" si="206"/>
        <v>2092627990</v>
      </c>
      <c r="BD66" s="34">
        <f t="shared" ref="BD66:BE66" si="207">SUM(BD61:BD65)</f>
        <v>2473094997</v>
      </c>
      <c r="BE66" s="34">
        <f t="shared" si="207"/>
        <v>2579826523</v>
      </c>
      <c r="BF66" s="34">
        <f t="shared" ref="BF66:BG66" si="208">SUM(BF61:BF65)</f>
        <v>2474502491</v>
      </c>
      <c r="BG66" s="34">
        <f t="shared" si="208"/>
        <v>1988431085</v>
      </c>
      <c r="BH66" s="34">
        <f t="shared" ref="BH66:BI66" si="209">SUM(BH61:BH65)</f>
        <v>1804090215.424</v>
      </c>
      <c r="BI66" s="34">
        <f t="shared" si="209"/>
        <v>2193574286</v>
      </c>
      <c r="BJ66" s="34">
        <f t="shared" ref="BJ66:BK66" si="210">SUM(BJ61:BJ65)</f>
        <v>2637850374</v>
      </c>
      <c r="BK66" s="34">
        <f t="shared" si="210"/>
        <v>2460057105</v>
      </c>
      <c r="BL66" s="34">
        <f t="shared" ref="BL66:BM66" si="211">SUM(BL61:BL65)</f>
        <v>1931112908</v>
      </c>
      <c r="BM66" s="34">
        <f t="shared" si="211"/>
        <v>1835038419</v>
      </c>
      <c r="BN66" s="34">
        <f t="shared" ref="BN66:BO66" si="212">SUM(BN61:BN65)</f>
        <v>1767281727</v>
      </c>
      <c r="BO66" s="34">
        <f t="shared" si="212"/>
        <v>2177119768</v>
      </c>
      <c r="BP66" s="34">
        <f t="shared" ref="BP66:BQ66" si="213">SUM(BP61:BP65)</f>
        <v>2679969433</v>
      </c>
      <c r="BQ66" s="34">
        <f t="shared" si="213"/>
        <v>2483016611</v>
      </c>
      <c r="BR66" s="34">
        <f t="shared" ref="BR66:CH66" si="214">SUM(BR61:BR65)</f>
        <v>2396439163</v>
      </c>
      <c r="BS66" s="34">
        <f t="shared" si="214"/>
        <v>1958827456</v>
      </c>
      <c r="BT66" s="34">
        <f t="shared" si="214"/>
        <v>1984398371.640336</v>
      </c>
      <c r="BU66" s="34">
        <f t="shared" si="214"/>
        <v>2345390067.233933</v>
      </c>
      <c r="BV66" s="34">
        <f t="shared" si="214"/>
        <v>2632509873.9048643</v>
      </c>
      <c r="BW66" s="34">
        <f t="shared" si="214"/>
        <v>2273456837.2056603</v>
      </c>
      <c r="BX66" s="34">
        <f t="shared" si="214"/>
        <v>2077502895.0633001</v>
      </c>
      <c r="BY66" s="34">
        <f t="shared" si="214"/>
        <v>1796633970.2429609</v>
      </c>
      <c r="BZ66" s="34">
        <f t="shared" si="214"/>
        <v>2057762191.1243713</v>
      </c>
      <c r="CA66" s="34">
        <f t="shared" si="214"/>
        <v>2411573771.6664166</v>
      </c>
      <c r="CB66" s="34">
        <f t="shared" si="214"/>
        <v>2673853516.4448686</v>
      </c>
      <c r="CC66" s="34">
        <f t="shared" si="214"/>
        <v>2597578020.3164358</v>
      </c>
      <c r="CD66" s="34">
        <f t="shared" si="214"/>
        <v>2158533108.2423482</v>
      </c>
      <c r="CE66" s="34">
        <f t="shared" si="214"/>
        <v>1793622439.3354108</v>
      </c>
      <c r="CF66" s="34">
        <f t="shared" si="214"/>
        <v>1989256892.9796076</v>
      </c>
      <c r="CG66" s="34">
        <f t="shared" si="214"/>
        <v>2349667096.2503362</v>
      </c>
      <c r="CH66" s="34">
        <f t="shared" si="214"/>
        <v>2634304422.8024144</v>
      </c>
    </row>
    <row r="67" spans="1:86" x14ac:dyDescent="0.25">
      <c r="B67" s="37"/>
      <c r="C67" s="37"/>
      <c r="O67" s="56"/>
    </row>
    <row r="68" spans="1:86" x14ac:dyDescent="0.25">
      <c r="A68" s="27" t="s">
        <v>62</v>
      </c>
      <c r="B68" s="37"/>
      <c r="C68" s="37"/>
      <c r="D68" s="56"/>
    </row>
    <row r="69" spans="1:86" x14ac:dyDescent="0.25">
      <c r="A69" t="s">
        <v>33</v>
      </c>
      <c r="B69" s="37"/>
      <c r="C69" s="37"/>
      <c r="D69" s="45">
        <f>IF(D51="","",+(D51-D58)+(D58*D61/D66))</f>
        <v>0</v>
      </c>
      <c r="E69" s="45">
        <f t="shared" ref="E69:AW69" si="215">IF(E51="","",+(E51-E58)+(E58*E61/E66))</f>
        <v>0</v>
      </c>
      <c r="F69" s="45">
        <f t="shared" si="215"/>
        <v>28636.335868779192</v>
      </c>
      <c r="G69" s="45">
        <f t="shared" si="215"/>
        <v>344669.92129031231</v>
      </c>
      <c r="H69" s="45">
        <f t="shared" si="215"/>
        <v>437739.69493695599</v>
      </c>
      <c r="I69" s="45">
        <f t="shared" si="215"/>
        <v>461093.89388914994</v>
      </c>
      <c r="J69" s="45">
        <f t="shared" si="215"/>
        <v>425531.99443758972</v>
      </c>
      <c r="K69" s="45">
        <f t="shared" si="215"/>
        <v>350101.97926152864</v>
      </c>
      <c r="L69" s="45">
        <f t="shared" si="215"/>
        <v>315194.78964232601</v>
      </c>
      <c r="M69" s="45">
        <f t="shared" si="215"/>
        <v>423499.84124645527</v>
      </c>
      <c r="N69" s="45">
        <f t="shared" si="215"/>
        <v>467459.76087976695</v>
      </c>
      <c r="O69" s="45">
        <f t="shared" si="215"/>
        <v>474323.05163473397</v>
      </c>
      <c r="P69" s="45">
        <f t="shared" si="215"/>
        <v>428810.25716296653</v>
      </c>
      <c r="Q69" s="45">
        <f t="shared" si="215"/>
        <v>339346.33491655142</v>
      </c>
      <c r="R69" s="45">
        <f t="shared" si="215"/>
        <v>302925.05162387801</v>
      </c>
      <c r="S69" s="45">
        <f t="shared" si="215"/>
        <v>399589.74786578171</v>
      </c>
      <c r="T69" s="45">
        <f t="shared" si="215"/>
        <v>536049.73122413771</v>
      </c>
      <c r="U69" s="45">
        <f t="shared" si="215"/>
        <v>503311.04413038632</v>
      </c>
      <c r="V69" s="45">
        <f t="shared" si="215"/>
        <v>453730.11803544633</v>
      </c>
      <c r="W69" s="45">
        <f t="shared" si="215"/>
        <v>307694.93026905361</v>
      </c>
      <c r="X69" s="45">
        <f t="shared" si="215"/>
        <v>328619.27667869348</v>
      </c>
      <c r="Y69" s="45">
        <f t="shared" si="215"/>
        <v>435339.54516653361</v>
      </c>
      <c r="Z69" s="45">
        <f t="shared" si="215"/>
        <v>565868.64496161381</v>
      </c>
      <c r="AA69" s="45">
        <f t="shared" si="215"/>
        <v>1375644.4768897495</v>
      </c>
      <c r="AB69" s="45">
        <f t="shared" si="215"/>
        <v>1787809.7846895901</v>
      </c>
      <c r="AC69" s="45">
        <f t="shared" si="215"/>
        <v>1208966.210998087</v>
      </c>
      <c r="AD69" s="45">
        <f t="shared" si="215"/>
        <v>1135096.7258818494</v>
      </c>
      <c r="AE69" s="45">
        <f t="shared" si="215"/>
        <v>1483131.5421443433</v>
      </c>
      <c r="AF69" s="45">
        <f t="shared" si="215"/>
        <v>1957827.6512690852</v>
      </c>
      <c r="AG69" s="45">
        <f t="shared" si="215"/>
        <v>1996815.833049651</v>
      </c>
      <c r="AH69" s="45">
        <f t="shared" si="215"/>
        <v>1962236.8311878431</v>
      </c>
      <c r="AI69" s="45">
        <f t="shared" si="215"/>
        <v>1361448.9893388003</v>
      </c>
      <c r="AJ69" s="45">
        <f t="shared" si="215"/>
        <v>1278047.5437683114</v>
      </c>
      <c r="AK69" s="45">
        <f t="shared" si="215"/>
        <v>1599362.0545714868</v>
      </c>
      <c r="AL69" s="45">
        <f t="shared" si="215"/>
        <v>2061688.4651608262</v>
      </c>
      <c r="AM69" s="45">
        <f t="shared" si="215"/>
        <v>1660014.398272939</v>
      </c>
      <c r="AN69" s="45">
        <f t="shared" si="215"/>
        <v>727343.38262135477</v>
      </c>
      <c r="AO69" s="45">
        <f t="shared" si="215"/>
        <v>558489.16557480057</v>
      </c>
      <c r="AP69" s="45">
        <f t="shared" si="215"/>
        <v>521512.93435668247</v>
      </c>
      <c r="AQ69" s="45">
        <f t="shared" si="215"/>
        <v>661161.70778882992</v>
      </c>
      <c r="AR69" s="45">
        <f t="shared" si="215"/>
        <v>907955.1483625297</v>
      </c>
      <c r="AS69" s="45">
        <f t="shared" si="215"/>
        <v>865613.78677226591</v>
      </c>
      <c r="AT69" s="45">
        <f t="shared" si="215"/>
        <v>722180.00996221579</v>
      </c>
      <c r="AU69" s="45">
        <f t="shared" si="215"/>
        <v>521401.47348380275</v>
      </c>
      <c r="AV69" s="45">
        <f t="shared" ref="AV69" si="216">IF(AV51="","",+(AV51-AV58)+(AV58*AV61/AV66))</f>
        <v>494704.46538048884</v>
      </c>
      <c r="AW69" s="45">
        <f t="shared" si="215"/>
        <v>756126.23939637165</v>
      </c>
      <c r="AX69" s="45">
        <f t="shared" ref="AX69:AY69" si="217">IF(AX51="","",+(AX51-AX58)+(AX58*AX61/AX66))</f>
        <v>905435.35475830093</v>
      </c>
      <c r="AY69" s="45">
        <f t="shared" si="217"/>
        <v>894861.30971378379</v>
      </c>
      <c r="AZ69" s="45">
        <f t="shared" ref="AZ69:BA69" si="218">IF(AZ51="","",+(AZ51-AZ58)+(AZ58*AZ61/AZ66))</f>
        <v>886186.43605950114</v>
      </c>
      <c r="BA69" s="45">
        <f t="shared" si="218"/>
        <v>765014.07629471621</v>
      </c>
      <c r="BB69" s="45">
        <f t="shared" ref="BB69:BC69" si="219">IF(BB51="","",+(BB51-BB58)+(BB58*BB61/BB66))</f>
        <v>653602.05200737016</v>
      </c>
      <c r="BC69" s="45">
        <f t="shared" si="219"/>
        <v>842781.28485866333</v>
      </c>
      <c r="BD69" s="45">
        <f t="shared" ref="BD69:BE69" si="220">IF(BD51="","",+(BD51-BD58)+(BD58*BD61/BD66))</f>
        <v>1100550.8342116643</v>
      </c>
      <c r="BE69" s="45">
        <f t="shared" si="220"/>
        <v>1135131.3126591197</v>
      </c>
      <c r="BF69" s="45">
        <f t="shared" ref="BF69:BG69" si="221">IF(BF51="","",+(BF51-BF58)+(BF58*BF61/BF66))</f>
        <v>1050840.2575926636</v>
      </c>
      <c r="BG69" s="45">
        <f t="shared" si="221"/>
        <v>764524.99814993259</v>
      </c>
      <c r="BH69" s="45">
        <f t="shared" ref="BH69:BI69" si="222">IF(BH51="","",+(BH51-BH58)+(BH58*BH61/BH66))</f>
        <v>670016.45565617608</v>
      </c>
      <c r="BI69" s="45">
        <f t="shared" si="222"/>
        <v>931821.74610436941</v>
      </c>
      <c r="BJ69" s="45">
        <f t="shared" ref="BJ69:BK69" si="223">IF(BJ51="","",+(BJ51-BJ58)+(BJ58*BJ61/BJ66))</f>
        <v>1217209.6013274563</v>
      </c>
      <c r="BK69" s="45">
        <f t="shared" si="223"/>
        <v>923613.94602948474</v>
      </c>
      <c r="BL69" s="45">
        <f t="shared" ref="BL69:BM69" si="224">IF(BL51="","",+(BL51-BL58)+(BL58*BL61/BL66))</f>
        <v>309676.30404386291</v>
      </c>
      <c r="BM69" s="45">
        <f t="shared" si="224"/>
        <v>277828.71246966731</v>
      </c>
      <c r="BN69" s="45">
        <f t="shared" ref="BN69:BO69" si="225">IF(BN51="","",+(BN51-BN58)+(BN58*BN61/BN66))</f>
        <v>251603.3624850972</v>
      </c>
      <c r="BO69" s="45">
        <f t="shared" si="225"/>
        <v>342099.90476893133</v>
      </c>
      <c r="BP69" s="45">
        <f t="shared" ref="BP69:BQ69" si="226">IF(BP51="","",+(BP51-BP58)+(BP58*BP61/BP66))</f>
        <v>456637.17127485393</v>
      </c>
      <c r="BQ69" s="45">
        <f t="shared" si="226"/>
        <v>416198.73979180312</v>
      </c>
      <c r="BR69" s="45">
        <f t="shared" ref="BR69:CH69" si="227">IF(BR51="","",+(BR51-BR58)+(BR58*BR61/BR66))</f>
        <v>395220.80121849308</v>
      </c>
      <c r="BS69" s="45">
        <f t="shared" si="227"/>
        <v>289269.85646854306</v>
      </c>
      <c r="BT69" s="45">
        <f t="shared" si="227"/>
        <v>316702.31165735261</v>
      </c>
      <c r="BU69" s="45">
        <f t="shared" si="227"/>
        <v>399492.0191064456</v>
      </c>
      <c r="BV69" s="45">
        <f t="shared" si="227"/>
        <v>469601.09296804987</v>
      </c>
      <c r="BW69" s="45" t="str">
        <f t="shared" si="227"/>
        <v/>
      </c>
      <c r="BX69" s="45" t="str">
        <f t="shared" si="227"/>
        <v/>
      </c>
      <c r="BY69" s="45" t="str">
        <f t="shared" si="227"/>
        <v/>
      </c>
      <c r="BZ69" s="45" t="str">
        <f t="shared" si="227"/>
        <v/>
      </c>
      <c r="CA69" s="45" t="str">
        <f t="shared" si="227"/>
        <v/>
      </c>
      <c r="CB69" s="45" t="str">
        <f t="shared" si="227"/>
        <v/>
      </c>
      <c r="CC69" s="45" t="str">
        <f t="shared" si="227"/>
        <v/>
      </c>
      <c r="CD69" s="45" t="str">
        <f t="shared" si="227"/>
        <v/>
      </c>
      <c r="CE69" s="45" t="str">
        <f t="shared" si="227"/>
        <v/>
      </c>
      <c r="CF69" s="45" t="str">
        <f t="shared" si="227"/>
        <v/>
      </c>
      <c r="CG69" s="45" t="str">
        <f t="shared" si="227"/>
        <v/>
      </c>
      <c r="CH69" s="45" t="str">
        <f t="shared" si="227"/>
        <v/>
      </c>
    </row>
    <row r="70" spans="1:86" x14ac:dyDescent="0.25">
      <c r="A70" t="s">
        <v>34</v>
      </c>
      <c r="B70" s="37"/>
      <c r="C70" s="37"/>
      <c r="D70" s="45">
        <f>IF(D52="","",+D52+(D58*D62/D66))</f>
        <v>0</v>
      </c>
      <c r="E70" s="45">
        <f t="shared" ref="E70:AW70" si="228">IF(E52="","",+E52+(E58*E62/E66))</f>
        <v>0</v>
      </c>
      <c r="F70" s="45">
        <f t="shared" si="228"/>
        <v>4662.874879564878</v>
      </c>
      <c r="G70" s="45">
        <f>IF(G52="","",+G52+(G58*G62/G66))</f>
        <v>60575.806014450071</v>
      </c>
      <c r="H70" s="45">
        <f t="shared" si="228"/>
        <v>69235.226705339766</v>
      </c>
      <c r="I70" s="45">
        <f t="shared" si="228"/>
        <v>71132.268141530934</v>
      </c>
      <c r="J70" s="45">
        <f t="shared" si="228"/>
        <v>68766.003213137257</v>
      </c>
      <c r="K70" s="45">
        <f t="shared" si="228"/>
        <v>61936.863591354115</v>
      </c>
      <c r="L70" s="45">
        <f t="shared" si="228"/>
        <v>55314.675500358826</v>
      </c>
      <c r="M70" s="45">
        <f t="shared" si="228"/>
        <v>64772.869833744619</v>
      </c>
      <c r="N70" s="45">
        <f t="shared" si="228"/>
        <v>69020.979330338465</v>
      </c>
      <c r="O70" s="45">
        <f t="shared" si="228"/>
        <v>72477.677451482814</v>
      </c>
      <c r="P70" s="45">
        <f t="shared" si="228"/>
        <v>71928.028717536567</v>
      </c>
      <c r="Q70" s="45">
        <f t="shared" si="228"/>
        <v>55453.451619799707</v>
      </c>
      <c r="R70" s="45">
        <f t="shared" si="228"/>
        <v>50391.746026202469</v>
      </c>
      <c r="S70" s="45">
        <f t="shared" si="228"/>
        <v>63389.498728401399</v>
      </c>
      <c r="T70" s="45">
        <f t="shared" si="228"/>
        <v>78881.855890584935</v>
      </c>
      <c r="U70" s="45">
        <f t="shared" si="228"/>
        <v>76955.02703194521</v>
      </c>
      <c r="V70" s="45">
        <f t="shared" si="228"/>
        <v>73755.388306573834</v>
      </c>
      <c r="W70" s="45">
        <f t="shared" si="228"/>
        <v>59772.834718849517</v>
      </c>
      <c r="X70" s="45">
        <f t="shared" si="228"/>
        <v>59572.876185864705</v>
      </c>
      <c r="Y70" s="45">
        <f t="shared" si="228"/>
        <v>68599.470346323797</v>
      </c>
      <c r="Z70" s="45">
        <f t="shared" si="228"/>
        <v>81564.73791205966</v>
      </c>
      <c r="AA70" s="45">
        <f t="shared" si="228"/>
        <v>242664.75286538465</v>
      </c>
      <c r="AB70" s="45">
        <f t="shared" si="228"/>
        <v>375919.83719992841</v>
      </c>
      <c r="AC70" s="45">
        <f t="shared" si="228"/>
        <v>300075.62636462261</v>
      </c>
      <c r="AD70" s="45">
        <f t="shared" si="228"/>
        <v>293923.98139317043</v>
      </c>
      <c r="AE70" s="45">
        <f t="shared" si="228"/>
        <v>350815.31218641665</v>
      </c>
      <c r="AF70" s="45">
        <f t="shared" si="228"/>
        <v>415012.49945076351</v>
      </c>
      <c r="AG70" s="45">
        <f t="shared" si="228"/>
        <v>415043.37829811877</v>
      </c>
      <c r="AH70" s="45">
        <f t="shared" si="228"/>
        <v>419425.17682734353</v>
      </c>
      <c r="AI70" s="45">
        <f t="shared" si="228"/>
        <v>350351.57477839955</v>
      </c>
      <c r="AJ70" s="45">
        <f t="shared" si="228"/>
        <v>312397.32107489841</v>
      </c>
      <c r="AK70" s="45">
        <f t="shared" si="228"/>
        <v>355639.37645809754</v>
      </c>
      <c r="AL70" s="45">
        <f t="shared" si="228"/>
        <v>419510.42236398638</v>
      </c>
      <c r="AM70" s="45">
        <f t="shared" si="228"/>
        <v>345889.73802590865</v>
      </c>
      <c r="AN70" s="45">
        <f t="shared" si="228"/>
        <v>199586.56344967708</v>
      </c>
      <c r="AO70" s="45">
        <f t="shared" si="228"/>
        <v>176831.15319493209</v>
      </c>
      <c r="AP70" s="45">
        <f t="shared" si="228"/>
        <v>171543.19774187819</v>
      </c>
      <c r="AQ70" s="45">
        <f t="shared" si="228"/>
        <v>199615.15184616181</v>
      </c>
      <c r="AR70" s="45">
        <f t="shared" si="228"/>
        <v>238634.42662698543</v>
      </c>
      <c r="AS70" s="45">
        <f t="shared" si="228"/>
        <v>233703.41244781748</v>
      </c>
      <c r="AT70" s="45">
        <f t="shared" si="228"/>
        <v>214332.64423371092</v>
      </c>
      <c r="AU70" s="45">
        <f t="shared" si="228"/>
        <v>176304.098950004</v>
      </c>
      <c r="AV70" s="45">
        <f t="shared" ref="AV70" si="229">IF(AV52="","",+AV52+(AV58*AV62/AV66))</f>
        <v>167898.42293823551</v>
      </c>
      <c r="AW70" s="45">
        <f t="shared" si="228"/>
        <v>208742.33055279544</v>
      </c>
      <c r="AX70" s="45">
        <f t="shared" ref="AX70:AY70" si="230">IF(AX52="","",+AX52+(AX58*AX62/AX66))</f>
        <v>238776.54615310833</v>
      </c>
      <c r="AY70" s="45">
        <f t="shared" si="230"/>
        <v>183122.16294648265</v>
      </c>
      <c r="AZ70" s="45">
        <f t="shared" ref="AZ70:BA70" si="231">IF(AZ52="","",+AZ52+(AZ58*AZ62/AZ66))</f>
        <v>132175.3110263155</v>
      </c>
      <c r="BA70" s="45">
        <f t="shared" si="231"/>
        <v>121716.31880553745</v>
      </c>
      <c r="BB70" s="45">
        <f t="shared" ref="BB70:BC70" si="232">IF(BB52="","",+BB52+(BB58*BB62/BB66))</f>
        <v>112859.12458406219</v>
      </c>
      <c r="BC70" s="45">
        <f t="shared" si="232"/>
        <v>135711.65425614105</v>
      </c>
      <c r="BD70" s="45">
        <f t="shared" ref="BD70:BE70" si="233">IF(BD52="","",+BD52+(BD58*BD62/BD66))</f>
        <v>157092.67328108675</v>
      </c>
      <c r="BE70" s="45">
        <f t="shared" si="233"/>
        <v>160402.84864590407</v>
      </c>
      <c r="BF70" s="45">
        <f t="shared" ref="BF70:BG70" si="234">IF(BF52="","",+BF52+(BF58*BF62/BF66))</f>
        <v>155339.15490700732</v>
      </c>
      <c r="BG70" s="45">
        <f t="shared" si="234"/>
        <v>131677.62985970045</v>
      </c>
      <c r="BH70" s="45">
        <f t="shared" ref="BH70:BI70" si="235">IF(BH52="","",+BH52+(BH58*BH62/BH66))</f>
        <v>120918.22269657685</v>
      </c>
      <c r="BI70" s="45">
        <f t="shared" si="235"/>
        <v>138127.82733634952</v>
      </c>
      <c r="BJ70" s="45">
        <f t="shared" ref="BJ70:BK70" si="236">IF(BJ52="","",+BJ52+(BJ58*BJ62/BJ66))</f>
        <v>166136.60452411827</v>
      </c>
      <c r="BK70" s="45">
        <f t="shared" si="236"/>
        <v>176808.40654881706</v>
      </c>
      <c r="BL70" s="45">
        <f t="shared" ref="BL70:BM70" si="237">IF(BL52="","",+BL52+(BL58*BL62/BL66))</f>
        <v>164534.37132568457</v>
      </c>
      <c r="BM70" s="45">
        <f t="shared" si="237"/>
        <v>160123.77436654735</v>
      </c>
      <c r="BN70" s="45">
        <f t="shared" ref="BN70:BO70" si="238">IF(BN52="","",+BN52+(BN58*BN62/BN66))</f>
        <v>152714.47419511774</v>
      </c>
      <c r="BO70" s="45">
        <f t="shared" si="238"/>
        <v>186653.21437213788</v>
      </c>
      <c r="BP70" s="45">
        <f t="shared" ref="BP70:BQ70" si="239">IF(BP52="","",+BP52+(BP58*BP62/BP66))</f>
        <v>223027.91014690811</v>
      </c>
      <c r="BQ70" s="45">
        <f t="shared" si="239"/>
        <v>209338.96303343435</v>
      </c>
      <c r="BR70" s="45">
        <f t="shared" ref="BR70:CH70" si="240">IF(BR52="","",+BR52+(BR58*BR62/BR66))</f>
        <v>203862.2764313856</v>
      </c>
      <c r="BS70" s="45">
        <f t="shared" si="240"/>
        <v>172077.40616793602</v>
      </c>
      <c r="BT70" s="45">
        <f t="shared" si="240"/>
        <v>161460.37279541328</v>
      </c>
      <c r="BU70" s="45">
        <f t="shared" si="240"/>
        <v>193143.64387531852</v>
      </c>
      <c r="BV70" s="45">
        <f t="shared" si="240"/>
        <v>217122.24136735094</v>
      </c>
      <c r="BW70" s="45" t="str">
        <f t="shared" si="240"/>
        <v/>
      </c>
      <c r="BX70" s="45" t="str">
        <f t="shared" si="240"/>
        <v/>
      </c>
      <c r="BY70" s="45" t="str">
        <f t="shared" si="240"/>
        <v/>
      </c>
      <c r="BZ70" s="45" t="str">
        <f t="shared" si="240"/>
        <v/>
      </c>
      <c r="CA70" s="45" t="str">
        <f t="shared" si="240"/>
        <v/>
      </c>
      <c r="CB70" s="45" t="str">
        <f t="shared" si="240"/>
        <v/>
      </c>
      <c r="CC70" s="45" t="str">
        <f t="shared" si="240"/>
        <v/>
      </c>
      <c r="CD70" s="45" t="str">
        <f t="shared" si="240"/>
        <v/>
      </c>
      <c r="CE70" s="45" t="str">
        <f t="shared" si="240"/>
        <v/>
      </c>
      <c r="CF70" s="45" t="str">
        <f t="shared" si="240"/>
        <v/>
      </c>
      <c r="CG70" s="45" t="str">
        <f t="shared" si="240"/>
        <v/>
      </c>
      <c r="CH70" s="45" t="str">
        <f t="shared" si="240"/>
        <v/>
      </c>
    </row>
    <row r="71" spans="1:86" x14ac:dyDescent="0.25">
      <c r="A71" t="s">
        <v>35</v>
      </c>
      <c r="B71" s="37"/>
      <c r="C71" s="37"/>
      <c r="D71" s="45">
        <f>IF(D53="","",+D53+(D58*D63/D66))</f>
        <v>0</v>
      </c>
      <c r="E71" s="45">
        <f t="shared" ref="E71:AW71" si="241">IF(E53="","",+E53+(E58*E63/E66))</f>
        <v>0</v>
      </c>
      <c r="F71" s="45">
        <f t="shared" si="241"/>
        <v>6753.6701978728988</v>
      </c>
      <c r="G71" s="45">
        <f>IF(G53="","",+G53+(G58*G63/G66))</f>
        <v>107151.44580605239</v>
      </c>
      <c r="H71" s="45">
        <f t="shared" si="241"/>
        <v>115634.5208649429</v>
      </c>
      <c r="I71" s="45">
        <f t="shared" si="241"/>
        <v>118331.81312804784</v>
      </c>
      <c r="J71" s="45">
        <f t="shared" si="241"/>
        <v>119601.33814288217</v>
      </c>
      <c r="K71" s="45">
        <f t="shared" si="241"/>
        <v>109968.9574924099</v>
      </c>
      <c r="L71" s="45">
        <f t="shared" si="241"/>
        <v>96533.881711475129</v>
      </c>
      <c r="M71" s="45">
        <f t="shared" si="241"/>
        <v>104142.56971532079</v>
      </c>
      <c r="N71" s="45">
        <f t="shared" si="241"/>
        <v>107611.86637282498</v>
      </c>
      <c r="O71" s="45">
        <f t="shared" si="241"/>
        <v>104313.87773241718</v>
      </c>
      <c r="P71" s="45">
        <f t="shared" si="241"/>
        <v>98420.974410363575</v>
      </c>
      <c r="Q71" s="45">
        <f t="shared" si="241"/>
        <v>84560.155028366615</v>
      </c>
      <c r="R71" s="45">
        <f t="shared" si="241"/>
        <v>79147.524446379844</v>
      </c>
      <c r="S71" s="45">
        <f t="shared" si="241"/>
        <v>94049.927973792379</v>
      </c>
      <c r="T71" s="45">
        <f t="shared" si="241"/>
        <v>109708.48677351972</v>
      </c>
      <c r="U71" s="45">
        <f t="shared" si="241"/>
        <v>109463.73998502946</v>
      </c>
      <c r="V71" s="45">
        <f t="shared" si="241"/>
        <v>109154.24836711264</v>
      </c>
      <c r="W71" s="45">
        <f t="shared" si="241"/>
        <v>93111.170115006884</v>
      </c>
      <c r="X71" s="45">
        <f t="shared" si="241"/>
        <v>90314.439841834988</v>
      </c>
      <c r="Y71" s="45">
        <f t="shared" si="241"/>
        <v>96572.606390330679</v>
      </c>
      <c r="Z71" s="45">
        <f t="shared" si="241"/>
        <v>102973.56100695563</v>
      </c>
      <c r="AA71" s="45">
        <f t="shared" si="241"/>
        <v>317054.12799449282</v>
      </c>
      <c r="AB71" s="45">
        <f t="shared" si="241"/>
        <v>555274.69988765684</v>
      </c>
      <c r="AC71" s="45">
        <f t="shared" si="241"/>
        <v>496959.09444564459</v>
      </c>
      <c r="AD71" s="45">
        <f t="shared" si="241"/>
        <v>507462.60422851134</v>
      </c>
      <c r="AE71" s="45">
        <f t="shared" si="241"/>
        <v>564396.00989380945</v>
      </c>
      <c r="AF71" s="45">
        <f t="shared" si="241"/>
        <v>660447.26760719228</v>
      </c>
      <c r="AG71" s="45">
        <f t="shared" si="241"/>
        <v>654260.67532357096</v>
      </c>
      <c r="AH71" s="45">
        <f t="shared" si="241"/>
        <v>666957.41235823918</v>
      </c>
      <c r="AI71" s="45">
        <f t="shared" si="241"/>
        <v>587413.62430156593</v>
      </c>
      <c r="AJ71" s="45">
        <f t="shared" si="241"/>
        <v>519976.82051891321</v>
      </c>
      <c r="AK71" s="45">
        <f t="shared" si="241"/>
        <v>567613.70409043762</v>
      </c>
      <c r="AL71" s="45">
        <f t="shared" si="241"/>
        <v>605915.85091646248</v>
      </c>
      <c r="AM71" s="45">
        <f t="shared" si="241"/>
        <v>491377.50787101442</v>
      </c>
      <c r="AN71" s="45">
        <f t="shared" si="241"/>
        <v>295776.31891815155</v>
      </c>
      <c r="AO71" s="45">
        <f t="shared" si="241"/>
        <v>275370.89343587006</v>
      </c>
      <c r="AP71" s="45">
        <f t="shared" si="241"/>
        <v>285530.13328453153</v>
      </c>
      <c r="AQ71" s="45">
        <f t="shared" si="241"/>
        <v>320626.18147462484</v>
      </c>
      <c r="AR71" s="45">
        <f t="shared" si="241"/>
        <v>359045.8467287785</v>
      </c>
      <c r="AS71" s="45">
        <f t="shared" si="241"/>
        <v>356393.75583709526</v>
      </c>
      <c r="AT71" s="45">
        <f t="shared" si="241"/>
        <v>340966.67570072628</v>
      </c>
      <c r="AU71" s="45">
        <f t="shared" si="241"/>
        <v>293032.69252515415</v>
      </c>
      <c r="AV71" s="45">
        <f t="shared" ref="AV71" si="242">IF(AV53="","",+AV53+(AV58*AV63/AV66))</f>
        <v>284530.72242752794</v>
      </c>
      <c r="AW71" s="45">
        <f t="shared" si="241"/>
        <v>315151.4942720079</v>
      </c>
      <c r="AX71" s="45">
        <f t="shared" ref="AX71:AY71" si="243">IF(AX53="","",+AX53+(AX58*AX63/AX66))</f>
        <v>326915.51533468132</v>
      </c>
      <c r="AY71" s="45">
        <f t="shared" si="243"/>
        <v>495028.13257713738</v>
      </c>
      <c r="AZ71" s="45">
        <f t="shared" ref="AZ71:BA71" si="244">IF(AZ53="","",+AZ53+(AZ58*AZ63/AZ66))</f>
        <v>776601.02939900942</v>
      </c>
      <c r="BA71" s="45">
        <f t="shared" si="244"/>
        <v>744958.66884249065</v>
      </c>
      <c r="BB71" s="45">
        <f t="shared" ref="BB71:BC71" si="245">IF(BB53="","",+BB53+(BB58*BB63/BB66))</f>
        <v>742679.53603549488</v>
      </c>
      <c r="BC71" s="45">
        <f t="shared" si="245"/>
        <v>838043.54050146521</v>
      </c>
      <c r="BD71" s="45">
        <f t="shared" ref="BD71:BE71" si="246">IF(BD53="","",+BD53+(BD58*BD63/BD66))</f>
        <v>901539.36414699082</v>
      </c>
      <c r="BE71" s="45">
        <f t="shared" si="246"/>
        <v>933578.0584226402</v>
      </c>
      <c r="BF71" s="45">
        <f t="shared" ref="BF71:BG71" si="247">IF(BF53="","",+BF53+(BF58*BF63/BF66))</f>
        <v>935041.31426513928</v>
      </c>
      <c r="BG71" s="45">
        <f t="shared" si="247"/>
        <v>822431.07735931734</v>
      </c>
      <c r="BH71" s="45">
        <f t="shared" ref="BH71:BI71" si="248">IF(BH53="","",+BH53+(BH58*BH63/BH66))</f>
        <v>757805.67077663436</v>
      </c>
      <c r="BI71" s="45">
        <f t="shared" si="248"/>
        <v>806243.01024479186</v>
      </c>
      <c r="BJ71" s="45">
        <f t="shared" ref="BJ71:BK71" si="249">IF(BJ53="","",+BJ53+(BJ58*BJ63/BJ66))</f>
        <v>887557.66763329331</v>
      </c>
      <c r="BK71" s="45">
        <f t="shared" si="249"/>
        <v>668377.87423099403</v>
      </c>
      <c r="BL71" s="45">
        <f t="shared" ref="BL71:BM71" si="250">IF(BL53="","",+BL53+(BL58*BL63/BL66))</f>
        <v>391022.57774303708</v>
      </c>
      <c r="BM71" s="45">
        <f t="shared" si="250"/>
        <v>386888.30936900136</v>
      </c>
      <c r="BN71" s="45">
        <f t="shared" ref="BN71:BO71" si="251">IF(BN53="","",+BN53+(BN58*BN63/BN66))</f>
        <v>389331.8334457695</v>
      </c>
      <c r="BO71" s="45">
        <f t="shared" si="251"/>
        <v>441026.67746722768</v>
      </c>
      <c r="BP71" s="45">
        <f t="shared" ref="BP71:BQ71" si="252">IF(BP53="","",+BP53+(BP58*BP63/BP66))</f>
        <v>497722.67888960714</v>
      </c>
      <c r="BQ71" s="45">
        <f t="shared" si="252"/>
        <v>467145.79989049118</v>
      </c>
      <c r="BR71" s="45">
        <f t="shared" ref="BR71:CH71" si="253">IF(BR53="","",+BR53+(BR58*BR63/BR66))</f>
        <v>467468.93906646414</v>
      </c>
      <c r="BS71" s="45">
        <f t="shared" si="253"/>
        <v>417199.16446984245</v>
      </c>
      <c r="BT71" s="45">
        <f t="shared" si="253"/>
        <v>395829.17915809393</v>
      </c>
      <c r="BU71" s="45">
        <f t="shared" si="253"/>
        <v>435336.0932704882</v>
      </c>
      <c r="BV71" s="45">
        <f t="shared" si="253"/>
        <v>457263.38055354316</v>
      </c>
      <c r="BW71" s="45" t="str">
        <f t="shared" si="253"/>
        <v/>
      </c>
      <c r="BX71" s="45" t="str">
        <f t="shared" si="253"/>
        <v/>
      </c>
      <c r="BY71" s="45" t="str">
        <f t="shared" si="253"/>
        <v/>
      </c>
      <c r="BZ71" s="45" t="str">
        <f t="shared" si="253"/>
        <v/>
      </c>
      <c r="CA71" s="45" t="str">
        <f t="shared" si="253"/>
        <v/>
      </c>
      <c r="CB71" s="45" t="str">
        <f t="shared" si="253"/>
        <v/>
      </c>
      <c r="CC71" s="45" t="str">
        <f t="shared" si="253"/>
        <v/>
      </c>
      <c r="CD71" s="45" t="str">
        <f t="shared" si="253"/>
        <v/>
      </c>
      <c r="CE71" s="45" t="str">
        <f t="shared" si="253"/>
        <v/>
      </c>
      <c r="CF71" s="45" t="str">
        <f t="shared" si="253"/>
        <v/>
      </c>
      <c r="CG71" s="45" t="str">
        <f t="shared" si="253"/>
        <v/>
      </c>
      <c r="CH71" s="45" t="str">
        <f t="shared" si="253"/>
        <v/>
      </c>
    </row>
    <row r="72" spans="1:86" x14ac:dyDescent="0.25">
      <c r="A72" t="s">
        <v>36</v>
      </c>
      <c r="B72" s="37"/>
      <c r="C72" s="37"/>
      <c r="D72" s="45">
        <f>IF(D54="","",+D54+(D58*D64/D66))</f>
        <v>0</v>
      </c>
      <c r="E72" s="45">
        <f t="shared" ref="E72:AW72" si="254">IF(E54="","",+E54+(E58*E64/E66))</f>
        <v>0</v>
      </c>
      <c r="F72" s="45">
        <f t="shared" si="254"/>
        <v>2381.1324731369587</v>
      </c>
      <c r="G72" s="45">
        <f>IF(G54="","",+G54+(G58*G64/G66))</f>
        <v>41080.759711289073</v>
      </c>
      <c r="H72" s="45">
        <f t="shared" si="254"/>
        <v>46620.227707662583</v>
      </c>
      <c r="I72" s="45">
        <f t="shared" si="254"/>
        <v>48915.290383093015</v>
      </c>
      <c r="J72" s="45">
        <f t="shared" si="254"/>
        <v>48689.064699160743</v>
      </c>
      <c r="K72" s="45">
        <f t="shared" si="254"/>
        <v>45154.720570269681</v>
      </c>
      <c r="L72" s="45">
        <f t="shared" si="254"/>
        <v>41515.04923810179</v>
      </c>
      <c r="M72" s="45">
        <f t="shared" si="254"/>
        <v>41594.548478057877</v>
      </c>
      <c r="N72" s="45">
        <f t="shared" si="254"/>
        <v>42743.649469302021</v>
      </c>
      <c r="O72" s="45">
        <f t="shared" si="254"/>
        <v>43471.756585125317</v>
      </c>
      <c r="P72" s="45">
        <f t="shared" si="254"/>
        <v>37573.855689531287</v>
      </c>
      <c r="Q72" s="45">
        <f t="shared" si="254"/>
        <v>36905.295455925545</v>
      </c>
      <c r="R72" s="45">
        <f t="shared" si="254"/>
        <v>34871.894488322658</v>
      </c>
      <c r="S72" s="45">
        <f t="shared" si="254"/>
        <v>40727.091457001268</v>
      </c>
      <c r="T72" s="45">
        <f t="shared" si="254"/>
        <v>42825.077518324979</v>
      </c>
      <c r="U72" s="45">
        <f t="shared" si="254"/>
        <v>44954.202556147626</v>
      </c>
      <c r="V72" s="45">
        <f t="shared" si="254"/>
        <v>45054.75137109276</v>
      </c>
      <c r="W72" s="45">
        <f t="shared" si="254"/>
        <v>40035.738044047088</v>
      </c>
      <c r="X72" s="45">
        <f t="shared" si="254"/>
        <v>39574.059026383933</v>
      </c>
      <c r="Y72" s="45">
        <f t="shared" si="254"/>
        <v>41188.257144152223</v>
      </c>
      <c r="Z72" s="45">
        <f t="shared" si="254"/>
        <v>40226.995717895465</v>
      </c>
      <c r="AA72" s="45">
        <f t="shared" si="254"/>
        <v>108585.49808616596</v>
      </c>
      <c r="AB72" s="45">
        <f t="shared" si="254"/>
        <v>181792.64072508441</v>
      </c>
      <c r="AC72" s="45">
        <f t="shared" si="254"/>
        <v>183572.05910467496</v>
      </c>
      <c r="AD72" s="45">
        <f t="shared" si="254"/>
        <v>190770.53370651661</v>
      </c>
      <c r="AE72" s="45">
        <f t="shared" si="254"/>
        <v>183881.99525765545</v>
      </c>
      <c r="AF72" s="45">
        <f t="shared" si="254"/>
        <v>245635.92921565124</v>
      </c>
      <c r="AG72" s="45">
        <f t="shared" si="254"/>
        <v>225402.14448890529</v>
      </c>
      <c r="AH72" s="45">
        <f t="shared" si="254"/>
        <v>228315.5064563354</v>
      </c>
      <c r="AI72" s="45">
        <f t="shared" si="254"/>
        <v>197613.76683715408</v>
      </c>
      <c r="AJ72" s="45">
        <f t="shared" si="254"/>
        <v>171603.607119394</v>
      </c>
      <c r="AK72" s="45">
        <f t="shared" si="254"/>
        <v>225113.97993017494</v>
      </c>
      <c r="AL72" s="45">
        <f t="shared" si="254"/>
        <v>217125.39653110137</v>
      </c>
      <c r="AM72" s="45">
        <f t="shared" si="254"/>
        <v>162221.33538769459</v>
      </c>
      <c r="AN72" s="45">
        <f t="shared" si="254"/>
        <v>84753.684454895163</v>
      </c>
      <c r="AO72" s="45">
        <f t="shared" si="254"/>
        <v>72198.807943159496</v>
      </c>
      <c r="AP72" s="45">
        <f t="shared" si="254"/>
        <v>84979.402614517516</v>
      </c>
      <c r="AQ72" s="45">
        <f t="shared" si="254"/>
        <v>96900.261492082005</v>
      </c>
      <c r="AR72" s="45">
        <f t="shared" si="254"/>
        <v>100482.39287136923</v>
      </c>
      <c r="AS72" s="45">
        <f t="shared" si="254"/>
        <v>99567.440007197365</v>
      </c>
      <c r="AT72" s="45">
        <f t="shared" si="254"/>
        <v>97105.740111514999</v>
      </c>
      <c r="AU72" s="45">
        <f t="shared" si="254"/>
        <v>86103.564631792964</v>
      </c>
      <c r="AV72" s="45">
        <f t="shared" ref="AV72" si="255">IF(AV54="","",+AV54+(AV58*AV64/AV66))</f>
        <v>86765.912910017505</v>
      </c>
      <c r="AW72" s="45">
        <f t="shared" si="254"/>
        <v>89195.654381293964</v>
      </c>
      <c r="AX72" s="45">
        <f t="shared" ref="AX72:AY72" si="256">IF(AX54="","",+AX54+(AX58*AX64/AX66))</f>
        <v>84853.67359430436</v>
      </c>
      <c r="AY72" s="45">
        <f t="shared" si="256"/>
        <v>116964.64095577589</v>
      </c>
      <c r="AZ72" s="45">
        <f t="shared" ref="AZ72:BA72" si="257">IF(AZ54="","",+AZ54+(AZ58*AZ64/AZ66))</f>
        <v>189332.91154715291</v>
      </c>
      <c r="BA72" s="45">
        <f t="shared" si="257"/>
        <v>196301.33578545341</v>
      </c>
      <c r="BB72" s="45">
        <f t="shared" ref="BB72:BC72" si="258">IF(BB54="","",+BB54+(BB58*BB64/BB66))</f>
        <v>196733.17904220874</v>
      </c>
      <c r="BC72" s="45">
        <f t="shared" si="258"/>
        <v>205719.5189357409</v>
      </c>
      <c r="BD72" s="45">
        <f t="shared" ref="BD72:BE72" si="259">IF(BD54="","",+BD54+(BD58*BD64/BD66))</f>
        <v>210715.73838310986</v>
      </c>
      <c r="BE72" s="45">
        <f t="shared" si="259"/>
        <v>238375.38279456849</v>
      </c>
      <c r="BF72" s="45">
        <f t="shared" ref="BF72:BG72" si="260">IF(BF54="","",+BF54+(BF58*BF64/BF66))</f>
        <v>227841.78131597498</v>
      </c>
      <c r="BG72" s="45">
        <f t="shared" si="260"/>
        <v>197896.49528830158</v>
      </c>
      <c r="BH72" s="45">
        <f t="shared" ref="BH72:BI72" si="261">IF(BH54="","",+BH54+(BH58*BH64/BH66))</f>
        <v>199204.41428746725</v>
      </c>
      <c r="BI72" s="45">
        <f t="shared" si="261"/>
        <v>195080.60409575581</v>
      </c>
      <c r="BJ72" s="45">
        <f t="shared" ref="BJ72:BK72" si="262">IF(BJ54="","",+BJ54+(BJ58*BJ64/BJ66))</f>
        <v>205676.46607758498</v>
      </c>
      <c r="BK72" s="45">
        <f t="shared" si="262"/>
        <v>164528.34319845738</v>
      </c>
      <c r="BL72" s="45">
        <f t="shared" ref="BL72:BM72" si="263">IF(BL54="","",+BL54+(BL58*BL64/BL66))</f>
        <v>82355.750369557412</v>
      </c>
      <c r="BM72" s="45">
        <f t="shared" si="263"/>
        <v>75136.769948506291</v>
      </c>
      <c r="BN72" s="45">
        <f t="shared" ref="BN72:BO72" si="264">IF(BN54="","",+BN54+(BN58*BN64/BN66))</f>
        <v>79020.330975310935</v>
      </c>
      <c r="BO72" s="45">
        <f t="shared" si="264"/>
        <v>86151.63231358421</v>
      </c>
      <c r="BP72" s="45">
        <f t="shared" ref="BP72:BQ72" si="265">IF(BP54="","",+BP54+(BP58*BP64/BP66))</f>
        <v>92390.851174746815</v>
      </c>
      <c r="BQ72" s="45">
        <f t="shared" si="265"/>
        <v>87335.237425234605</v>
      </c>
      <c r="BR72" s="45">
        <f t="shared" ref="BR72:CH72" si="266">IF(BR54="","",+BR54+(BR58*BR64/BR66))</f>
        <v>85732.605078085864</v>
      </c>
      <c r="BS72" s="45">
        <f t="shared" si="266"/>
        <v>84245.2067722707</v>
      </c>
      <c r="BT72" s="45">
        <f t="shared" si="266"/>
        <v>80045.61282761168</v>
      </c>
      <c r="BU72" s="45">
        <f t="shared" si="266"/>
        <v>84525.587720082898</v>
      </c>
      <c r="BV72" s="45">
        <f t="shared" si="266"/>
        <v>88095.09078539873</v>
      </c>
      <c r="BW72" s="45" t="str">
        <f t="shared" si="266"/>
        <v/>
      </c>
      <c r="BX72" s="45" t="str">
        <f t="shared" si="266"/>
        <v/>
      </c>
      <c r="BY72" s="45" t="str">
        <f t="shared" si="266"/>
        <v/>
      </c>
      <c r="BZ72" s="45" t="str">
        <f t="shared" si="266"/>
        <v/>
      </c>
      <c r="CA72" s="45" t="str">
        <f t="shared" si="266"/>
        <v/>
      </c>
      <c r="CB72" s="45" t="str">
        <f t="shared" si="266"/>
        <v/>
      </c>
      <c r="CC72" s="45" t="str">
        <f t="shared" si="266"/>
        <v/>
      </c>
      <c r="CD72" s="45" t="str">
        <f t="shared" si="266"/>
        <v/>
      </c>
      <c r="CE72" s="45" t="str">
        <f t="shared" si="266"/>
        <v/>
      </c>
      <c r="CF72" s="45" t="str">
        <f t="shared" si="266"/>
        <v/>
      </c>
      <c r="CG72" s="45" t="str">
        <f t="shared" si="266"/>
        <v/>
      </c>
      <c r="CH72" s="45" t="str">
        <f t="shared" si="266"/>
        <v/>
      </c>
    </row>
    <row r="73" spans="1:86" x14ac:dyDescent="0.25">
      <c r="A73" t="s">
        <v>37</v>
      </c>
      <c r="B73" s="37"/>
      <c r="C73" s="37"/>
      <c r="D73" s="45">
        <f>IF(D55="","",+D55+(D58*D65/D66))</f>
        <v>0</v>
      </c>
      <c r="E73" s="45">
        <f t="shared" ref="E73:AW73" si="267">IF(E55="","",+E55+(E58*E65/E66))</f>
        <v>0</v>
      </c>
      <c r="F73" s="45">
        <f>IF(F55="","",+F55+(F58*F65/F66))</f>
        <v>-48.583419353926594</v>
      </c>
      <c r="G73" s="45">
        <f>IF(G55="","",+G55+(G58*G65/G66))</f>
        <v>4125.9071778961579</v>
      </c>
      <c r="H73" s="45">
        <f t="shared" si="267"/>
        <v>6806.3797850987785</v>
      </c>
      <c r="I73" s="45">
        <f t="shared" si="267"/>
        <v>7524.9044581782691</v>
      </c>
      <c r="J73" s="45">
        <f t="shared" si="267"/>
        <v>7658.4495072300715</v>
      </c>
      <c r="K73" s="45">
        <f t="shared" si="267"/>
        <v>7241.6490844376849</v>
      </c>
      <c r="L73" s="45">
        <f t="shared" si="267"/>
        <v>6323.5939077382554</v>
      </c>
      <c r="M73" s="45">
        <f t="shared" si="267"/>
        <v>5864.7707264215042</v>
      </c>
      <c r="N73" s="45">
        <f t="shared" si="267"/>
        <v>6186.9939477675571</v>
      </c>
      <c r="O73" s="45">
        <f t="shared" si="267"/>
        <v>10792.766596240668</v>
      </c>
      <c r="P73" s="45">
        <f t="shared" si="267"/>
        <v>19312.38401960209</v>
      </c>
      <c r="Q73" s="45">
        <f t="shared" si="267"/>
        <v>21254.31297935671</v>
      </c>
      <c r="R73" s="45">
        <f t="shared" si="267"/>
        <v>21637.663415217026</v>
      </c>
      <c r="S73" s="45">
        <f t="shared" si="267"/>
        <v>16834.533975023267</v>
      </c>
      <c r="T73" s="45">
        <f t="shared" si="267"/>
        <v>24355.538593432568</v>
      </c>
      <c r="U73" s="45">
        <f t="shared" si="267"/>
        <v>25113.656296491379</v>
      </c>
      <c r="V73" s="45">
        <f t="shared" si="267"/>
        <v>25507.793919774442</v>
      </c>
      <c r="W73" s="45">
        <f t="shared" si="267"/>
        <v>22463.576853042847</v>
      </c>
      <c r="X73" s="45">
        <f t="shared" si="267"/>
        <v>21960.458267222853</v>
      </c>
      <c r="Y73" s="45">
        <f t="shared" si="267"/>
        <v>22338.840952659717</v>
      </c>
      <c r="Z73" s="45">
        <f t="shared" si="267"/>
        <v>20382.980401475455</v>
      </c>
      <c r="AA73" s="45">
        <f t="shared" si="267"/>
        <v>32953.904164207008</v>
      </c>
      <c r="AB73" s="45">
        <f t="shared" si="267"/>
        <v>23500.247497740351</v>
      </c>
      <c r="AC73" s="45">
        <f t="shared" si="267"/>
        <v>40293.609086971141</v>
      </c>
      <c r="AD73" s="45">
        <f t="shared" si="267"/>
        <v>41000.534789952151</v>
      </c>
      <c r="AE73" s="45">
        <f t="shared" si="267"/>
        <v>39665.300517775315</v>
      </c>
      <c r="AF73" s="45">
        <f t="shared" si="267"/>
        <v>50592.172457307752</v>
      </c>
      <c r="AG73" s="45">
        <f t="shared" si="267"/>
        <v>48111.888839753803</v>
      </c>
      <c r="AH73" s="45">
        <f t="shared" si="267"/>
        <v>52046.073170238742</v>
      </c>
      <c r="AI73" s="45">
        <f t="shared" si="267"/>
        <v>47917.124744080225</v>
      </c>
      <c r="AJ73" s="45">
        <f t="shared" si="267"/>
        <v>31542.387518483061</v>
      </c>
      <c r="AK73" s="45">
        <f t="shared" si="267"/>
        <v>43557.154949803051</v>
      </c>
      <c r="AL73" s="45">
        <f t="shared" si="267"/>
        <v>40956.195027623748</v>
      </c>
      <c r="AM73" s="45">
        <f t="shared" si="267"/>
        <v>34081.150442443461</v>
      </c>
      <c r="AN73" s="45">
        <f t="shared" si="267"/>
        <v>5569.4805559214219</v>
      </c>
      <c r="AO73" s="45">
        <f t="shared" si="267"/>
        <v>-23801.130148762259</v>
      </c>
      <c r="AP73" s="45">
        <f t="shared" si="267"/>
        <v>4425.0020023903071</v>
      </c>
      <c r="AQ73" s="45">
        <f t="shared" si="267"/>
        <v>5427.3573983012948</v>
      </c>
      <c r="AR73" s="45">
        <f t="shared" si="267"/>
        <v>6149.5954103370386</v>
      </c>
      <c r="AS73" s="45">
        <f t="shared" si="267"/>
        <v>6063.694935624073</v>
      </c>
      <c r="AT73" s="45">
        <f t="shared" si="267"/>
        <v>6340.9099918320171</v>
      </c>
      <c r="AU73" s="45">
        <f t="shared" si="267"/>
        <v>5452.5804092461303</v>
      </c>
      <c r="AV73" s="45">
        <f t="shared" ref="AV73" si="268">IF(AV55="","",+AV55+(AV58*AV65/AV66))</f>
        <v>5374.9963437301585</v>
      </c>
      <c r="AW73" s="45">
        <f t="shared" si="267"/>
        <v>4968.6713975309985</v>
      </c>
      <c r="AX73" s="45">
        <f t="shared" ref="AX73:AY73" si="269">IF(AX55="","",+AX55+(AX58*AX65/AX66))</f>
        <v>4126.6501596050875</v>
      </c>
      <c r="AY73" s="45">
        <f t="shared" si="269"/>
        <v>6475.6438068202078</v>
      </c>
      <c r="AZ73" s="45">
        <f t="shared" ref="AZ73:BA73" si="270">IF(AZ55="","",+AZ55+(AZ58*AZ65/AZ66))</f>
        <v>20514.021968021043</v>
      </c>
      <c r="BA73" s="45">
        <f t="shared" si="270"/>
        <v>20728.070271802189</v>
      </c>
      <c r="BB73" s="45">
        <f t="shared" ref="BB73:BC73" si="271">IF(BB55="","",+BB55+(BB58*BB65/BB66))</f>
        <v>21860.388330864007</v>
      </c>
      <c r="BC73" s="45">
        <f t="shared" si="271"/>
        <v>26312.731447989569</v>
      </c>
      <c r="BD73" s="45">
        <f t="shared" ref="BD73:BE73" si="272">IF(BD55="","",+BD55+(BD58*BD65/BD66))</f>
        <v>24544.16997714834</v>
      </c>
      <c r="BE73" s="45">
        <f t="shared" si="272"/>
        <v>28119.347477767511</v>
      </c>
      <c r="BF73" s="45">
        <f t="shared" ref="BF73:BG73" si="273">IF(BF55="","",+BF55+(BF58*BF65/BF66))</f>
        <v>30706.5519192147</v>
      </c>
      <c r="BG73" s="45">
        <f t="shared" si="273"/>
        <v>31001.069342748062</v>
      </c>
      <c r="BH73" s="45">
        <f t="shared" ref="BH73:BI73" si="274">IF(BH55="","",+BH55+(BH58*BH65/BH66))</f>
        <v>27583.506583145492</v>
      </c>
      <c r="BI73" s="45">
        <f t="shared" si="274"/>
        <v>30733.762218733362</v>
      </c>
      <c r="BJ73" s="45">
        <f t="shared" ref="BJ73:BK73" si="275">IF(BJ55="","",+BJ55+(BJ58*BJ65/BJ66))</f>
        <v>26744.720437547392</v>
      </c>
      <c r="BK73" s="45">
        <f t="shared" si="275"/>
        <v>19021.059992246788</v>
      </c>
      <c r="BL73" s="45">
        <f t="shared" ref="BL73:BM73" si="276">IF(BL55="","",+BL55+(BL58*BL65/BL66))</f>
        <v>14202.426517858028</v>
      </c>
      <c r="BM73" s="45">
        <f t="shared" si="276"/>
        <v>13786.223846277728</v>
      </c>
      <c r="BN73" s="45">
        <f t="shared" ref="BN73:BO73" si="277">IF(BN55="","",+BN55+(BN58*BN65/BN66))</f>
        <v>16844.22889870466</v>
      </c>
      <c r="BO73" s="45">
        <f t="shared" si="277"/>
        <v>17079.191078118842</v>
      </c>
      <c r="BP73" s="45">
        <f t="shared" ref="BP73:BQ73" si="278">IF(BP55="","",+BP55+(BP58*BP65/BP66))</f>
        <v>19670.958513884038</v>
      </c>
      <c r="BQ73" s="45">
        <f t="shared" si="278"/>
        <v>19390.309859036686</v>
      </c>
      <c r="BR73" s="45">
        <f t="shared" ref="BR73:CH73" si="279">IF(BR55="","",+BR55+(BR58*BR65/BR66))</f>
        <v>16952.878205571345</v>
      </c>
      <c r="BS73" s="45">
        <f t="shared" si="279"/>
        <v>16965.176121407778</v>
      </c>
      <c r="BT73" s="45">
        <f t="shared" si="279"/>
        <v>16357.196288133806</v>
      </c>
      <c r="BU73" s="45">
        <f t="shared" si="279"/>
        <v>16142.05947794951</v>
      </c>
      <c r="BV73" s="45">
        <f t="shared" si="279"/>
        <v>16057.782789022642</v>
      </c>
      <c r="BW73" s="45" t="str">
        <f t="shared" si="279"/>
        <v/>
      </c>
      <c r="BX73" s="45" t="str">
        <f t="shared" si="279"/>
        <v/>
      </c>
      <c r="BY73" s="45" t="str">
        <f t="shared" si="279"/>
        <v/>
      </c>
      <c r="BZ73" s="45" t="str">
        <f t="shared" si="279"/>
        <v/>
      </c>
      <c r="CA73" s="45" t="str">
        <f t="shared" si="279"/>
        <v/>
      </c>
      <c r="CB73" s="45" t="str">
        <f t="shared" si="279"/>
        <v/>
      </c>
      <c r="CC73" s="45" t="str">
        <f t="shared" si="279"/>
        <v/>
      </c>
      <c r="CD73" s="45" t="str">
        <f t="shared" si="279"/>
        <v/>
      </c>
      <c r="CE73" s="45" t="str">
        <f t="shared" si="279"/>
        <v/>
      </c>
      <c r="CF73" s="45" t="str">
        <f t="shared" si="279"/>
        <v/>
      </c>
      <c r="CG73" s="45" t="str">
        <f t="shared" si="279"/>
        <v/>
      </c>
      <c r="CH73" s="45" t="str">
        <f t="shared" si="279"/>
        <v/>
      </c>
    </row>
    <row r="74" spans="1:86" x14ac:dyDescent="0.25">
      <c r="A74" s="33" t="s">
        <v>31</v>
      </c>
      <c r="B74" s="31"/>
      <c r="C74" s="31"/>
      <c r="D74" s="44">
        <f>SUM(D69:D73)</f>
        <v>0</v>
      </c>
      <c r="E74" s="44">
        <f t="shared" ref="E74:AW74" si="280">SUM(E69:E73)</f>
        <v>0</v>
      </c>
      <c r="F74" s="44">
        <f t="shared" si="280"/>
        <v>42385.43</v>
      </c>
      <c r="G74" s="44">
        <f t="shared" si="280"/>
        <v>557603.83999999997</v>
      </c>
      <c r="H74" s="44">
        <f t="shared" si="280"/>
        <v>676036.05000000016</v>
      </c>
      <c r="I74" s="44">
        <f t="shared" si="280"/>
        <v>706998.17000000016</v>
      </c>
      <c r="J74" s="44">
        <f t="shared" si="280"/>
        <v>670246.85</v>
      </c>
      <c r="K74" s="44">
        <f t="shared" si="280"/>
        <v>574404.16999999993</v>
      </c>
      <c r="L74" s="44">
        <f t="shared" si="280"/>
        <v>514881.99000000005</v>
      </c>
      <c r="M74" s="44">
        <f t="shared" si="280"/>
        <v>639874.6</v>
      </c>
      <c r="N74" s="44">
        <f t="shared" si="280"/>
        <v>693023.25</v>
      </c>
      <c r="O74" s="44">
        <f t="shared" si="280"/>
        <v>705379.13</v>
      </c>
      <c r="P74" s="44">
        <f t="shared" si="280"/>
        <v>656045.50000000012</v>
      </c>
      <c r="Q74" s="44">
        <f t="shared" si="280"/>
        <v>537519.55000000005</v>
      </c>
      <c r="R74" s="44">
        <f t="shared" si="280"/>
        <v>488973.88</v>
      </c>
      <c r="S74" s="44">
        <f t="shared" si="280"/>
        <v>614590.80000000005</v>
      </c>
      <c r="T74" s="44">
        <f t="shared" si="280"/>
        <v>791820.69</v>
      </c>
      <c r="U74" s="44">
        <f t="shared" si="280"/>
        <v>759797.66999999993</v>
      </c>
      <c r="V74" s="44">
        <f t="shared" si="280"/>
        <v>707202.29999999993</v>
      </c>
      <c r="W74" s="44">
        <f t="shared" si="280"/>
        <v>523078.25</v>
      </c>
      <c r="X74" s="44">
        <f t="shared" si="280"/>
        <v>540041.10999999987</v>
      </c>
      <c r="Y74" s="44">
        <f t="shared" si="280"/>
        <v>664038.72</v>
      </c>
      <c r="Z74" s="44">
        <f t="shared" si="280"/>
        <v>811016.91999999993</v>
      </c>
      <c r="AA74" s="44">
        <f t="shared" si="280"/>
        <v>2076902.7599999998</v>
      </c>
      <c r="AB74" s="44">
        <f t="shared" si="280"/>
        <v>2924297.21</v>
      </c>
      <c r="AC74" s="44">
        <f t="shared" si="280"/>
        <v>2229866.6</v>
      </c>
      <c r="AD74" s="44">
        <f t="shared" si="280"/>
        <v>2168254.38</v>
      </c>
      <c r="AE74" s="44">
        <f t="shared" si="280"/>
        <v>2621890.16</v>
      </c>
      <c r="AF74" s="44">
        <f t="shared" si="280"/>
        <v>3329515.5199999996</v>
      </c>
      <c r="AG74" s="44">
        <f t="shared" si="280"/>
        <v>3339633.92</v>
      </c>
      <c r="AH74" s="44">
        <f t="shared" si="280"/>
        <v>3328981</v>
      </c>
      <c r="AI74" s="44">
        <f t="shared" si="280"/>
        <v>2544745.0799999996</v>
      </c>
      <c r="AJ74" s="44">
        <f t="shared" si="280"/>
        <v>2313567.6800000002</v>
      </c>
      <c r="AK74" s="44">
        <f t="shared" si="280"/>
        <v>2791286.27</v>
      </c>
      <c r="AL74" s="44">
        <f t="shared" si="280"/>
        <v>3345196.33</v>
      </c>
      <c r="AM74" s="44">
        <f t="shared" si="280"/>
        <v>2693584.13</v>
      </c>
      <c r="AN74" s="44">
        <f t="shared" si="280"/>
        <v>1313029.4299999997</v>
      </c>
      <c r="AO74" s="44">
        <f t="shared" si="280"/>
        <v>1059088.8899999999</v>
      </c>
      <c r="AP74" s="44">
        <f t="shared" si="280"/>
        <v>1067990.6700000002</v>
      </c>
      <c r="AQ74" s="44">
        <f t="shared" si="280"/>
        <v>1283730.6599999999</v>
      </c>
      <c r="AR74" s="44">
        <f t="shared" si="280"/>
        <v>1612267.4099999997</v>
      </c>
      <c r="AS74" s="44">
        <f t="shared" si="280"/>
        <v>1561342.09</v>
      </c>
      <c r="AT74" s="44">
        <f t="shared" si="280"/>
        <v>1380925.98</v>
      </c>
      <c r="AU74" s="44">
        <f t="shared" si="280"/>
        <v>1082294.4099999999</v>
      </c>
      <c r="AV74" s="44">
        <f t="shared" ref="AV74" si="281">SUM(AV69:AV73)</f>
        <v>1039274.52</v>
      </c>
      <c r="AW74" s="44">
        <f t="shared" si="280"/>
        <v>1374184.39</v>
      </c>
      <c r="AX74" s="44">
        <f t="shared" ref="AX74:AY74" si="282">SUM(AX69:AX73)</f>
        <v>1560107.74</v>
      </c>
      <c r="AY74" s="44">
        <f t="shared" si="282"/>
        <v>1696451.89</v>
      </c>
      <c r="AZ74" s="44">
        <f t="shared" ref="AZ74:BA74" si="283">SUM(AZ69:AZ73)</f>
        <v>2004809.71</v>
      </c>
      <c r="BA74" s="44">
        <f t="shared" si="283"/>
        <v>1848718.47</v>
      </c>
      <c r="BB74" s="44">
        <f t="shared" ref="BB74:BC74" si="284">SUM(BB69:BB73)</f>
        <v>1727734.2799999998</v>
      </c>
      <c r="BC74" s="44">
        <f t="shared" si="284"/>
        <v>2048568.73</v>
      </c>
      <c r="BD74" s="44">
        <f t="shared" ref="BD74:BE74" si="285">SUM(BD69:BD73)</f>
        <v>2394442.7800000003</v>
      </c>
      <c r="BE74" s="44">
        <f t="shared" si="285"/>
        <v>2495606.9500000002</v>
      </c>
      <c r="BF74" s="44">
        <f t="shared" ref="BF74:BG74" si="286">SUM(BF69:BF73)</f>
        <v>2399769.06</v>
      </c>
      <c r="BG74" s="44">
        <f t="shared" si="286"/>
        <v>1947531.27</v>
      </c>
      <c r="BH74" s="44">
        <f t="shared" ref="BH74:BI74" si="287">SUM(BH69:BH73)</f>
        <v>1775528.27</v>
      </c>
      <c r="BI74" s="44">
        <f t="shared" si="287"/>
        <v>2102006.9500000002</v>
      </c>
      <c r="BJ74" s="44">
        <f t="shared" ref="BJ74:BK74" si="288">SUM(BJ69:BJ73)</f>
        <v>2503325.06</v>
      </c>
      <c r="BK74" s="44">
        <f t="shared" si="288"/>
        <v>1952349.63</v>
      </c>
      <c r="BL74" s="44">
        <f t="shared" ref="BL74:BM74" si="289">SUM(BL69:BL73)</f>
        <v>961791.43</v>
      </c>
      <c r="BM74" s="44">
        <f t="shared" si="289"/>
        <v>913763.79</v>
      </c>
      <c r="BN74" s="44">
        <f t="shared" ref="BN74:BO74" si="290">SUM(BN69:BN73)</f>
        <v>889514.2300000001</v>
      </c>
      <c r="BO74" s="44">
        <f t="shared" si="290"/>
        <v>1073010.6199999999</v>
      </c>
      <c r="BP74" s="44">
        <f t="shared" ref="BP74:BQ74" si="291">SUM(BP69:BP73)</f>
        <v>1289449.57</v>
      </c>
      <c r="BQ74" s="44">
        <f t="shared" si="291"/>
        <v>1199409.05</v>
      </c>
      <c r="BR74" s="44">
        <f t="shared" ref="BR74:CH74" si="292">SUM(BR69:BR73)</f>
        <v>1169237.5</v>
      </c>
      <c r="BS74" s="44">
        <f t="shared" si="292"/>
        <v>979756.81</v>
      </c>
      <c r="BT74" s="44">
        <f t="shared" si="292"/>
        <v>970394.6727266052</v>
      </c>
      <c r="BU74" s="44">
        <f t="shared" si="292"/>
        <v>1128639.4034502849</v>
      </c>
      <c r="BV74" s="44">
        <f t="shared" si="292"/>
        <v>1248139.5884633656</v>
      </c>
      <c r="BW74" s="44">
        <f t="shared" si="292"/>
        <v>0</v>
      </c>
      <c r="BX74" s="44">
        <f t="shared" si="292"/>
        <v>0</v>
      </c>
      <c r="BY74" s="44">
        <f t="shared" si="292"/>
        <v>0</v>
      </c>
      <c r="BZ74" s="44">
        <f t="shared" si="292"/>
        <v>0</v>
      </c>
      <c r="CA74" s="44">
        <f t="shared" si="292"/>
        <v>0</v>
      </c>
      <c r="CB74" s="44">
        <f t="shared" si="292"/>
        <v>0</v>
      </c>
      <c r="CC74" s="44">
        <f t="shared" si="292"/>
        <v>0</v>
      </c>
      <c r="CD74" s="44">
        <f t="shared" si="292"/>
        <v>0</v>
      </c>
      <c r="CE74" s="44">
        <f t="shared" si="292"/>
        <v>0</v>
      </c>
      <c r="CF74" s="44">
        <f t="shared" si="292"/>
        <v>0</v>
      </c>
      <c r="CG74" s="44">
        <f t="shared" si="292"/>
        <v>0</v>
      </c>
      <c r="CH74" s="44">
        <f t="shared" si="292"/>
        <v>0</v>
      </c>
    </row>
    <row r="75" spans="1:86" x14ac:dyDescent="0.25">
      <c r="BT75" s="289"/>
      <c r="BU75" s="289"/>
      <c r="BV75" s="289"/>
      <c r="BW75" s="289"/>
      <c r="BX75" s="289"/>
      <c r="BY75" s="289"/>
      <c r="BZ75" s="289"/>
      <c r="CA75" s="289"/>
      <c r="CB75" s="289"/>
      <c r="CC75" s="289"/>
      <c r="CD75" s="289"/>
      <c r="CE75" s="289"/>
      <c r="CF75" s="289"/>
      <c r="CG75" s="289"/>
      <c r="CH75" s="289"/>
    </row>
    <row r="78" spans="1:86" x14ac:dyDescent="0.25">
      <c r="BT78" s="171"/>
      <c r="BU78" s="171"/>
      <c r="BV78" s="171"/>
      <c r="BW78" s="171"/>
      <c r="BX78" s="171"/>
      <c r="BY78" s="171"/>
      <c r="BZ78" s="171"/>
      <c r="CA78" s="171"/>
      <c r="CB78" s="171"/>
      <c r="CC78" s="171"/>
      <c r="CD78" s="171"/>
      <c r="CE78" s="171"/>
      <c r="CF78" s="171"/>
      <c r="CG78" s="171"/>
      <c r="CH78" s="171"/>
    </row>
    <row r="79" spans="1:86" x14ac:dyDescent="0.25">
      <c r="BT79" s="171"/>
      <c r="BU79" s="171"/>
      <c r="BV79" s="171"/>
      <c r="BW79" s="171"/>
      <c r="BX79" s="171"/>
      <c r="BY79" s="171"/>
      <c r="BZ79" s="171"/>
      <c r="CA79" s="171"/>
      <c r="CB79" s="171"/>
      <c r="CC79" s="171"/>
      <c r="CD79" s="171"/>
      <c r="CE79" s="171"/>
      <c r="CF79" s="171"/>
      <c r="CG79" s="171"/>
      <c r="CH79" s="171"/>
    </row>
    <row r="80" spans="1:86" x14ac:dyDescent="0.25">
      <c r="BT80" s="171"/>
      <c r="BU80" s="171"/>
      <c r="BV80" s="171"/>
      <c r="BW80" s="171"/>
      <c r="BX80" s="171"/>
      <c r="BY80" s="171"/>
      <c r="BZ80" s="171"/>
      <c r="CA80" s="171"/>
      <c r="CB80" s="171"/>
      <c r="CC80" s="171"/>
      <c r="CD80" s="171"/>
      <c r="CE80" s="171"/>
      <c r="CF80" s="171"/>
      <c r="CG80" s="171"/>
      <c r="CH80" s="171"/>
    </row>
    <row r="81" spans="72:86" x14ac:dyDescent="0.25">
      <c r="BT81" s="171"/>
      <c r="BU81" s="171"/>
      <c r="BV81" s="171"/>
      <c r="BW81" s="171"/>
      <c r="BX81" s="171"/>
      <c r="BY81" s="171"/>
      <c r="BZ81" s="171"/>
      <c r="CA81" s="171"/>
      <c r="CB81" s="171"/>
      <c r="CC81" s="171"/>
      <c r="CD81" s="171"/>
      <c r="CE81" s="171"/>
      <c r="CF81" s="171"/>
      <c r="CG81" s="171"/>
      <c r="CH81" s="171"/>
    </row>
    <row r="82" spans="72:86" x14ac:dyDescent="0.25">
      <c r="BT82" s="171"/>
      <c r="BU82" s="171"/>
      <c r="BV82" s="171"/>
      <c r="BW82" s="171"/>
      <c r="BX82" s="171"/>
      <c r="BY82" s="171"/>
      <c r="BZ82" s="171"/>
      <c r="CA82" s="171"/>
      <c r="CB82" s="171"/>
      <c r="CC82" s="171"/>
      <c r="CD82" s="171"/>
      <c r="CE82" s="171"/>
      <c r="CF82" s="171"/>
      <c r="CG82" s="171"/>
      <c r="CH82" s="171"/>
    </row>
    <row r="83" spans="72:86" x14ac:dyDescent="0.25">
      <c r="BT83" s="80"/>
      <c r="BU83" s="80"/>
      <c r="BV83" s="80"/>
      <c r="BW83" s="80"/>
      <c r="BX83" s="80"/>
      <c r="BY83" s="80"/>
      <c r="BZ83" s="80"/>
      <c r="CA83" s="80"/>
      <c r="CB83" s="80"/>
      <c r="CC83" s="80"/>
      <c r="CD83" s="80"/>
      <c r="CE83" s="80"/>
      <c r="CF83" s="80"/>
      <c r="CG83" s="80"/>
      <c r="CH83" s="80"/>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dimension ref="A2:BJ37"/>
  <sheetViews>
    <sheetView workbookViewId="0">
      <pane xSplit="1" topLeftCell="AQ1" activePane="topRight" state="frozen"/>
      <selection pane="topRight" activeCell="BH3" sqref="BH3"/>
    </sheetView>
  </sheetViews>
  <sheetFormatPr defaultRowHeight="15" x14ac:dyDescent="0.25"/>
  <cols>
    <col min="2" max="2" width="29.140625" customWidth="1"/>
    <col min="3" max="62" width="13.28515625" bestFit="1" customWidth="1"/>
  </cols>
  <sheetData>
    <row r="2" spans="1:62" x14ac:dyDescent="0.25">
      <c r="C2" s="10">
        <v>43862</v>
      </c>
      <c r="D2" s="10">
        <v>43891</v>
      </c>
      <c r="E2" s="10">
        <v>43922</v>
      </c>
      <c r="F2" s="10">
        <v>43952</v>
      </c>
      <c r="G2" s="10">
        <v>43983</v>
      </c>
      <c r="H2" s="10">
        <v>44013</v>
      </c>
      <c r="I2" s="10">
        <v>44044</v>
      </c>
      <c r="J2" s="10">
        <v>44075</v>
      </c>
      <c r="K2" s="10">
        <v>44105</v>
      </c>
      <c r="L2" s="10">
        <v>44136</v>
      </c>
      <c r="M2" s="10">
        <v>44166</v>
      </c>
      <c r="N2" s="10">
        <v>44197</v>
      </c>
      <c r="O2" s="10">
        <v>44228</v>
      </c>
      <c r="P2" s="10">
        <v>44256</v>
      </c>
      <c r="Q2" s="10">
        <v>44287</v>
      </c>
      <c r="R2" s="10">
        <v>44317</v>
      </c>
      <c r="S2" s="10">
        <v>44348</v>
      </c>
      <c r="T2" s="10">
        <v>44378</v>
      </c>
      <c r="U2" s="10">
        <v>44409</v>
      </c>
      <c r="V2" s="10">
        <v>44440</v>
      </c>
      <c r="W2" s="10">
        <v>44470</v>
      </c>
      <c r="X2" s="10">
        <v>44501</v>
      </c>
      <c r="Y2" s="10">
        <v>44531</v>
      </c>
      <c r="Z2" s="10">
        <v>44562</v>
      </c>
      <c r="AA2" s="10">
        <v>44593</v>
      </c>
      <c r="AB2" s="10">
        <v>44621</v>
      </c>
      <c r="AC2" s="10">
        <v>44652</v>
      </c>
      <c r="AD2" s="10">
        <v>44682</v>
      </c>
      <c r="AE2" s="10">
        <v>44713</v>
      </c>
      <c r="AF2" s="10">
        <v>44743</v>
      </c>
      <c r="AG2" s="10">
        <v>44774</v>
      </c>
      <c r="AH2" s="10">
        <v>44805</v>
      </c>
      <c r="AI2" s="10">
        <v>44835</v>
      </c>
      <c r="AJ2" s="10">
        <v>44866</v>
      </c>
      <c r="AK2" s="10">
        <v>44896</v>
      </c>
      <c r="AL2" s="10">
        <v>44927</v>
      </c>
      <c r="AM2" s="10">
        <v>44958</v>
      </c>
      <c r="AN2" s="10">
        <v>44986</v>
      </c>
      <c r="AO2" s="10">
        <v>45017</v>
      </c>
      <c r="AP2" s="10">
        <v>45047</v>
      </c>
      <c r="AQ2" s="10">
        <v>45078</v>
      </c>
      <c r="AR2" s="10">
        <v>45108</v>
      </c>
      <c r="AS2" s="10">
        <v>45139</v>
      </c>
      <c r="AT2" s="10">
        <v>45170</v>
      </c>
      <c r="AU2" s="10">
        <v>45200</v>
      </c>
      <c r="AV2" s="10">
        <v>45231</v>
      </c>
      <c r="AW2" s="10">
        <v>45261</v>
      </c>
      <c r="AX2" s="10">
        <v>45292</v>
      </c>
      <c r="AY2" s="10">
        <v>45323</v>
      </c>
      <c r="AZ2" s="10">
        <v>45352</v>
      </c>
      <c r="BA2" s="10">
        <v>45383</v>
      </c>
      <c r="BB2" s="10">
        <v>45413</v>
      </c>
      <c r="BC2" s="10">
        <v>45444</v>
      </c>
      <c r="BD2" s="10">
        <v>45474</v>
      </c>
      <c r="BE2" s="10">
        <v>45505</v>
      </c>
      <c r="BF2" s="10">
        <v>45536</v>
      </c>
      <c r="BG2" s="10">
        <v>45566</v>
      </c>
      <c r="BH2" s="10">
        <v>45597</v>
      </c>
      <c r="BI2" s="10">
        <v>45627</v>
      </c>
      <c r="BJ2" s="10">
        <v>45658</v>
      </c>
    </row>
    <row r="3" spans="1:62" x14ac:dyDescent="0.25">
      <c r="A3" s="305" t="s">
        <v>33</v>
      </c>
      <c r="B3" s="72" t="s">
        <v>53</v>
      </c>
      <c r="C3" s="63">
        <f>IF(+'M3 Allocations - TD'!O51="","",'M3 Allocations - TD'!O51)</f>
        <v>465524.23</v>
      </c>
      <c r="D3" s="63">
        <f>IF(+'M3 Allocations - TD'!P51="","",'M3 Allocations - TD'!P51)</f>
        <v>420640.46</v>
      </c>
      <c r="E3" s="63">
        <f>IF(+'M3 Allocations - TD'!Q51="","",'M3 Allocations - TD'!Q51)</f>
        <v>333131.02</v>
      </c>
      <c r="F3" s="63">
        <f>IF(+'M3 Allocations - TD'!R51="","",'M3 Allocations - TD'!R51)</f>
        <v>297680.28000000003</v>
      </c>
      <c r="G3" s="63">
        <f>IF(+'M3 Allocations - TD'!S51="","",'M3 Allocations - TD'!S51)</f>
        <v>393958.55</v>
      </c>
      <c r="H3" s="63">
        <f>IF(+'M3 Allocations - TD'!T51="","",'M3 Allocations - TD'!T51)</f>
        <v>529326.34</v>
      </c>
      <c r="I3" s="63">
        <f>IF(+'M3 Allocations - TD'!U51="","",'M3 Allocations - TD'!U51)</f>
        <v>496875.44</v>
      </c>
      <c r="J3" s="63">
        <f>IF(+'M3 Allocations - TD'!V51="","",'M3 Allocations - TD'!V51)</f>
        <v>447785.36</v>
      </c>
      <c r="K3" s="63">
        <f>IF(+'M3 Allocations - TD'!W51="","",'M3 Allocations - TD'!W51)</f>
        <v>302563.73</v>
      </c>
      <c r="L3" s="63">
        <f>IF(+'M3 Allocations - TD'!X51="","",'M3 Allocations - TD'!X51)</f>
        <v>322763.34999999998</v>
      </c>
      <c r="M3" s="63">
        <f>IF(+'M3 Allocations - TD'!Y51="","",'M3 Allocations - TD'!Y51)</f>
        <v>427989.89</v>
      </c>
      <c r="N3" s="63">
        <f>IF(+'M3 Allocations - TD'!Z51="","",'M3 Allocations - TD'!Z51)</f>
        <v>556980.75</v>
      </c>
      <c r="O3" s="63">
        <f>IF(+'M3 Allocations - TD'!AA51="","",'M3 Allocations - TD'!AA51)</f>
        <v>1353651.15</v>
      </c>
      <c r="P3" s="63">
        <f>IF(+'M3 Allocations - TD'!AB51="","",'M3 Allocations - TD'!AB51)</f>
        <v>1757169.11</v>
      </c>
      <c r="Q3" s="63">
        <f>IF(+'M3 Allocations - TD'!AC51="","",'M3 Allocations - TD'!AC51)</f>
        <v>1185680.5900000001</v>
      </c>
      <c r="R3" s="63">
        <f>IF(+'M3 Allocations - TD'!AD51="","",'M3 Allocations - TD'!AD51)</f>
        <v>1113985.45</v>
      </c>
      <c r="S3" s="63">
        <f>IF(+'M3 Allocations - TD'!AE51="","",'M3 Allocations - TD'!AE51)</f>
        <v>1461163.75</v>
      </c>
      <c r="T3" s="63">
        <f>IF(+'M3 Allocations - TD'!AF51="","",'M3 Allocations - TD'!AF51)</f>
        <v>1930056.97</v>
      </c>
      <c r="U3" s="63">
        <f>IF(+'M3 Allocations - TD'!AG51="","",'M3 Allocations - TD'!AG51)</f>
        <v>1969181.34</v>
      </c>
      <c r="V3" s="63">
        <f>IF(+'M3 Allocations - TD'!AH51="","",'M3 Allocations - TD'!AH51)</f>
        <v>1934282.8</v>
      </c>
      <c r="W3" s="63">
        <f>IF(+'M3 Allocations - TD'!AI51="","",'M3 Allocations - TD'!AI51)</f>
        <v>1339485.02</v>
      </c>
      <c r="X3" s="63">
        <f>IF(+'M3 Allocations - TD'!AJ51="","",'M3 Allocations - TD'!AJ51)</f>
        <v>1255189.19</v>
      </c>
      <c r="Y3" s="63">
        <f>IF(+'M3 Allocations - TD'!AK51="","",'M3 Allocations - TD'!AK51)</f>
        <v>1570523</v>
      </c>
      <c r="Z3" s="63">
        <f>IF(+'M3 Allocations - TD'!AL51="","",'M3 Allocations - TD'!AL51)</f>
        <v>2029998.28</v>
      </c>
      <c r="AA3" s="63">
        <f>IF(+'M3 Allocations - TD'!AM51="","",'M3 Allocations - TD'!AM51)</f>
        <v>1633369.11</v>
      </c>
      <c r="AB3" s="63">
        <f>IF(+'M3 Allocations - TD'!AN51="","",'M3 Allocations - TD'!AN51)</f>
        <v>714783.1</v>
      </c>
      <c r="AC3" s="63">
        <f>IF(+'M3 Allocations - TD'!AO51="","",'M3 Allocations - TD'!AO51)</f>
        <v>547759.59</v>
      </c>
      <c r="AD3" s="63">
        <f>IF(+'M3 Allocations - TD'!AP51="","",'M3 Allocations - TD'!AP51)</f>
        <v>512195.47</v>
      </c>
      <c r="AE3" s="63">
        <f>IF(+'M3 Allocations - TD'!AQ51="","",'M3 Allocations - TD'!AQ51)</f>
        <v>651024.82999999996</v>
      </c>
      <c r="AF3" s="63">
        <f>IF(+'M3 Allocations - TD'!AR51="","",'M3 Allocations - TD'!AR51)</f>
        <v>895488.58</v>
      </c>
      <c r="AG3" s="63">
        <f>IF(+'M3 Allocations - TD'!AS51="","",'M3 Allocations - TD'!AS51)</f>
        <v>853007.9</v>
      </c>
      <c r="AH3" s="63">
        <f>IF(+'M3 Allocations - TD'!AT51="","",'M3 Allocations - TD'!AT51)</f>
        <v>710408.72</v>
      </c>
      <c r="AI3" s="63">
        <f>IF(+'M3 Allocations - TD'!AU51="","",'M3 Allocations - TD'!AU51)</f>
        <v>511382.36</v>
      </c>
      <c r="AJ3" s="63">
        <f>IF(+'M3 Allocations - TD'!AV51="","",'M3 Allocations - TD'!AV51)</f>
        <v>484043.54</v>
      </c>
      <c r="AK3" s="63">
        <f>IF(+'M3 Allocations - TD'!AW51="","",'M3 Allocations - TD'!AW51)</f>
        <v>740070.25</v>
      </c>
      <c r="AL3" s="63">
        <f>IF(+'M3 Allocations - TD'!AX51="","",'M3 Allocations - TD'!AX51)</f>
        <v>888488.17</v>
      </c>
      <c r="AM3" s="63">
        <f>IF(+'M3 Allocations - TD'!AY51="","",'M3 Allocations - TD'!AY51)</f>
        <v>877032.36</v>
      </c>
      <c r="AN3" s="63">
        <f>IF(+'M3 Allocations - TD'!AZ51="","",'M3 Allocations - TD'!AZ51)</f>
        <v>866898.88</v>
      </c>
      <c r="AO3" s="63">
        <f>IF(+'M3 Allocations - TD'!BA51="","",'M3 Allocations - TD'!BA51)</f>
        <v>747574.22</v>
      </c>
      <c r="AP3" s="63">
        <f>IF(+'M3 Allocations - TD'!BB51="","",'M3 Allocations - TD'!BB51)</f>
        <v>639066.06000000006</v>
      </c>
      <c r="AQ3" s="63">
        <f>IF(+'M3 Allocations - TD'!BC51="","",'M3 Allocations - TD'!BC51)</f>
        <v>826550.17</v>
      </c>
      <c r="AR3" s="63">
        <f>IF(+'M3 Allocations - TD'!BD51="","",'M3 Allocations - TD'!BD51)</f>
        <v>1081582.31</v>
      </c>
      <c r="AS3" s="63">
        <f>IF(+'M3 Allocations - TD'!BE51="","",'M3 Allocations - TD'!BE51)</f>
        <v>1114808.79</v>
      </c>
      <c r="AT3" s="63">
        <f>IF(+'M3 Allocations - TD'!BF51="","",'M3 Allocations - TD'!BF51)</f>
        <v>1031141.02</v>
      </c>
      <c r="AU3" s="63">
        <f>IF(+'M3 Allocations - TD'!BG51="","",'M3 Allocations - TD'!BG51)</f>
        <v>747638.7</v>
      </c>
      <c r="AV3" s="63">
        <f>IF(+'M3 Allocations - TD'!BH51="","",'M3 Allocations - TD'!BH51)</f>
        <v>653625.79</v>
      </c>
      <c r="AW3" s="63">
        <f>IF(+'M3 Allocations - TD'!BI51="","",'M3 Allocations - TD'!BI51)</f>
        <v>910434.22</v>
      </c>
      <c r="AX3" s="63">
        <f>IF(+'M3 Allocations - TD'!BJ51="","",'M3 Allocations - TD'!BJ51)</f>
        <v>1191729.8600000001</v>
      </c>
      <c r="AY3" s="63">
        <f>IF(+'M3 Allocations - TD'!BK51="","",'M3 Allocations - TD'!BK51)</f>
        <v>902975.13</v>
      </c>
      <c r="AZ3" s="63">
        <f>IF(+'M3 Allocations - TD'!BL51="","",'M3 Allocations - TD'!BL51)</f>
        <v>301871.32</v>
      </c>
      <c r="BA3" s="63">
        <f>IF(+'M3 Allocations - TD'!BM51="","",'M3 Allocations - TD'!BM51)</f>
        <v>270897.64</v>
      </c>
      <c r="BB3" s="63">
        <f>IF(+'M3 Allocations - TD'!BN51="","",'M3 Allocations - TD'!BN51)</f>
        <v>245579.13</v>
      </c>
      <c r="BC3" s="63">
        <f>IF(+'M3 Allocations - TD'!BO51="","",'M3 Allocations - TD'!BO51)</f>
        <v>335264.71999999997</v>
      </c>
      <c r="BD3" s="63">
        <f>IF(+'M3 Allocations - TD'!BP51="","",'M3 Allocations - TD'!BP51)</f>
        <v>448247.77</v>
      </c>
      <c r="BE3" s="63">
        <f>IF(+'M3 Allocations - TD'!BQ51="","",'M3 Allocations - TD'!BQ51)</f>
        <v>408404.26</v>
      </c>
      <c r="BF3" s="63">
        <f>IF(+'M3 Allocations - TD'!BR51="","",'M3 Allocations - TD'!BR51)</f>
        <v>387762.57</v>
      </c>
      <c r="BG3" s="63">
        <f>IF(+'M3 Allocations - TD'!BS51="","",'M3 Allocations - TD'!BS51)</f>
        <v>283021.02</v>
      </c>
      <c r="BH3" s="63">
        <f>IF(+'M3 Allocations - TD'!BT51="","",'M3 Allocations - TD'!BT51)</f>
        <v>309858.29870482441</v>
      </c>
      <c r="BI3" s="63">
        <f>IF(+'M3 Allocations - TD'!BU51="","",'M3 Allocations - TD'!BU51)</f>
        <v>391405.78792820557</v>
      </c>
      <c r="BJ3" s="63">
        <f>IF(+'M3 Allocations - TD'!BV51="","",'M3 Allocations - TD'!BV51)</f>
        <v>460580.52577097504</v>
      </c>
    </row>
    <row r="4" spans="1:62" x14ac:dyDescent="0.25">
      <c r="A4" s="306"/>
      <c r="B4" s="73" t="s">
        <v>55</v>
      </c>
      <c r="C4" s="119">
        <v>4.8599964800191556E-4</v>
      </c>
      <c r="D4" s="71">
        <f t="shared" ref="D4:H5" si="0">IF(D3="","",C4)</f>
        <v>4.8599964800191556E-4</v>
      </c>
      <c r="E4" s="71">
        <f t="shared" si="0"/>
        <v>4.8599964800191556E-4</v>
      </c>
      <c r="F4" s="71">
        <f t="shared" si="0"/>
        <v>4.8599964800191556E-4</v>
      </c>
      <c r="G4" s="71">
        <f t="shared" si="0"/>
        <v>4.8599964800191556E-4</v>
      </c>
      <c r="H4" s="71">
        <f t="shared" si="0"/>
        <v>4.8599964800191556E-4</v>
      </c>
      <c r="I4" s="71">
        <f t="shared" ref="I4:Z5" si="1">IF(I3="","",H4)</f>
        <v>4.8599964800191556E-4</v>
      </c>
      <c r="J4" s="71">
        <f t="shared" si="1"/>
        <v>4.8599964800191556E-4</v>
      </c>
      <c r="K4" s="71">
        <f t="shared" si="1"/>
        <v>4.8599964800191556E-4</v>
      </c>
      <c r="L4" s="71">
        <f t="shared" si="1"/>
        <v>4.8599964800191556E-4</v>
      </c>
      <c r="M4" s="71">
        <f t="shared" si="1"/>
        <v>4.8599964800191556E-4</v>
      </c>
      <c r="N4" s="71">
        <f t="shared" si="1"/>
        <v>4.8599964800191556E-4</v>
      </c>
      <c r="O4" s="119">
        <v>1.2863998837670668E-3</v>
      </c>
      <c r="P4" s="71">
        <f t="shared" si="1"/>
        <v>1.2863998837670668E-3</v>
      </c>
      <c r="Q4" s="71">
        <f t="shared" ref="Q4:U4" si="2">IF(Q3="","",P4)</f>
        <v>1.2863998837670668E-3</v>
      </c>
      <c r="R4" s="71">
        <f t="shared" si="2"/>
        <v>1.2863998837670668E-3</v>
      </c>
      <c r="S4" s="71">
        <f t="shared" si="2"/>
        <v>1.2863998837670668E-3</v>
      </c>
      <c r="T4" s="71">
        <f t="shared" si="2"/>
        <v>1.2863998837670668E-3</v>
      </c>
      <c r="U4" s="71">
        <f t="shared" si="2"/>
        <v>1.2863998837670668E-3</v>
      </c>
      <c r="V4" s="71">
        <f>IF(V3="","",U4)</f>
        <v>1.2863998837670668E-3</v>
      </c>
      <c r="W4" s="71">
        <f>IF(W3="","",V4)</f>
        <v>1.2863998837670668E-3</v>
      </c>
      <c r="X4" s="71">
        <f>IF(X3="","",W4)</f>
        <v>1.2863998837670668E-3</v>
      </c>
      <c r="Y4" s="71">
        <f>IF(Y3="","",X4)</f>
        <v>1.2863998837670668E-3</v>
      </c>
      <c r="Z4" s="71">
        <f>IF(Z3="","",Y4)</f>
        <v>1.2863998837670668E-3</v>
      </c>
      <c r="AA4" s="119">
        <v>5.2763466985880809E-4</v>
      </c>
      <c r="AB4" s="71">
        <f t="shared" ref="AB4:BA5" si="3">IF(AB3="","",AA4)</f>
        <v>5.2763466985880809E-4</v>
      </c>
      <c r="AC4" s="71">
        <f t="shared" si="3"/>
        <v>5.2763466985880809E-4</v>
      </c>
      <c r="AD4" s="71">
        <f t="shared" si="3"/>
        <v>5.2763466985880809E-4</v>
      </c>
      <c r="AE4" s="71">
        <f t="shared" si="3"/>
        <v>5.2763466985880809E-4</v>
      </c>
      <c r="AF4" s="71">
        <f t="shared" si="3"/>
        <v>5.2763466985880809E-4</v>
      </c>
      <c r="AG4" s="71">
        <f t="shared" si="3"/>
        <v>5.2763466985880809E-4</v>
      </c>
      <c r="AH4" s="71">
        <f t="shared" si="3"/>
        <v>5.2763466985880809E-4</v>
      </c>
      <c r="AI4" s="71">
        <f t="shared" si="3"/>
        <v>5.2763466985880809E-4</v>
      </c>
      <c r="AJ4" s="71">
        <f t="shared" si="3"/>
        <v>5.2763466985880809E-4</v>
      </c>
      <c r="AK4" s="71">
        <f t="shared" si="3"/>
        <v>5.2763466985880809E-4</v>
      </c>
      <c r="AL4" s="71">
        <f t="shared" si="3"/>
        <v>5.2763466985880809E-4</v>
      </c>
      <c r="AM4" s="119">
        <v>5.9964549210922316E-4</v>
      </c>
      <c r="AN4" s="71">
        <f t="shared" si="3"/>
        <v>5.9964549210922316E-4</v>
      </c>
      <c r="AO4" s="71">
        <f t="shared" si="3"/>
        <v>5.9964549210922316E-4</v>
      </c>
      <c r="AP4" s="71">
        <f t="shared" si="3"/>
        <v>5.9964549210922316E-4</v>
      </c>
      <c r="AQ4" s="71">
        <f t="shared" si="3"/>
        <v>5.9964549210922316E-4</v>
      </c>
      <c r="AR4" s="71">
        <f t="shared" si="3"/>
        <v>5.9964549210922316E-4</v>
      </c>
      <c r="AS4" s="71">
        <f t="shared" si="3"/>
        <v>5.9964549210922316E-4</v>
      </c>
      <c r="AT4" s="71">
        <f t="shared" si="3"/>
        <v>5.9964549210922316E-4</v>
      </c>
      <c r="AU4" s="71">
        <f t="shared" si="3"/>
        <v>5.9964549210922316E-4</v>
      </c>
      <c r="AV4" s="71">
        <f t="shared" si="3"/>
        <v>5.9964549210922316E-4</v>
      </c>
      <c r="AW4" s="71">
        <f t="shared" si="3"/>
        <v>5.9964549210922316E-4</v>
      </c>
      <c r="AX4" s="71">
        <f t="shared" si="3"/>
        <v>5.9964549210922316E-4</v>
      </c>
      <c r="AY4" s="119">
        <f>0.000457938444424072+0</f>
        <v>4.57938444424072E-4</v>
      </c>
      <c r="AZ4" s="71">
        <f t="shared" si="3"/>
        <v>4.57938444424072E-4</v>
      </c>
      <c r="BA4" s="71">
        <f t="shared" si="3"/>
        <v>4.57938444424072E-4</v>
      </c>
      <c r="BB4" s="71">
        <f t="shared" ref="BB4:BD5" si="4">IF(BB3="","",BA4)</f>
        <v>4.57938444424072E-4</v>
      </c>
      <c r="BC4" s="71">
        <f t="shared" si="4"/>
        <v>4.57938444424072E-4</v>
      </c>
      <c r="BD4" s="71">
        <f t="shared" si="4"/>
        <v>4.57938444424072E-4</v>
      </c>
      <c r="BE4" s="71">
        <f t="shared" ref="BE4:BJ5" si="5">IF(BE3="","",BD4)</f>
        <v>4.57938444424072E-4</v>
      </c>
      <c r="BF4" s="71">
        <f t="shared" si="5"/>
        <v>4.57938444424072E-4</v>
      </c>
      <c r="BG4" s="71">
        <f t="shared" si="5"/>
        <v>4.57938444424072E-4</v>
      </c>
      <c r="BH4" s="71">
        <f t="shared" si="5"/>
        <v>4.57938444424072E-4</v>
      </c>
      <c r="BI4" s="71">
        <f t="shared" si="5"/>
        <v>4.57938444424072E-4</v>
      </c>
      <c r="BJ4" s="71">
        <f t="shared" si="5"/>
        <v>4.57938444424072E-4</v>
      </c>
    </row>
    <row r="5" spans="1:62" x14ac:dyDescent="0.25">
      <c r="A5" s="306"/>
      <c r="B5" s="73" t="s">
        <v>71</v>
      </c>
      <c r="C5" s="120">
        <v>-9.6766427460826909E-5</v>
      </c>
      <c r="D5" s="90">
        <f t="shared" si="0"/>
        <v>-9.6766427460826909E-5</v>
      </c>
      <c r="E5" s="90">
        <f t="shared" si="0"/>
        <v>-9.6766427460826909E-5</v>
      </c>
      <c r="F5" s="90">
        <f t="shared" si="0"/>
        <v>-9.6766427460826909E-5</v>
      </c>
      <c r="G5" s="90">
        <f t="shared" si="0"/>
        <v>-9.6766427460826909E-5</v>
      </c>
      <c r="H5" s="90">
        <f t="shared" si="0"/>
        <v>-9.6766427460826909E-5</v>
      </c>
      <c r="I5" s="90">
        <f t="shared" si="1"/>
        <v>-9.6766427460826909E-5</v>
      </c>
      <c r="J5" s="90">
        <f t="shared" si="1"/>
        <v>-9.6766427460826909E-5</v>
      </c>
      <c r="K5" s="90">
        <f t="shared" si="1"/>
        <v>-9.6766427460826909E-5</v>
      </c>
      <c r="L5" s="90">
        <f t="shared" si="1"/>
        <v>-9.6766427460826909E-5</v>
      </c>
      <c r="M5" s="90">
        <f t="shared" si="1"/>
        <v>-9.6766427460826909E-5</v>
      </c>
      <c r="N5" s="90">
        <f t="shared" si="1"/>
        <v>-9.6766427460826909E-5</v>
      </c>
      <c r="O5" s="120">
        <v>2.418373850290787E-4</v>
      </c>
      <c r="P5" s="90">
        <f t="shared" si="1"/>
        <v>2.418373850290787E-4</v>
      </c>
      <c r="Q5" s="90">
        <f t="shared" si="1"/>
        <v>2.418373850290787E-4</v>
      </c>
      <c r="R5" s="90">
        <f t="shared" si="1"/>
        <v>2.418373850290787E-4</v>
      </c>
      <c r="S5" s="90">
        <f t="shared" si="1"/>
        <v>2.418373850290787E-4</v>
      </c>
      <c r="T5" s="90">
        <f t="shared" si="1"/>
        <v>2.418373850290787E-4</v>
      </c>
      <c r="U5" s="90">
        <f t="shared" si="1"/>
        <v>2.418373850290787E-4</v>
      </c>
      <c r="V5" s="90">
        <f t="shared" si="1"/>
        <v>2.418373850290787E-4</v>
      </c>
      <c r="W5" s="90">
        <f t="shared" si="1"/>
        <v>2.418373850290787E-4</v>
      </c>
      <c r="X5" s="90">
        <f t="shared" si="1"/>
        <v>2.418373850290787E-4</v>
      </c>
      <c r="Y5" s="90">
        <f t="shared" si="1"/>
        <v>2.418373850290787E-4</v>
      </c>
      <c r="Z5" s="90">
        <f t="shared" si="1"/>
        <v>2.418373850290787E-4</v>
      </c>
      <c r="AA5" s="120">
        <v>1.0457350290741632E-4</v>
      </c>
      <c r="AB5" s="90">
        <f t="shared" si="3"/>
        <v>1.0457350290741632E-4</v>
      </c>
      <c r="AC5" s="90">
        <f t="shared" si="3"/>
        <v>1.0457350290741632E-4</v>
      </c>
      <c r="AD5" s="90">
        <f t="shared" si="3"/>
        <v>1.0457350290741632E-4</v>
      </c>
      <c r="AE5" s="90">
        <f t="shared" si="3"/>
        <v>1.0457350290741632E-4</v>
      </c>
      <c r="AF5" s="90">
        <f t="shared" si="3"/>
        <v>1.0457350290741632E-4</v>
      </c>
      <c r="AG5" s="90">
        <f t="shared" si="3"/>
        <v>1.0457350290741632E-4</v>
      </c>
      <c r="AH5" s="90">
        <f t="shared" si="3"/>
        <v>1.0457350290741632E-4</v>
      </c>
      <c r="AI5" s="90">
        <f t="shared" si="3"/>
        <v>1.0457350290741632E-4</v>
      </c>
      <c r="AJ5" s="90">
        <f t="shared" si="3"/>
        <v>1.0457350290741632E-4</v>
      </c>
      <c r="AK5" s="90">
        <f t="shared" si="3"/>
        <v>1.0457350290741632E-4</v>
      </c>
      <c r="AL5" s="90">
        <f t="shared" si="3"/>
        <v>1.0457350290741632E-4</v>
      </c>
      <c r="AM5" s="120">
        <v>2.7760427847349077E-4</v>
      </c>
      <c r="AN5" s="90">
        <f t="shared" si="3"/>
        <v>2.7760427847349077E-4</v>
      </c>
      <c r="AO5" s="90">
        <f t="shared" si="3"/>
        <v>2.7760427847349077E-4</v>
      </c>
      <c r="AP5" s="90">
        <f t="shared" si="3"/>
        <v>2.7760427847349077E-4</v>
      </c>
      <c r="AQ5" s="90">
        <f t="shared" si="3"/>
        <v>2.7760427847349077E-4</v>
      </c>
      <c r="AR5" s="90">
        <f t="shared" si="3"/>
        <v>2.7760427847349077E-4</v>
      </c>
      <c r="AS5" s="90">
        <f t="shared" si="3"/>
        <v>2.7760427847349077E-4</v>
      </c>
      <c r="AT5" s="90">
        <f t="shared" si="3"/>
        <v>2.7760427847349077E-4</v>
      </c>
      <c r="AU5" s="90">
        <f t="shared" si="3"/>
        <v>2.7760427847349077E-4</v>
      </c>
      <c r="AV5" s="90">
        <f t="shared" si="3"/>
        <v>2.7760427847349077E-4</v>
      </c>
      <c r="AW5" s="90">
        <f t="shared" si="3"/>
        <v>2.7760427847349077E-4</v>
      </c>
      <c r="AX5" s="90">
        <f t="shared" si="3"/>
        <v>2.7760427847349077E-4</v>
      </c>
      <c r="AY5" s="120">
        <f>-0.000123439913514004+1.98140698845593E-06</f>
        <v>-1.2145850652554808E-4</v>
      </c>
      <c r="AZ5" s="90">
        <f t="shared" si="3"/>
        <v>-1.2145850652554808E-4</v>
      </c>
      <c r="BA5" s="90">
        <f t="shared" si="3"/>
        <v>-1.2145850652554808E-4</v>
      </c>
      <c r="BB5" s="90">
        <f t="shared" si="4"/>
        <v>-1.2145850652554808E-4</v>
      </c>
      <c r="BC5" s="90">
        <f t="shared" si="4"/>
        <v>-1.2145850652554808E-4</v>
      </c>
      <c r="BD5" s="90">
        <f t="shared" si="4"/>
        <v>-1.2145850652554808E-4</v>
      </c>
      <c r="BE5" s="90">
        <f t="shared" si="5"/>
        <v>-1.2145850652554808E-4</v>
      </c>
      <c r="BF5" s="90">
        <f t="shared" si="5"/>
        <v>-1.2145850652554808E-4</v>
      </c>
      <c r="BG5" s="90">
        <f t="shared" si="5"/>
        <v>-1.2145850652554808E-4</v>
      </c>
      <c r="BH5" s="90">
        <f t="shared" si="5"/>
        <v>-1.2145850652554808E-4</v>
      </c>
      <c r="BI5" s="90">
        <f t="shared" si="5"/>
        <v>-1.2145850652554808E-4</v>
      </c>
      <c r="BJ5" s="90">
        <f t="shared" si="5"/>
        <v>-1.2145850652554808E-4</v>
      </c>
    </row>
    <row r="6" spans="1:62" x14ac:dyDescent="0.25">
      <c r="A6" s="306"/>
      <c r="B6" s="73" t="s">
        <v>63</v>
      </c>
      <c r="C6" s="62">
        <f t="shared" ref="C6:D6" si="6">IF(C3="","",SUM(C4:C5))</f>
        <v>3.8923322054108865E-4</v>
      </c>
      <c r="D6" s="62">
        <f t="shared" si="6"/>
        <v>3.8923322054108865E-4</v>
      </c>
      <c r="E6" s="62">
        <f t="shared" ref="E6:F6" si="7">IF(E3="","",SUM(E4:E5))</f>
        <v>3.8923322054108865E-4</v>
      </c>
      <c r="F6" s="62">
        <f t="shared" si="7"/>
        <v>3.8923322054108865E-4</v>
      </c>
      <c r="G6" s="62">
        <f t="shared" ref="G6:H6" si="8">IF(G3="","",SUM(G4:G5))</f>
        <v>3.8923322054108865E-4</v>
      </c>
      <c r="H6" s="62">
        <f t="shared" si="8"/>
        <v>3.8923322054108865E-4</v>
      </c>
      <c r="I6" s="62">
        <f t="shared" ref="I6" si="9">IF(I3="","",SUM(I4:I5))</f>
        <v>3.8923322054108865E-4</v>
      </c>
      <c r="J6" s="62">
        <f t="shared" ref="J6:P6" si="10">IF(J3="","",SUM(J4:J5))</f>
        <v>3.8923322054108865E-4</v>
      </c>
      <c r="K6" s="62">
        <f t="shared" si="10"/>
        <v>3.8923322054108865E-4</v>
      </c>
      <c r="L6" s="62">
        <f t="shared" si="10"/>
        <v>3.8923322054108865E-4</v>
      </c>
      <c r="M6" s="62">
        <f t="shared" si="10"/>
        <v>3.8923322054108865E-4</v>
      </c>
      <c r="N6" s="62">
        <f t="shared" si="10"/>
        <v>3.8923322054108865E-4</v>
      </c>
      <c r="O6" s="62">
        <f t="shared" si="10"/>
        <v>1.5282372687961455E-3</v>
      </c>
      <c r="P6" s="62">
        <f t="shared" si="10"/>
        <v>1.5282372687961455E-3</v>
      </c>
      <c r="Q6" s="62">
        <f t="shared" ref="Q6:R6" si="11">IF(Q3="","",SUM(Q4:Q5))</f>
        <v>1.5282372687961455E-3</v>
      </c>
      <c r="R6" s="62">
        <f t="shared" si="11"/>
        <v>1.5282372687961455E-3</v>
      </c>
      <c r="S6" s="62">
        <f t="shared" ref="S6:T6" si="12">IF(S3="","",SUM(S4:S5))</f>
        <v>1.5282372687961455E-3</v>
      </c>
      <c r="T6" s="62">
        <f t="shared" si="12"/>
        <v>1.5282372687961455E-3</v>
      </c>
      <c r="U6" s="62">
        <f t="shared" ref="U6:V6" si="13">IF(U3="","",SUM(U4:U5))</f>
        <v>1.5282372687961455E-3</v>
      </c>
      <c r="V6" s="62">
        <f t="shared" si="13"/>
        <v>1.5282372687961455E-3</v>
      </c>
      <c r="W6" s="62">
        <f t="shared" ref="W6:AB6" si="14">IF(W3="","",SUM(W4:W5))</f>
        <v>1.5282372687961455E-3</v>
      </c>
      <c r="X6" s="62">
        <f t="shared" si="14"/>
        <v>1.5282372687961455E-3</v>
      </c>
      <c r="Y6" s="62">
        <f t="shared" si="14"/>
        <v>1.5282372687961455E-3</v>
      </c>
      <c r="Z6" s="62">
        <f t="shared" si="14"/>
        <v>1.5282372687961455E-3</v>
      </c>
      <c r="AA6" s="62">
        <f t="shared" si="14"/>
        <v>6.3220817276622438E-4</v>
      </c>
      <c r="AB6" s="62">
        <f t="shared" si="14"/>
        <v>6.3220817276622438E-4</v>
      </c>
      <c r="AC6" s="62">
        <f t="shared" ref="AC6:AD6" si="15">IF(AC3="","",SUM(AC4:AC5))</f>
        <v>6.3220817276622438E-4</v>
      </c>
      <c r="AD6" s="62">
        <f t="shared" si="15"/>
        <v>6.3220817276622438E-4</v>
      </c>
      <c r="AE6" s="62">
        <f t="shared" ref="AE6:AF6" si="16">IF(AE3="","",SUM(AE4:AE5))</f>
        <v>6.3220817276622438E-4</v>
      </c>
      <c r="AF6" s="62">
        <f t="shared" si="16"/>
        <v>6.3220817276622438E-4</v>
      </c>
      <c r="AG6" s="62">
        <f t="shared" ref="AG6:AH6" si="17">IF(AG3="","",SUM(AG4:AG5))</f>
        <v>6.3220817276622438E-4</v>
      </c>
      <c r="AH6" s="62">
        <f t="shared" si="17"/>
        <v>6.3220817276622438E-4</v>
      </c>
      <c r="AI6" s="62">
        <f t="shared" ref="AI6:AJ6" si="18">IF(AI3="","",SUM(AI4:AI5))</f>
        <v>6.3220817276622438E-4</v>
      </c>
      <c r="AJ6" s="62">
        <f t="shared" si="18"/>
        <v>6.3220817276622438E-4</v>
      </c>
      <c r="AK6" s="62">
        <f t="shared" ref="AK6:AL6" si="19">IF(AK3="","",SUM(AK4:AK5))</f>
        <v>6.3220817276622438E-4</v>
      </c>
      <c r="AL6" s="62">
        <f t="shared" si="19"/>
        <v>6.3220817276622438E-4</v>
      </c>
      <c r="AM6" s="62">
        <f t="shared" ref="AM6:AN6" si="20">IF(AM3="","",SUM(AM4:AM5))</f>
        <v>8.7724977058271393E-4</v>
      </c>
      <c r="AN6" s="62">
        <f t="shared" si="20"/>
        <v>8.7724977058271393E-4</v>
      </c>
      <c r="AO6" s="62">
        <f t="shared" ref="AO6:AP6" si="21">IF(AO3="","",SUM(AO4:AO5))</f>
        <v>8.7724977058271393E-4</v>
      </c>
      <c r="AP6" s="62">
        <f t="shared" si="21"/>
        <v>8.7724977058271393E-4</v>
      </c>
      <c r="AQ6" s="62">
        <f t="shared" ref="AQ6:AR6" si="22">IF(AQ3="","",SUM(AQ4:AQ5))</f>
        <v>8.7724977058271393E-4</v>
      </c>
      <c r="AR6" s="62">
        <f t="shared" si="22"/>
        <v>8.7724977058271393E-4</v>
      </c>
      <c r="AS6" s="62">
        <f t="shared" ref="AS6:AT6" si="23">IF(AS3="","",SUM(AS4:AS5))</f>
        <v>8.7724977058271393E-4</v>
      </c>
      <c r="AT6" s="62">
        <f t="shared" si="23"/>
        <v>8.7724977058271393E-4</v>
      </c>
      <c r="AU6" s="62">
        <f t="shared" ref="AU6:AV6" si="24">IF(AU3="","",SUM(AU4:AU5))</f>
        <v>8.7724977058271393E-4</v>
      </c>
      <c r="AV6" s="62">
        <f t="shared" si="24"/>
        <v>8.7724977058271393E-4</v>
      </c>
      <c r="AW6" s="62">
        <f t="shared" ref="AW6:AX6" si="25">IF(AW3="","",SUM(AW4:AW5))</f>
        <v>8.7724977058271393E-4</v>
      </c>
      <c r="AX6" s="62">
        <f t="shared" si="25"/>
        <v>8.7724977058271393E-4</v>
      </c>
      <c r="AY6" s="62">
        <f t="shared" ref="AY6:AZ6" si="26">IF(AY3="","",SUM(AY4:AY5))</f>
        <v>3.3647993789852392E-4</v>
      </c>
      <c r="AZ6" s="62">
        <f t="shared" si="26"/>
        <v>3.3647993789852392E-4</v>
      </c>
      <c r="BA6" s="62">
        <f t="shared" ref="BA6" si="27">IF(BA3="","",SUM(BA4:BA5))</f>
        <v>3.3647993789852392E-4</v>
      </c>
      <c r="BB6" s="62">
        <f t="shared" ref="BB6:BG6" si="28">IF(BB3="","",SUM(BB4:BB5))</f>
        <v>3.3647993789852392E-4</v>
      </c>
      <c r="BC6" s="62">
        <f t="shared" si="28"/>
        <v>3.3647993789852392E-4</v>
      </c>
      <c r="BD6" s="62">
        <f t="shared" si="28"/>
        <v>3.3647993789852392E-4</v>
      </c>
      <c r="BE6" s="62">
        <f t="shared" si="28"/>
        <v>3.3647993789852392E-4</v>
      </c>
      <c r="BF6" s="62">
        <f t="shared" si="28"/>
        <v>3.3647993789852392E-4</v>
      </c>
      <c r="BG6" s="62">
        <f t="shared" si="28"/>
        <v>3.3647993789852392E-4</v>
      </c>
      <c r="BH6" s="62">
        <f t="shared" ref="BH6:BI6" si="29">IF(BH3="","",SUM(BH4:BH5))</f>
        <v>3.3647993789852392E-4</v>
      </c>
      <c r="BI6" s="62">
        <f t="shared" si="29"/>
        <v>3.3647993789852392E-4</v>
      </c>
      <c r="BJ6" s="62">
        <f t="shared" ref="BJ6" si="30">IF(BJ3="","",SUM(BJ4:BJ5))</f>
        <v>3.3647993789852392E-4</v>
      </c>
    </row>
    <row r="7" spans="1:62" x14ac:dyDescent="0.25">
      <c r="A7" s="306"/>
      <c r="B7" s="73" t="s">
        <v>56</v>
      </c>
      <c r="C7" s="66">
        <f t="shared" ref="C7:D7" si="31">IF(C3="","",IFERROR(C5/C6,""))</f>
        <v>-0.24860783292419911</v>
      </c>
      <c r="D7" s="66">
        <f t="shared" si="31"/>
        <v>-0.24860783292419911</v>
      </c>
      <c r="E7" s="66">
        <f t="shared" ref="E7:F7" si="32">IF(E3="","",IFERROR(E5/E6,""))</f>
        <v>-0.24860783292419911</v>
      </c>
      <c r="F7" s="66">
        <f t="shared" si="32"/>
        <v>-0.24860783292419911</v>
      </c>
      <c r="G7" s="66">
        <f t="shared" ref="G7:H7" si="33">IF(G3="","",IFERROR(G5/G6,""))</f>
        <v>-0.24860783292419911</v>
      </c>
      <c r="H7" s="66">
        <f t="shared" si="33"/>
        <v>-0.24860783292419911</v>
      </c>
      <c r="I7" s="66">
        <f t="shared" ref="I7" si="34">IF(I3="","",IFERROR(I5/I6,""))</f>
        <v>-0.24860783292419911</v>
      </c>
      <c r="J7" s="66">
        <f t="shared" ref="J7:P7" si="35">IF(J3="","",IFERROR(J5/J6,""))</f>
        <v>-0.24860783292419911</v>
      </c>
      <c r="K7" s="66">
        <f t="shared" si="35"/>
        <v>-0.24860783292419911</v>
      </c>
      <c r="L7" s="66">
        <f t="shared" si="35"/>
        <v>-0.24860783292419911</v>
      </c>
      <c r="M7" s="66">
        <f t="shared" si="35"/>
        <v>-0.24860783292419911</v>
      </c>
      <c r="N7" s="66">
        <f t="shared" si="35"/>
        <v>-0.24860783292419911</v>
      </c>
      <c r="O7" s="66">
        <f t="shared" si="35"/>
        <v>0.15824596740765512</v>
      </c>
      <c r="P7" s="66">
        <f t="shared" si="35"/>
        <v>0.15824596740765512</v>
      </c>
      <c r="Q7" s="66">
        <f t="shared" ref="Q7:R7" si="36">IF(Q3="","",IFERROR(Q5/Q6,""))</f>
        <v>0.15824596740765512</v>
      </c>
      <c r="R7" s="66">
        <f t="shared" si="36"/>
        <v>0.15824596740765512</v>
      </c>
      <c r="S7" s="66">
        <f t="shared" ref="S7:T7" si="37">IF(S3="","",IFERROR(S5/S6,""))</f>
        <v>0.15824596740765512</v>
      </c>
      <c r="T7" s="66">
        <f t="shared" si="37"/>
        <v>0.15824596740765512</v>
      </c>
      <c r="U7" s="66">
        <f t="shared" ref="U7:V7" si="38">IF(U3="","",IFERROR(U5/U6,""))</f>
        <v>0.15824596740765512</v>
      </c>
      <c r="V7" s="66">
        <f t="shared" si="38"/>
        <v>0.15824596740765512</v>
      </c>
      <c r="W7" s="66">
        <f t="shared" ref="W7:X7" si="39">IF(W3="","",IFERROR(W5/W6,""))</f>
        <v>0.15824596740765512</v>
      </c>
      <c r="X7" s="66">
        <f t="shared" si="39"/>
        <v>0.15824596740765512</v>
      </c>
      <c r="Y7" s="66">
        <f t="shared" ref="Y7:Z7" si="40">IF(Y3="","",IFERROR(Y5/Y6,""))</f>
        <v>0.15824596740765512</v>
      </c>
      <c r="Z7" s="66">
        <f t="shared" si="40"/>
        <v>0.15824596740765512</v>
      </c>
      <c r="AA7" s="66">
        <f t="shared" ref="AA7:AB7" si="41">IF(AA3="","",IFERROR(AA5/AA6,""))</f>
        <v>0.16540991940970229</v>
      </c>
      <c r="AB7" s="66">
        <f t="shared" si="41"/>
        <v>0.16540991940970229</v>
      </c>
      <c r="AC7" s="66">
        <f t="shared" ref="AC7:AD7" si="42">IF(AC3="","",IFERROR(AC5/AC6,""))</f>
        <v>0.16540991940970229</v>
      </c>
      <c r="AD7" s="66">
        <f t="shared" si="42"/>
        <v>0.16540991940970229</v>
      </c>
      <c r="AE7" s="66">
        <f t="shared" ref="AE7:AF7" si="43">IF(AE3="","",IFERROR(AE5/AE6,""))</f>
        <v>0.16540991940970229</v>
      </c>
      <c r="AF7" s="66">
        <f t="shared" si="43"/>
        <v>0.16540991940970229</v>
      </c>
      <c r="AG7" s="66">
        <f t="shared" ref="AG7:AH7" si="44">IF(AG3="","",IFERROR(AG5/AG6,""))</f>
        <v>0.16540991940970229</v>
      </c>
      <c r="AH7" s="66">
        <f t="shared" si="44"/>
        <v>0.16540991940970229</v>
      </c>
      <c r="AI7" s="66">
        <f t="shared" ref="AI7:AJ7" si="45">IF(AI3="","",IFERROR(AI5/AI6,""))</f>
        <v>0.16540991940970229</v>
      </c>
      <c r="AJ7" s="66">
        <f t="shared" si="45"/>
        <v>0.16540991940970229</v>
      </c>
      <c r="AK7" s="66">
        <f t="shared" ref="AK7:AL7" si="46">IF(AK3="","",IFERROR(AK5/AK6,""))</f>
        <v>0.16540991940970229</v>
      </c>
      <c r="AL7" s="66">
        <f t="shared" si="46"/>
        <v>0.16540991940970229</v>
      </c>
      <c r="AM7" s="66">
        <f t="shared" ref="AM7:AN7" si="47">IF(AM3="","",IFERROR(AM5/AM6,""))</f>
        <v>0.31644839107691292</v>
      </c>
      <c r="AN7" s="66">
        <f t="shared" si="47"/>
        <v>0.31644839107691292</v>
      </c>
      <c r="AO7" s="66">
        <f t="shared" ref="AO7:AP7" si="48">IF(AO3="","",IFERROR(AO5/AO6,""))</f>
        <v>0.31644839107691292</v>
      </c>
      <c r="AP7" s="66">
        <f t="shared" si="48"/>
        <v>0.31644839107691292</v>
      </c>
      <c r="AQ7" s="66">
        <f t="shared" ref="AQ7:AR7" si="49">IF(AQ3="","",IFERROR(AQ5/AQ6,""))</f>
        <v>0.31644839107691292</v>
      </c>
      <c r="AR7" s="66">
        <f t="shared" si="49"/>
        <v>0.31644839107691292</v>
      </c>
      <c r="AS7" s="66">
        <f t="shared" ref="AS7:AT7" si="50">IF(AS3="","",IFERROR(AS5/AS6,""))</f>
        <v>0.31644839107691292</v>
      </c>
      <c r="AT7" s="66">
        <f t="shared" si="50"/>
        <v>0.31644839107691292</v>
      </c>
      <c r="AU7" s="66">
        <f t="shared" ref="AU7:AV7" si="51">IF(AU3="","",IFERROR(AU5/AU6,""))</f>
        <v>0.31644839107691292</v>
      </c>
      <c r="AV7" s="66">
        <f t="shared" si="51"/>
        <v>0.31644839107691292</v>
      </c>
      <c r="AW7" s="66">
        <f t="shared" ref="AW7:AX7" si="52">IF(AW3="","",IFERROR(AW5/AW6,""))</f>
        <v>0.31644839107691292</v>
      </c>
      <c r="AX7" s="66">
        <f t="shared" si="52"/>
        <v>0.31644839107691292</v>
      </c>
      <c r="AY7" s="66">
        <f t="shared" ref="AY7:AZ7" si="53">IF(AY3="","",IFERROR(AY5/AY6,""))</f>
        <v>-0.36096804844922942</v>
      </c>
      <c r="AZ7" s="66">
        <f t="shared" si="53"/>
        <v>-0.36096804844922942</v>
      </c>
      <c r="BA7" s="66">
        <f t="shared" ref="BA7:BB7" si="54">IF(BA3="","",IFERROR(BA5/BA6,""))</f>
        <v>-0.36096804844922942</v>
      </c>
      <c r="BB7" s="66">
        <f t="shared" si="54"/>
        <v>-0.36096804844922942</v>
      </c>
      <c r="BC7" s="66">
        <f t="shared" ref="BC7" si="55">IF(BC3="","",IFERROR(BC5/BC6,""))</f>
        <v>-0.36096804844922942</v>
      </c>
      <c r="BD7" s="66">
        <f t="shared" ref="BD7:BJ7" si="56">IF(BD3="","",IFERROR(BD5/BD6,""))</f>
        <v>-0.36096804844922942</v>
      </c>
      <c r="BE7" s="66">
        <f t="shared" si="56"/>
        <v>-0.36096804844922942</v>
      </c>
      <c r="BF7" s="66">
        <f t="shared" si="56"/>
        <v>-0.36096804844922942</v>
      </c>
      <c r="BG7" s="66">
        <f t="shared" si="56"/>
        <v>-0.36096804844922942</v>
      </c>
      <c r="BH7" s="66">
        <f t="shared" si="56"/>
        <v>-0.36096804844922942</v>
      </c>
      <c r="BI7" s="66">
        <f t="shared" si="56"/>
        <v>-0.36096804844922942</v>
      </c>
      <c r="BJ7" s="66">
        <f t="shared" si="56"/>
        <v>-0.36096804844922942</v>
      </c>
    </row>
    <row r="8" spans="1:62" x14ac:dyDescent="0.25">
      <c r="A8" s="306"/>
      <c r="B8" s="74" t="s">
        <v>57</v>
      </c>
      <c r="C8" s="64">
        <f t="shared" ref="C8:D8" si="57">IF(C3="","",ROUND(C7*C3,2))</f>
        <v>-115732.97</v>
      </c>
      <c r="D8" s="64">
        <f t="shared" si="57"/>
        <v>-104574.51</v>
      </c>
      <c r="E8" s="64">
        <f t="shared" ref="E8:F8" si="58">IF(E3="","",ROUND(E7*E3,2))</f>
        <v>-82818.98</v>
      </c>
      <c r="F8" s="64">
        <f t="shared" si="58"/>
        <v>-74005.649999999994</v>
      </c>
      <c r="G8" s="64">
        <f t="shared" ref="G8:H8" si="59">IF(G3="","",ROUND(G7*G3,2))</f>
        <v>-97941.18</v>
      </c>
      <c r="H8" s="64">
        <f t="shared" si="59"/>
        <v>-131594.67000000001</v>
      </c>
      <c r="I8" s="64">
        <f t="shared" ref="I8" si="60">IF(I3="","",ROUND(I7*I3,2))</f>
        <v>-123527.13</v>
      </c>
      <c r="J8" s="64">
        <f t="shared" ref="J8:P8" si="61">IF(J3="","",ROUND(J7*J3,2))</f>
        <v>-111322.95</v>
      </c>
      <c r="K8" s="64">
        <f t="shared" si="61"/>
        <v>-75219.710000000006</v>
      </c>
      <c r="L8" s="64">
        <f t="shared" si="61"/>
        <v>-80241.5</v>
      </c>
      <c r="M8" s="64">
        <f t="shared" si="61"/>
        <v>-106401.64</v>
      </c>
      <c r="N8" s="64">
        <f t="shared" si="61"/>
        <v>-138469.78</v>
      </c>
      <c r="O8" s="64">
        <f t="shared" si="61"/>
        <v>214209.84</v>
      </c>
      <c r="P8" s="64">
        <f t="shared" si="61"/>
        <v>278064.93</v>
      </c>
      <c r="Q8" s="64">
        <f t="shared" ref="Q8:R8" si="62">IF(Q3="","",ROUND(Q7*Q3,2))</f>
        <v>187629.17</v>
      </c>
      <c r="R8" s="64">
        <f t="shared" si="62"/>
        <v>176283.71</v>
      </c>
      <c r="S8" s="64">
        <f t="shared" ref="S8:T8" si="63">IF(S3="","",ROUND(S7*S3,2))</f>
        <v>231223.27</v>
      </c>
      <c r="T8" s="64">
        <f t="shared" si="63"/>
        <v>305423.73</v>
      </c>
      <c r="U8" s="64">
        <f t="shared" ref="U8:V8" si="64">IF(U3="","",ROUND(U7*U3,2))</f>
        <v>311615.01</v>
      </c>
      <c r="V8" s="64">
        <f t="shared" si="64"/>
        <v>306092.45</v>
      </c>
      <c r="W8" s="64">
        <f t="shared" ref="W8:AB8" si="65">IF(W3="","",ROUND(W7*W3,2))</f>
        <v>211968.1</v>
      </c>
      <c r="X8" s="64">
        <f t="shared" si="65"/>
        <v>198628.63</v>
      </c>
      <c r="Y8" s="64">
        <f t="shared" si="65"/>
        <v>248528.93</v>
      </c>
      <c r="Z8" s="64">
        <f t="shared" si="65"/>
        <v>321239.03999999998</v>
      </c>
      <c r="AA8" s="64">
        <f t="shared" si="65"/>
        <v>270175.45</v>
      </c>
      <c r="AB8" s="64">
        <f t="shared" si="65"/>
        <v>118232.21</v>
      </c>
      <c r="AC8" s="64">
        <f t="shared" ref="AC8:AD8" si="66">IF(AC3="","",ROUND(AC7*AC3,2))</f>
        <v>90604.87</v>
      </c>
      <c r="AD8" s="64">
        <f t="shared" si="66"/>
        <v>84722.21</v>
      </c>
      <c r="AE8" s="64">
        <f t="shared" ref="AE8:AF8" si="67">IF(AE3="","",ROUND(AE7*AE3,2))</f>
        <v>107685.96</v>
      </c>
      <c r="AF8" s="64">
        <f t="shared" si="67"/>
        <v>148122.69</v>
      </c>
      <c r="AG8" s="64">
        <f t="shared" ref="AG8:AL8" si="68">IF(AG3="","",ROUND(AG7*AG3,2))</f>
        <v>141095.97</v>
      </c>
      <c r="AH8" s="64">
        <f t="shared" si="68"/>
        <v>117508.65</v>
      </c>
      <c r="AI8" s="64">
        <f t="shared" si="68"/>
        <v>84587.71</v>
      </c>
      <c r="AJ8" s="64">
        <f t="shared" si="68"/>
        <v>80065.600000000006</v>
      </c>
      <c r="AK8" s="64">
        <f t="shared" si="68"/>
        <v>122414.96</v>
      </c>
      <c r="AL8" s="64">
        <f t="shared" si="68"/>
        <v>146964.76</v>
      </c>
      <c r="AM8" s="64">
        <f t="shared" ref="AM8:AN8" si="69">IF(AM3="","",ROUND(AM7*AM3,2))</f>
        <v>277535.48</v>
      </c>
      <c r="AN8" s="64">
        <f t="shared" si="69"/>
        <v>274328.76</v>
      </c>
      <c r="AO8" s="64">
        <f t="shared" ref="AO8:AP8" si="70">IF(AO3="","",ROUND(AO7*AO3,2))</f>
        <v>236568.66</v>
      </c>
      <c r="AP8" s="64">
        <f t="shared" si="70"/>
        <v>202231.43</v>
      </c>
      <c r="AQ8" s="64">
        <f t="shared" ref="AQ8:AR8" si="71">IF(AQ3="","",ROUND(AQ7*AQ3,2))</f>
        <v>261560.47</v>
      </c>
      <c r="AR8" s="64">
        <f t="shared" si="71"/>
        <v>342264.98</v>
      </c>
      <c r="AS8" s="64">
        <f t="shared" ref="AS8:AT8" si="72">IF(AS3="","",ROUND(AS7*AS3,2))</f>
        <v>352779.45</v>
      </c>
      <c r="AT8" s="64">
        <f t="shared" si="72"/>
        <v>326302.92</v>
      </c>
      <c r="AU8" s="64">
        <f t="shared" ref="AU8:AV8" si="73">IF(AU3="","",ROUND(AU7*AU3,2))</f>
        <v>236589.06</v>
      </c>
      <c r="AV8" s="64">
        <f t="shared" si="73"/>
        <v>206838.83</v>
      </c>
      <c r="AW8" s="64">
        <f t="shared" ref="AW8:AX8" si="74">IF(AW3="","",ROUND(AW7*AW3,2))</f>
        <v>288105.44</v>
      </c>
      <c r="AX8" s="64">
        <f t="shared" si="74"/>
        <v>377121</v>
      </c>
      <c r="AY8" s="64">
        <f t="shared" ref="AY8:BD8" si="75">IF(AY3="","",ROUND(AY7*AY3,2))</f>
        <v>-325945.17</v>
      </c>
      <c r="AZ8" s="64">
        <f t="shared" si="75"/>
        <v>-108965.9</v>
      </c>
      <c r="BA8" s="64">
        <f t="shared" si="75"/>
        <v>-97785.39</v>
      </c>
      <c r="BB8" s="64">
        <f t="shared" si="75"/>
        <v>-88646.22</v>
      </c>
      <c r="BC8" s="64">
        <f t="shared" si="75"/>
        <v>-121019.85</v>
      </c>
      <c r="BD8" s="64">
        <f t="shared" si="75"/>
        <v>-161803.12</v>
      </c>
      <c r="BE8" s="64">
        <f t="shared" ref="BE8:BJ8" si="76">IF(BE3="","",ROUND(BE7*BE3,2))</f>
        <v>-147420.89000000001</v>
      </c>
      <c r="BF8" s="64">
        <f t="shared" si="76"/>
        <v>-139969.9</v>
      </c>
      <c r="BG8" s="64">
        <f t="shared" si="76"/>
        <v>-102161.55</v>
      </c>
      <c r="BH8" s="64">
        <f t="shared" si="76"/>
        <v>-111848.95</v>
      </c>
      <c r="BI8" s="64">
        <f t="shared" si="76"/>
        <v>-141284.98000000001</v>
      </c>
      <c r="BJ8" s="64">
        <f t="shared" si="76"/>
        <v>-166254.85</v>
      </c>
    </row>
    <row r="9" spans="1:62" x14ac:dyDescent="0.25">
      <c r="A9" s="77"/>
      <c r="B9" s="7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row>
    <row r="10" spans="1:62" x14ac:dyDescent="0.25">
      <c r="A10" s="306" t="s">
        <v>34</v>
      </c>
      <c r="B10" s="73" t="s">
        <v>53</v>
      </c>
      <c r="C10" s="63">
        <f>IF(+'M3 Allocations - TD'!O52="","",'M3 Allocations - TD'!O52)</f>
        <v>74514.039999999994</v>
      </c>
      <c r="D10" s="63">
        <f>IF(+'M3 Allocations - TD'!P52="","",'M3 Allocations - TD'!P52)</f>
        <v>73821.710000000006</v>
      </c>
      <c r="E10" s="63">
        <f>IF(+'M3 Allocations - TD'!Q52="","",'M3 Allocations - TD'!Q52)</f>
        <v>56719.11</v>
      </c>
      <c r="F10" s="63">
        <f>IF(+'M3 Allocations - TD'!R52="","",'M3 Allocations - TD'!R52)</f>
        <v>51424.73</v>
      </c>
      <c r="G10" s="63">
        <f>IF(+'M3 Allocations - TD'!S52="","",'M3 Allocations - TD'!S52)</f>
        <v>64574.18</v>
      </c>
      <c r="H10" s="63">
        <f>IF(+'M3 Allocations - TD'!T52="","",'M3 Allocations - TD'!T52)</f>
        <v>80406.710000000006</v>
      </c>
      <c r="I10" s="63">
        <f>IF(+'M3 Allocations - TD'!U52="","",'M3 Allocations - TD'!U52)</f>
        <v>78372.460000000006</v>
      </c>
      <c r="J10" s="63">
        <f>IF(+'M3 Allocations - TD'!V52="","",'M3 Allocations - TD'!V52)</f>
        <v>75020.86</v>
      </c>
      <c r="K10" s="63">
        <f>IF(+'M3 Allocations - TD'!W52="","",'M3 Allocations - TD'!W52)</f>
        <v>60809.53</v>
      </c>
      <c r="L10" s="63">
        <f>IF(+'M3 Allocations - TD'!X52="","",'M3 Allocations - TD'!X52)</f>
        <v>60774.8</v>
      </c>
      <c r="M10" s="63">
        <f>IF(+'M3 Allocations - TD'!Y52="","",'M3 Allocations - TD'!Y52)</f>
        <v>70212.570000000007</v>
      </c>
      <c r="N10" s="63">
        <f>IF(+'M3 Allocations - TD'!Z52="","",'M3 Allocations - TD'!Z52)</f>
        <v>83755.55</v>
      </c>
      <c r="O10" s="63">
        <f>IF(+'M3 Allocations - TD'!AA52="","",'M3 Allocations - TD'!AA52)</f>
        <v>247981.23</v>
      </c>
      <c r="P10" s="63">
        <f>IF(+'M3 Allocations - TD'!AB52="","",'M3 Allocations - TD'!AB52)</f>
        <v>383476.26</v>
      </c>
      <c r="Q10" s="63">
        <f>IF(+'M3 Allocations - TD'!AC52="","",'M3 Allocations - TD'!AC52)</f>
        <v>305019.12</v>
      </c>
      <c r="R10" s="63">
        <f>IF(+'M3 Allocations - TD'!AD52="","",'M3 Allocations - TD'!AD52)</f>
        <v>298211.62</v>
      </c>
      <c r="S10" s="63">
        <f>IF(+'M3 Allocations - TD'!AE52="","",'M3 Allocations - TD'!AE52)</f>
        <v>355738.71</v>
      </c>
      <c r="T10" s="63">
        <f>IF(+'M3 Allocations - TD'!AF52="","",'M3 Allocations - TD'!AF52)</f>
        <v>421100.95</v>
      </c>
      <c r="U10" s="63">
        <f>IF(+'M3 Allocations - TD'!AG52="","",'M3 Allocations - TD'!AG52)</f>
        <v>421260.25</v>
      </c>
      <c r="V10" s="63">
        <f>IF(+'M3 Allocations - TD'!AH52="","",'M3 Allocations - TD'!AH52)</f>
        <v>425647.35</v>
      </c>
      <c r="W10" s="63">
        <f>IF(+'M3 Allocations - TD'!AI52="","",'M3 Allocations - TD'!AI52)</f>
        <v>355043.17</v>
      </c>
      <c r="X10" s="63">
        <f>IF(+'M3 Allocations - TD'!AJ52="","",'M3 Allocations - TD'!AJ52)</f>
        <v>317440.44</v>
      </c>
      <c r="Y10" s="63">
        <f>IF(+'M3 Allocations - TD'!AK52="","",'M3 Allocations - TD'!AK52)</f>
        <v>361675.89</v>
      </c>
      <c r="Z10" s="63">
        <f>IF(+'M3 Allocations - TD'!AL52="","",'M3 Allocations - TD'!AL52)</f>
        <v>427108.58</v>
      </c>
      <c r="AA10" s="63">
        <f>IF(+'M3 Allocations - TD'!AM52="","",'M3 Allocations - TD'!AM52)</f>
        <v>352548.03</v>
      </c>
      <c r="AB10" s="63">
        <f>IF(+'M3 Allocations - TD'!AN52="","",'M3 Allocations - TD'!AN52)</f>
        <v>202576.3</v>
      </c>
      <c r="AC10" s="63">
        <f>IF(+'M3 Allocations - TD'!AO52="","",'M3 Allocations - TD'!AO52)</f>
        <v>179190.8</v>
      </c>
      <c r="AD10" s="63">
        <f>IF(+'M3 Allocations - TD'!AP52="","",'M3 Allocations - TD'!AP52)</f>
        <v>173555.15</v>
      </c>
      <c r="AE10" s="63">
        <f>IF(+'M3 Allocations - TD'!AQ52="","",'M3 Allocations - TD'!AQ52)</f>
        <v>201857.14</v>
      </c>
      <c r="AF10" s="63">
        <f>IF(+'M3 Allocations - TD'!AR52="","",'M3 Allocations - TD'!AR52)</f>
        <v>241561.15</v>
      </c>
      <c r="AG10" s="63">
        <f>IF(+'M3 Allocations - TD'!AS52="","",'M3 Allocations - TD'!AS52)</f>
        <v>236616.94</v>
      </c>
      <c r="AH10" s="63">
        <f>IF(+'M3 Allocations - TD'!AT52="","",'M3 Allocations - TD'!AT52)</f>
        <v>216950.84</v>
      </c>
      <c r="AI10" s="63">
        <f>IF(+'M3 Allocations - TD'!AU52="","",'M3 Allocations - TD'!AU52)</f>
        <v>178443.25</v>
      </c>
      <c r="AJ10" s="63">
        <f>IF(+'M3 Allocations - TD'!AV52="","",'M3 Allocations - TD'!AV52)</f>
        <v>170114.82</v>
      </c>
      <c r="AK10" s="63">
        <f>IF(+'M3 Allocations - TD'!AW52="","",'M3 Allocations - TD'!AW52)</f>
        <v>212488.19</v>
      </c>
      <c r="AL10" s="63">
        <f>IF(+'M3 Allocations - TD'!AX52="","",'M3 Allocations - TD'!AX52)</f>
        <v>243116.99</v>
      </c>
      <c r="AM10" s="63">
        <f>IF(+'M3 Allocations - TD'!AY52="","",'M3 Allocations - TD'!AY52)</f>
        <v>187551.07</v>
      </c>
      <c r="AN10" s="63">
        <f>IF(+'M3 Allocations - TD'!AZ52="","",'M3 Allocations - TD'!AZ52)</f>
        <v>136792.68</v>
      </c>
      <c r="AO10" s="63">
        <f>IF(+'M3 Allocations - TD'!BA52="","",'M3 Allocations - TD'!BA52)</f>
        <v>125661.64</v>
      </c>
      <c r="AP10" s="63">
        <f>IF(+'M3 Allocations - TD'!BB52="","",'M3 Allocations - TD'!BB52)</f>
        <v>115949.34</v>
      </c>
      <c r="AQ10" s="63">
        <f>IF(+'M3 Allocations - TD'!BC52="","",'M3 Allocations - TD'!BC52)</f>
        <v>139369.25</v>
      </c>
      <c r="AR10" s="63">
        <f>IF(+'M3 Allocations - TD'!BD52="","",'M3 Allocations - TD'!BD52)</f>
        <v>161718.04</v>
      </c>
      <c r="AS10" s="63">
        <f>IF(+'M3 Allocations - TD'!BE52="","",'M3 Allocations - TD'!BE52)</f>
        <v>165200.46</v>
      </c>
      <c r="AT10" s="63">
        <f>IF(+'M3 Allocations - TD'!BF52="","",'M3 Allocations - TD'!BF52)</f>
        <v>159904.26</v>
      </c>
      <c r="AU10" s="63">
        <f>IF(+'M3 Allocations - TD'!BG52="","",'M3 Allocations - TD'!BG52)</f>
        <v>135422.35</v>
      </c>
      <c r="AV10" s="63">
        <f>IF(+'M3 Allocations - TD'!BH52="","",'M3 Allocations - TD'!BH52)</f>
        <v>124505.35</v>
      </c>
      <c r="AW10" s="63">
        <f>IF(+'M3 Allocations - TD'!BI52="","",'M3 Allocations - TD'!BI52)</f>
        <v>143114.57999999999</v>
      </c>
      <c r="AX10" s="63">
        <f>IF(+'M3 Allocations - TD'!BJ52="","",'M3 Allocations - TD'!BJ52)</f>
        <v>172661.94</v>
      </c>
      <c r="AY10" s="63">
        <f>IF(+'M3 Allocations - TD'!BK52="","",'M3 Allocations - TD'!BK52)</f>
        <v>182184.47</v>
      </c>
      <c r="AZ10" s="63">
        <f>IF(+'M3 Allocations - TD'!BL52="","",'M3 Allocations - TD'!BL52)</f>
        <v>166367.26999999999</v>
      </c>
      <c r="BA10" s="63">
        <f>IF(+'M3 Allocations - TD'!BM52="","",'M3 Allocations - TD'!BM52)</f>
        <v>161733.9</v>
      </c>
      <c r="BB10" s="63">
        <f>IF(+'M3 Allocations - TD'!BN52="","",'M3 Allocations - TD'!BN52)</f>
        <v>154028.51</v>
      </c>
      <c r="BC10" s="63">
        <f>IF(+'M3 Allocations - TD'!BO52="","",'M3 Allocations - TD'!BO52)</f>
        <v>188258.77</v>
      </c>
      <c r="BD10" s="63">
        <f>IF(+'M3 Allocations - TD'!BP52="","",'M3 Allocations - TD'!BP52)</f>
        <v>225103.9</v>
      </c>
      <c r="BE10" s="63">
        <f>IF(+'M3 Allocations - TD'!BQ52="","",'M3 Allocations - TD'!BQ52)</f>
        <v>211259.27</v>
      </c>
      <c r="BF10" s="63">
        <f>IF(+'M3 Allocations - TD'!BR52="","",'M3 Allocations - TD'!BR52)</f>
        <v>205684.72</v>
      </c>
      <c r="BG10" s="63">
        <f>IF(+'M3 Allocations - TD'!BS52="","",'M3 Allocations - TD'!BS52)</f>
        <v>173502.18</v>
      </c>
      <c r="BH10" s="63">
        <f>IF(+'M3 Allocations - TD'!BT52="","",'M3 Allocations - TD'!BT52)</f>
        <v>163003.31398066776</v>
      </c>
      <c r="BI10" s="63">
        <f>IF(+'M3 Allocations - TD'!BU52="","",'M3 Allocations - TD'!BU52)</f>
        <v>195117.55307211404</v>
      </c>
      <c r="BJ10" s="63">
        <f>IF(+'M3 Allocations - TD'!BV52="","",'M3 Allocations - TD'!BV52)</f>
        <v>219449.73927501347</v>
      </c>
    </row>
    <row r="11" spans="1:62" x14ac:dyDescent="0.25">
      <c r="A11" s="306"/>
      <c r="B11" s="73" t="s">
        <v>55</v>
      </c>
      <c r="C11" s="119">
        <v>3.4644873094528316E-4</v>
      </c>
      <c r="D11" s="90">
        <f t="shared" ref="D11:Y12" si="77">IF(D10="","",C11)</f>
        <v>3.4644873094528316E-4</v>
      </c>
      <c r="E11" s="90">
        <f t="shared" si="77"/>
        <v>3.4644873094528316E-4</v>
      </c>
      <c r="F11" s="90">
        <f t="shared" si="77"/>
        <v>3.4644873094528316E-4</v>
      </c>
      <c r="G11" s="90">
        <f t="shared" si="77"/>
        <v>3.4644873094528316E-4</v>
      </c>
      <c r="H11" s="90">
        <f t="shared" si="77"/>
        <v>3.4644873094528316E-4</v>
      </c>
      <c r="I11" s="90">
        <f t="shared" si="77"/>
        <v>3.4644873094528316E-4</v>
      </c>
      <c r="J11" s="90">
        <f t="shared" si="77"/>
        <v>3.4644873094528316E-4</v>
      </c>
      <c r="K11" s="90">
        <f t="shared" si="77"/>
        <v>3.4644873094528316E-4</v>
      </c>
      <c r="L11" s="90">
        <f t="shared" si="77"/>
        <v>3.4644873094528316E-4</v>
      </c>
      <c r="M11" s="90">
        <f t="shared" si="77"/>
        <v>3.4644873094528316E-4</v>
      </c>
      <c r="N11" s="90">
        <f t="shared" si="77"/>
        <v>3.4644873094528316E-4</v>
      </c>
      <c r="O11" s="120">
        <v>1.2887847704183462E-3</v>
      </c>
      <c r="P11" s="90">
        <f t="shared" si="77"/>
        <v>1.2887847704183462E-3</v>
      </c>
      <c r="Q11" s="90">
        <f t="shared" si="77"/>
        <v>1.2887847704183462E-3</v>
      </c>
      <c r="R11" s="90">
        <f t="shared" si="77"/>
        <v>1.2887847704183462E-3</v>
      </c>
      <c r="S11" s="90">
        <f t="shared" si="77"/>
        <v>1.2887847704183462E-3</v>
      </c>
      <c r="T11" s="90">
        <f t="shared" si="77"/>
        <v>1.2887847704183462E-3</v>
      </c>
      <c r="U11" s="90">
        <f t="shared" si="77"/>
        <v>1.2887847704183462E-3</v>
      </c>
      <c r="V11" s="90">
        <f t="shared" si="77"/>
        <v>1.2887847704183462E-3</v>
      </c>
      <c r="W11" s="90">
        <f t="shared" si="77"/>
        <v>1.2887847704183462E-3</v>
      </c>
      <c r="X11" s="90">
        <f t="shared" si="77"/>
        <v>1.2887847704183462E-3</v>
      </c>
      <c r="Y11" s="90">
        <f t="shared" si="77"/>
        <v>1.2887847704183462E-3</v>
      </c>
      <c r="Z11" s="90">
        <f>IF(Z10="","",Y11)</f>
        <v>1.2887847704183462E-3</v>
      </c>
      <c r="AA11" s="120">
        <v>9.0707916632213985E-4</v>
      </c>
      <c r="AB11" s="90">
        <f t="shared" ref="AB11:BJ12" si="78">IF(AB10="","",AA11)</f>
        <v>9.0707916632213985E-4</v>
      </c>
      <c r="AC11" s="90">
        <f t="shared" si="78"/>
        <v>9.0707916632213985E-4</v>
      </c>
      <c r="AD11" s="90">
        <f t="shared" si="78"/>
        <v>9.0707916632213985E-4</v>
      </c>
      <c r="AE11" s="90">
        <f t="shared" si="78"/>
        <v>9.0707916632213985E-4</v>
      </c>
      <c r="AF11" s="90">
        <f t="shared" si="78"/>
        <v>9.0707916632213985E-4</v>
      </c>
      <c r="AG11" s="90">
        <f t="shared" si="78"/>
        <v>9.0707916632213985E-4</v>
      </c>
      <c r="AH11" s="90">
        <f t="shared" si="78"/>
        <v>9.0707916632213985E-4</v>
      </c>
      <c r="AI11" s="90">
        <f t="shared" si="78"/>
        <v>9.0707916632213985E-4</v>
      </c>
      <c r="AJ11" s="90">
        <f t="shared" si="78"/>
        <v>9.0707916632213985E-4</v>
      </c>
      <c r="AK11" s="90">
        <f t="shared" si="78"/>
        <v>9.0707916632213985E-4</v>
      </c>
      <c r="AL11" s="90">
        <f t="shared" si="78"/>
        <v>9.0707916632213985E-4</v>
      </c>
      <c r="AM11" s="120">
        <v>7.0644729845400415E-4</v>
      </c>
      <c r="AN11" s="90">
        <f t="shared" si="78"/>
        <v>7.0644729845400415E-4</v>
      </c>
      <c r="AO11" s="90">
        <f t="shared" si="78"/>
        <v>7.0644729845400415E-4</v>
      </c>
      <c r="AP11" s="90">
        <f t="shared" si="78"/>
        <v>7.0644729845400415E-4</v>
      </c>
      <c r="AQ11" s="90">
        <f t="shared" si="78"/>
        <v>7.0644729845400415E-4</v>
      </c>
      <c r="AR11" s="90">
        <f t="shared" si="78"/>
        <v>7.0644729845400415E-4</v>
      </c>
      <c r="AS11" s="90">
        <f t="shared" si="78"/>
        <v>7.0644729845400415E-4</v>
      </c>
      <c r="AT11" s="90">
        <f t="shared" si="78"/>
        <v>7.0644729845400415E-4</v>
      </c>
      <c r="AU11" s="90">
        <f t="shared" si="78"/>
        <v>7.0644729845400415E-4</v>
      </c>
      <c r="AV11" s="90">
        <f t="shared" si="78"/>
        <v>7.0644729845400415E-4</v>
      </c>
      <c r="AW11" s="90">
        <f t="shared" si="78"/>
        <v>7.0644729845400415E-4</v>
      </c>
      <c r="AX11" s="90">
        <f t="shared" si="78"/>
        <v>7.0644729845400415E-4</v>
      </c>
      <c r="AY11" s="120">
        <f>0.000764779483780059+0</f>
        <v>7.6477948378005903E-4</v>
      </c>
      <c r="AZ11" s="90">
        <f t="shared" si="78"/>
        <v>7.6477948378005903E-4</v>
      </c>
      <c r="BA11" s="90">
        <f t="shared" si="78"/>
        <v>7.6477948378005903E-4</v>
      </c>
      <c r="BB11" s="90">
        <f t="shared" si="78"/>
        <v>7.6477948378005903E-4</v>
      </c>
      <c r="BC11" s="90">
        <f t="shared" si="78"/>
        <v>7.6477948378005903E-4</v>
      </c>
      <c r="BD11" s="90">
        <f t="shared" si="78"/>
        <v>7.6477948378005903E-4</v>
      </c>
      <c r="BE11" s="90">
        <f t="shared" si="78"/>
        <v>7.6477948378005903E-4</v>
      </c>
      <c r="BF11" s="90">
        <f t="shared" si="78"/>
        <v>7.6477948378005903E-4</v>
      </c>
      <c r="BG11" s="90">
        <f t="shared" si="78"/>
        <v>7.6477948378005903E-4</v>
      </c>
      <c r="BH11" s="90">
        <f t="shared" si="78"/>
        <v>7.6477948378005903E-4</v>
      </c>
      <c r="BI11" s="90">
        <f t="shared" si="78"/>
        <v>7.6477948378005903E-4</v>
      </c>
      <c r="BJ11" s="90">
        <f t="shared" si="78"/>
        <v>7.6477948378005903E-4</v>
      </c>
    </row>
    <row r="12" spans="1:62" x14ac:dyDescent="0.25">
      <c r="A12" s="306"/>
      <c r="B12" s="73" t="s">
        <v>54</v>
      </c>
      <c r="C12" s="120">
        <v>-6.7394838749343863E-5</v>
      </c>
      <c r="D12" s="90">
        <f t="shared" si="77"/>
        <v>-6.7394838749343863E-5</v>
      </c>
      <c r="E12" s="90">
        <f t="shared" si="77"/>
        <v>-6.7394838749343863E-5</v>
      </c>
      <c r="F12" s="90">
        <f t="shared" si="77"/>
        <v>-6.7394838749343863E-5</v>
      </c>
      <c r="G12" s="90">
        <f t="shared" si="77"/>
        <v>-6.7394838749343863E-5</v>
      </c>
      <c r="H12" s="90">
        <f t="shared" si="77"/>
        <v>-6.7394838749343863E-5</v>
      </c>
      <c r="I12" s="90">
        <f t="shared" si="77"/>
        <v>-6.7394838749343863E-5</v>
      </c>
      <c r="J12" s="90">
        <f t="shared" si="77"/>
        <v>-6.7394838749343863E-5</v>
      </c>
      <c r="K12" s="90">
        <f t="shared" si="77"/>
        <v>-6.7394838749343863E-5</v>
      </c>
      <c r="L12" s="90">
        <f t="shared" si="77"/>
        <v>-6.7394838749343863E-5</v>
      </c>
      <c r="M12" s="90">
        <f t="shared" si="77"/>
        <v>-6.7394838749343863E-5</v>
      </c>
      <c r="N12" s="90">
        <f t="shared" si="77"/>
        <v>-6.7394838749343863E-5</v>
      </c>
      <c r="O12" s="120">
        <v>1.5796346253921996E-4</v>
      </c>
      <c r="P12" s="90">
        <f t="shared" si="77"/>
        <v>1.5796346253921996E-4</v>
      </c>
      <c r="Q12" s="90">
        <f t="shared" si="77"/>
        <v>1.5796346253921996E-4</v>
      </c>
      <c r="R12" s="90">
        <f t="shared" si="77"/>
        <v>1.5796346253921996E-4</v>
      </c>
      <c r="S12" s="90">
        <f t="shared" si="77"/>
        <v>1.5796346253921996E-4</v>
      </c>
      <c r="T12" s="90">
        <f t="shared" si="77"/>
        <v>1.5796346253921996E-4</v>
      </c>
      <c r="U12" s="90">
        <f t="shared" si="77"/>
        <v>1.5796346253921996E-4</v>
      </c>
      <c r="V12" s="90">
        <f t="shared" si="77"/>
        <v>1.5796346253921996E-4</v>
      </c>
      <c r="W12" s="90">
        <f t="shared" si="77"/>
        <v>1.5796346253921996E-4</v>
      </c>
      <c r="X12" s="90">
        <f t="shared" si="77"/>
        <v>1.5796346253921996E-4</v>
      </c>
      <c r="Y12" s="90">
        <f t="shared" si="77"/>
        <v>1.5796346253921996E-4</v>
      </c>
      <c r="Z12" s="90">
        <f>IF(Z11="","",Y12)</f>
        <v>1.5796346253921996E-4</v>
      </c>
      <c r="AA12" s="120">
        <v>-1.3187057849960824E-4</v>
      </c>
      <c r="AB12" s="90">
        <f t="shared" si="78"/>
        <v>-1.3187057849960824E-4</v>
      </c>
      <c r="AC12" s="90">
        <f t="shared" si="78"/>
        <v>-1.3187057849960824E-4</v>
      </c>
      <c r="AD12" s="90">
        <f t="shared" si="78"/>
        <v>-1.3187057849960824E-4</v>
      </c>
      <c r="AE12" s="90">
        <f t="shared" si="78"/>
        <v>-1.3187057849960824E-4</v>
      </c>
      <c r="AF12" s="90">
        <f t="shared" si="78"/>
        <v>-1.3187057849960824E-4</v>
      </c>
      <c r="AG12" s="90">
        <f t="shared" si="78"/>
        <v>-1.3187057849960824E-4</v>
      </c>
      <c r="AH12" s="90">
        <f t="shared" si="78"/>
        <v>-1.3187057849960824E-4</v>
      </c>
      <c r="AI12" s="90">
        <f t="shared" si="78"/>
        <v>-1.3187057849960824E-4</v>
      </c>
      <c r="AJ12" s="90">
        <f t="shared" si="78"/>
        <v>-1.3187057849960824E-4</v>
      </c>
      <c r="AK12" s="90">
        <f t="shared" si="78"/>
        <v>-1.3187057849960824E-4</v>
      </c>
      <c r="AL12" s="90">
        <f t="shared" si="78"/>
        <v>-1.3187057849960824E-4</v>
      </c>
      <c r="AM12" s="120">
        <v>-1.5169971121427729E-4</v>
      </c>
      <c r="AN12" s="90">
        <f t="shared" si="78"/>
        <v>-1.5169971121427729E-4</v>
      </c>
      <c r="AO12" s="90">
        <f t="shared" si="78"/>
        <v>-1.5169971121427729E-4</v>
      </c>
      <c r="AP12" s="90">
        <f t="shared" si="78"/>
        <v>-1.5169971121427729E-4</v>
      </c>
      <c r="AQ12" s="90">
        <f t="shared" si="78"/>
        <v>-1.5169971121427729E-4</v>
      </c>
      <c r="AR12" s="90">
        <f t="shared" si="78"/>
        <v>-1.5169971121427729E-4</v>
      </c>
      <c r="AS12" s="90">
        <f t="shared" si="78"/>
        <v>-1.5169971121427729E-4</v>
      </c>
      <c r="AT12" s="90">
        <f t="shared" si="78"/>
        <v>-1.5169971121427729E-4</v>
      </c>
      <c r="AU12" s="90">
        <f t="shared" si="78"/>
        <v>-1.5169971121427729E-4</v>
      </c>
      <c r="AV12" s="90">
        <f t="shared" si="78"/>
        <v>-1.5169971121427729E-4</v>
      </c>
      <c r="AW12" s="90">
        <f t="shared" si="78"/>
        <v>-1.5169971121427729E-4</v>
      </c>
      <c r="AX12" s="90">
        <f t="shared" si="78"/>
        <v>-1.5169971121427729E-4</v>
      </c>
      <c r="AY12" s="120">
        <f>-0.0000612024415160866+2.66405483408889E-06</f>
        <v>-5.8538386681997715E-5</v>
      </c>
      <c r="AZ12" s="90">
        <f t="shared" si="78"/>
        <v>-5.8538386681997715E-5</v>
      </c>
      <c r="BA12" s="90">
        <f t="shared" si="78"/>
        <v>-5.8538386681997715E-5</v>
      </c>
      <c r="BB12" s="90">
        <f t="shared" si="78"/>
        <v>-5.8538386681997715E-5</v>
      </c>
      <c r="BC12" s="90">
        <f t="shared" si="78"/>
        <v>-5.8538386681997715E-5</v>
      </c>
      <c r="BD12" s="90">
        <f t="shared" si="78"/>
        <v>-5.8538386681997715E-5</v>
      </c>
      <c r="BE12" s="90">
        <f t="shared" si="78"/>
        <v>-5.8538386681997715E-5</v>
      </c>
      <c r="BF12" s="90">
        <f t="shared" si="78"/>
        <v>-5.8538386681997715E-5</v>
      </c>
      <c r="BG12" s="90">
        <f t="shared" si="78"/>
        <v>-5.8538386681997715E-5</v>
      </c>
      <c r="BH12" s="90">
        <f t="shared" si="78"/>
        <v>-5.8538386681997715E-5</v>
      </c>
      <c r="BI12" s="90">
        <f t="shared" si="78"/>
        <v>-5.8538386681997715E-5</v>
      </c>
      <c r="BJ12" s="90">
        <f t="shared" si="78"/>
        <v>-5.8538386681997715E-5</v>
      </c>
    </row>
    <row r="13" spans="1:62" x14ac:dyDescent="0.25">
      <c r="A13" s="306"/>
      <c r="B13" s="73" t="s">
        <v>63</v>
      </c>
      <c r="C13" s="62">
        <f t="shared" ref="C13:D13" si="79">IF(C10="","",SUM(C11:C12))</f>
        <v>2.7905389219593928E-4</v>
      </c>
      <c r="D13" s="62">
        <f t="shared" si="79"/>
        <v>2.7905389219593928E-4</v>
      </c>
      <c r="E13" s="62">
        <f t="shared" ref="E13:F13" si="80">IF(E10="","",SUM(E11:E12))</f>
        <v>2.7905389219593928E-4</v>
      </c>
      <c r="F13" s="62">
        <f t="shared" si="80"/>
        <v>2.7905389219593928E-4</v>
      </c>
      <c r="G13" s="62">
        <f t="shared" ref="G13:H13" si="81">IF(G10="","",SUM(G11:G12))</f>
        <v>2.7905389219593928E-4</v>
      </c>
      <c r="H13" s="62">
        <f t="shared" si="81"/>
        <v>2.7905389219593928E-4</v>
      </c>
      <c r="I13" s="62">
        <f t="shared" ref="I13:J13" si="82">IF(I10="","",SUM(I11:I12))</f>
        <v>2.7905389219593928E-4</v>
      </c>
      <c r="J13" s="62">
        <f t="shared" si="82"/>
        <v>2.7905389219593928E-4</v>
      </c>
      <c r="K13" s="62">
        <f t="shared" ref="K13:L13" si="83">IF(K10="","",SUM(K11:K12))</f>
        <v>2.7905389219593928E-4</v>
      </c>
      <c r="L13" s="62">
        <f t="shared" si="83"/>
        <v>2.7905389219593928E-4</v>
      </c>
      <c r="M13" s="62">
        <f t="shared" ref="M13:N13" si="84">IF(M10="","",SUM(M11:M12))</f>
        <v>2.7905389219593928E-4</v>
      </c>
      <c r="N13" s="62">
        <f t="shared" si="84"/>
        <v>2.7905389219593928E-4</v>
      </c>
      <c r="O13" s="62">
        <f t="shared" ref="O13:P13" si="85">IF(O10="","",SUM(O11:O12))</f>
        <v>1.4467482329575661E-3</v>
      </c>
      <c r="P13" s="62">
        <f t="shared" si="85"/>
        <v>1.4467482329575661E-3</v>
      </c>
      <c r="Q13" s="62">
        <f t="shared" ref="Q13:R13" si="86">IF(Q10="","",SUM(Q11:Q12))</f>
        <v>1.4467482329575661E-3</v>
      </c>
      <c r="R13" s="62">
        <f t="shared" si="86"/>
        <v>1.4467482329575661E-3</v>
      </c>
      <c r="S13" s="62">
        <f t="shared" ref="S13:T13" si="87">IF(S10="","",SUM(S11:S12))</f>
        <v>1.4467482329575661E-3</v>
      </c>
      <c r="T13" s="62">
        <f t="shared" si="87"/>
        <v>1.4467482329575661E-3</v>
      </c>
      <c r="U13" s="62">
        <f t="shared" ref="U13:V13" si="88">IF(U10="","",SUM(U11:U12))</f>
        <v>1.4467482329575661E-3</v>
      </c>
      <c r="V13" s="62">
        <f t="shared" si="88"/>
        <v>1.4467482329575661E-3</v>
      </c>
      <c r="W13" s="62">
        <f t="shared" ref="W13:X13" si="89">IF(W10="","",SUM(W11:W12))</f>
        <v>1.4467482329575661E-3</v>
      </c>
      <c r="X13" s="62">
        <f t="shared" si="89"/>
        <v>1.4467482329575661E-3</v>
      </c>
      <c r="Y13" s="62">
        <f t="shared" ref="Y13:Z13" si="90">IF(Y10="","",SUM(Y11:Y12))</f>
        <v>1.4467482329575661E-3</v>
      </c>
      <c r="Z13" s="62">
        <f t="shared" si="90"/>
        <v>1.4467482329575661E-3</v>
      </c>
      <c r="AA13" s="62">
        <f t="shared" ref="AA13:AF13" si="91">IF(AA10="","",SUM(AA11:AA12))</f>
        <v>7.7520858782253164E-4</v>
      </c>
      <c r="AB13" s="62">
        <f t="shared" si="91"/>
        <v>7.7520858782253164E-4</v>
      </c>
      <c r="AC13" s="62">
        <f t="shared" si="91"/>
        <v>7.7520858782253164E-4</v>
      </c>
      <c r="AD13" s="62">
        <f t="shared" si="91"/>
        <v>7.7520858782253164E-4</v>
      </c>
      <c r="AE13" s="62">
        <f t="shared" si="91"/>
        <v>7.7520858782253164E-4</v>
      </c>
      <c r="AF13" s="62">
        <f t="shared" si="91"/>
        <v>7.7520858782253164E-4</v>
      </c>
      <c r="AG13" s="62">
        <f t="shared" ref="AG13:AH13" si="92">IF(AG10="","",SUM(AG11:AG12))</f>
        <v>7.7520858782253164E-4</v>
      </c>
      <c r="AH13" s="62">
        <f t="shared" si="92"/>
        <v>7.7520858782253164E-4</v>
      </c>
      <c r="AI13" s="62">
        <f t="shared" ref="AI13:AJ13" si="93">IF(AI10="","",SUM(AI11:AI12))</f>
        <v>7.7520858782253164E-4</v>
      </c>
      <c r="AJ13" s="62">
        <f t="shared" si="93"/>
        <v>7.7520858782253164E-4</v>
      </c>
      <c r="AK13" s="62">
        <f t="shared" ref="AK13:AL13" si="94">IF(AK10="","",SUM(AK11:AK12))</f>
        <v>7.7520858782253164E-4</v>
      </c>
      <c r="AL13" s="62">
        <f t="shared" si="94"/>
        <v>7.7520858782253164E-4</v>
      </c>
      <c r="AM13" s="62">
        <f t="shared" ref="AM13:AN13" si="95">IF(AM10="","",SUM(AM11:AM12))</f>
        <v>5.5474758723972686E-4</v>
      </c>
      <c r="AN13" s="62">
        <f t="shared" si="95"/>
        <v>5.5474758723972686E-4</v>
      </c>
      <c r="AO13" s="62">
        <f t="shared" ref="AO13:AP13" si="96">IF(AO10="","",SUM(AO11:AO12))</f>
        <v>5.5474758723972686E-4</v>
      </c>
      <c r="AP13" s="62">
        <f t="shared" si="96"/>
        <v>5.5474758723972686E-4</v>
      </c>
      <c r="AQ13" s="62">
        <f t="shared" ref="AQ13:AR13" si="97">IF(AQ10="","",SUM(AQ11:AQ12))</f>
        <v>5.5474758723972686E-4</v>
      </c>
      <c r="AR13" s="62">
        <f t="shared" si="97"/>
        <v>5.5474758723972686E-4</v>
      </c>
      <c r="AS13" s="62">
        <f t="shared" ref="AS13:AT13" si="98">IF(AS10="","",SUM(AS11:AS12))</f>
        <v>5.5474758723972686E-4</v>
      </c>
      <c r="AT13" s="62">
        <f t="shared" si="98"/>
        <v>5.5474758723972686E-4</v>
      </c>
      <c r="AU13" s="62">
        <f t="shared" ref="AU13:AV13" si="99">IF(AU10="","",SUM(AU11:AU12))</f>
        <v>5.5474758723972686E-4</v>
      </c>
      <c r="AV13" s="62">
        <f t="shared" si="99"/>
        <v>5.5474758723972686E-4</v>
      </c>
      <c r="AW13" s="62">
        <f t="shared" ref="AW13:AX13" si="100">IF(AW10="","",SUM(AW11:AW12))</f>
        <v>5.5474758723972686E-4</v>
      </c>
      <c r="AX13" s="62">
        <f t="shared" si="100"/>
        <v>5.5474758723972686E-4</v>
      </c>
      <c r="AY13" s="62">
        <f t="shared" ref="AY13:AZ13" si="101">IF(AY10="","",SUM(AY11:AY12))</f>
        <v>7.0624109709806128E-4</v>
      </c>
      <c r="AZ13" s="62">
        <f t="shared" si="101"/>
        <v>7.0624109709806128E-4</v>
      </c>
      <c r="BA13" s="62">
        <f t="shared" ref="BA13:BB13" si="102">IF(BA10="","",SUM(BA11:BA12))</f>
        <v>7.0624109709806128E-4</v>
      </c>
      <c r="BB13" s="62">
        <f t="shared" si="102"/>
        <v>7.0624109709806128E-4</v>
      </c>
      <c r="BC13" s="62">
        <f t="shared" ref="BC13:BD13" si="103">IF(BC10="","",SUM(BC11:BC12))</f>
        <v>7.0624109709806128E-4</v>
      </c>
      <c r="BD13" s="62">
        <f t="shared" si="103"/>
        <v>7.0624109709806128E-4</v>
      </c>
      <c r="BE13" s="62">
        <f t="shared" ref="BE13:BF13" si="104">IF(BE10="","",SUM(BE11:BE12))</f>
        <v>7.0624109709806128E-4</v>
      </c>
      <c r="BF13" s="62">
        <f t="shared" si="104"/>
        <v>7.0624109709806128E-4</v>
      </c>
      <c r="BG13" s="62">
        <f t="shared" ref="BG13:BH13" si="105">IF(BG10="","",SUM(BG11:BG12))</f>
        <v>7.0624109709806128E-4</v>
      </c>
      <c r="BH13" s="62">
        <f t="shared" si="105"/>
        <v>7.0624109709806128E-4</v>
      </c>
      <c r="BI13" s="62">
        <f t="shared" ref="BI13:BJ13" si="106">IF(BI10="","",SUM(BI11:BI12))</f>
        <v>7.0624109709806128E-4</v>
      </c>
      <c r="BJ13" s="62">
        <f t="shared" si="106"/>
        <v>7.0624109709806128E-4</v>
      </c>
    </row>
    <row r="14" spans="1:62" x14ac:dyDescent="0.25">
      <c r="A14" s="306"/>
      <c r="B14" s="73" t="s">
        <v>56</v>
      </c>
      <c r="C14" s="66">
        <f t="shared" ref="C14:D14" si="107">IF(C10="","",IFERROR(C12/C13,""))</f>
        <v>-0.24151191090365509</v>
      </c>
      <c r="D14" s="66">
        <f t="shared" si="107"/>
        <v>-0.24151191090365509</v>
      </c>
      <c r="E14" s="66">
        <f t="shared" ref="E14:F14" si="108">IF(E10="","",IFERROR(E12/E13,""))</f>
        <v>-0.24151191090365509</v>
      </c>
      <c r="F14" s="66">
        <f t="shared" si="108"/>
        <v>-0.24151191090365509</v>
      </c>
      <c r="G14" s="66">
        <f t="shared" ref="G14:H14" si="109">IF(G10="","",IFERROR(G12/G13,""))</f>
        <v>-0.24151191090365509</v>
      </c>
      <c r="H14" s="66">
        <f t="shared" si="109"/>
        <v>-0.24151191090365509</v>
      </c>
      <c r="I14" s="66">
        <f t="shared" ref="I14:J14" si="110">IF(I10="","",IFERROR(I12/I13,""))</f>
        <v>-0.24151191090365509</v>
      </c>
      <c r="J14" s="66">
        <f t="shared" si="110"/>
        <v>-0.24151191090365509</v>
      </c>
      <c r="K14" s="66">
        <f t="shared" ref="K14:L14" si="111">IF(K10="","",IFERROR(K12/K13,""))</f>
        <v>-0.24151191090365509</v>
      </c>
      <c r="L14" s="66">
        <f t="shared" si="111"/>
        <v>-0.24151191090365509</v>
      </c>
      <c r="M14" s="66">
        <f t="shared" ref="M14:N14" si="112">IF(M10="","",IFERROR(M12/M13,""))</f>
        <v>-0.24151191090365509</v>
      </c>
      <c r="N14" s="66">
        <f t="shared" si="112"/>
        <v>-0.24151191090365509</v>
      </c>
      <c r="O14" s="66">
        <f t="shared" ref="O14:P14" si="113">IF(O10="","",IFERROR(O12/O13,""))</f>
        <v>0.1091851774488071</v>
      </c>
      <c r="P14" s="66">
        <f t="shared" si="113"/>
        <v>0.1091851774488071</v>
      </c>
      <c r="Q14" s="66">
        <f t="shared" ref="Q14:R14" si="114">IF(Q10="","",IFERROR(Q12/Q13,""))</f>
        <v>0.1091851774488071</v>
      </c>
      <c r="R14" s="66">
        <f t="shared" si="114"/>
        <v>0.1091851774488071</v>
      </c>
      <c r="S14" s="66">
        <f t="shared" ref="S14:T14" si="115">IF(S10="","",IFERROR(S12/S13,""))</f>
        <v>0.1091851774488071</v>
      </c>
      <c r="T14" s="66">
        <f t="shared" si="115"/>
        <v>0.1091851774488071</v>
      </c>
      <c r="U14" s="66">
        <f t="shared" ref="U14:V14" si="116">IF(U10="","",IFERROR(U12/U13,""))</f>
        <v>0.1091851774488071</v>
      </c>
      <c r="V14" s="66">
        <f t="shared" si="116"/>
        <v>0.1091851774488071</v>
      </c>
      <c r="W14" s="66">
        <f t="shared" ref="W14:X14" si="117">IF(W10="","",IFERROR(W12/W13,""))</f>
        <v>0.1091851774488071</v>
      </c>
      <c r="X14" s="66">
        <f t="shared" si="117"/>
        <v>0.1091851774488071</v>
      </c>
      <c r="Y14" s="66">
        <f t="shared" ref="Y14:Z14" si="118">IF(Y10="","",IFERROR(Y12/Y13,""))</f>
        <v>0.1091851774488071</v>
      </c>
      <c r="Z14" s="66">
        <f t="shared" si="118"/>
        <v>0.1091851774488071</v>
      </c>
      <c r="AA14" s="66">
        <f t="shared" ref="AA14:AB14" si="119">IF(AA10="","",IFERROR(AA12/AA13,""))</f>
        <v>-0.17010980086020067</v>
      </c>
      <c r="AB14" s="66">
        <f t="shared" si="119"/>
        <v>-0.17010980086020067</v>
      </c>
      <c r="AC14" s="66">
        <f t="shared" ref="AC14:AD14" si="120">IF(AC10="","",IFERROR(AC12/AC13,""))</f>
        <v>-0.17010980086020067</v>
      </c>
      <c r="AD14" s="66">
        <f t="shared" si="120"/>
        <v>-0.17010980086020067</v>
      </c>
      <c r="AE14" s="66">
        <f t="shared" ref="AE14:AF14" si="121">IF(AE10="","",IFERROR(AE12/AE13,""))</f>
        <v>-0.17010980086020067</v>
      </c>
      <c r="AF14" s="66">
        <f t="shared" si="121"/>
        <v>-0.17010980086020067</v>
      </c>
      <c r="AG14" s="66">
        <f t="shared" ref="AG14:AH14" si="122">IF(AG10="","",IFERROR(AG12/AG13,""))</f>
        <v>-0.17010980086020067</v>
      </c>
      <c r="AH14" s="66">
        <f t="shared" si="122"/>
        <v>-0.17010980086020067</v>
      </c>
      <c r="AI14" s="66">
        <f t="shared" ref="AI14:AJ14" si="123">IF(AI10="","",IFERROR(AI12/AI13,""))</f>
        <v>-0.17010980086020067</v>
      </c>
      <c r="AJ14" s="66">
        <f t="shared" si="123"/>
        <v>-0.17010980086020067</v>
      </c>
      <c r="AK14" s="66">
        <f t="shared" ref="AK14:AL14" si="124">IF(AK10="","",IFERROR(AK12/AK13,""))</f>
        <v>-0.17010980086020067</v>
      </c>
      <c r="AL14" s="66">
        <f t="shared" si="124"/>
        <v>-0.17010980086020067</v>
      </c>
      <c r="AM14" s="66">
        <f t="shared" ref="AM14:AN14" si="125">IF(AM10="","",IFERROR(AM12/AM13,""))</f>
        <v>-0.27345718071365355</v>
      </c>
      <c r="AN14" s="66">
        <f t="shared" si="125"/>
        <v>-0.27345718071365355</v>
      </c>
      <c r="AO14" s="66">
        <f t="shared" ref="AO14:AP14" si="126">IF(AO10="","",IFERROR(AO12/AO13,""))</f>
        <v>-0.27345718071365355</v>
      </c>
      <c r="AP14" s="66">
        <f t="shared" si="126"/>
        <v>-0.27345718071365355</v>
      </c>
      <c r="AQ14" s="66">
        <f t="shared" ref="AQ14:AR14" si="127">IF(AQ10="","",IFERROR(AQ12/AQ13,""))</f>
        <v>-0.27345718071365355</v>
      </c>
      <c r="AR14" s="66">
        <f t="shared" si="127"/>
        <v>-0.27345718071365355</v>
      </c>
      <c r="AS14" s="66">
        <f t="shared" ref="AS14:AT14" si="128">IF(AS10="","",IFERROR(AS12/AS13,""))</f>
        <v>-0.27345718071365355</v>
      </c>
      <c r="AT14" s="66">
        <f t="shared" si="128"/>
        <v>-0.27345718071365355</v>
      </c>
      <c r="AU14" s="66">
        <f t="shared" ref="AU14:AV14" si="129">IF(AU10="","",IFERROR(AU12/AU13,""))</f>
        <v>-0.27345718071365355</v>
      </c>
      <c r="AV14" s="66">
        <f t="shared" si="129"/>
        <v>-0.27345718071365355</v>
      </c>
      <c r="AW14" s="66">
        <f t="shared" ref="AW14:AX14" si="130">IF(AW10="","",IFERROR(AW12/AW13,""))</f>
        <v>-0.27345718071365355</v>
      </c>
      <c r="AX14" s="66">
        <f t="shared" si="130"/>
        <v>-0.27345718071365355</v>
      </c>
      <c r="AY14" s="66">
        <f t="shared" ref="AY14:AZ14" si="131">IF(AY10="","",IFERROR(AY12/AY13,""))</f>
        <v>-8.2887256097855896E-2</v>
      </c>
      <c r="AZ14" s="66">
        <f t="shared" si="131"/>
        <v>-8.2887256097855896E-2</v>
      </c>
      <c r="BA14" s="66">
        <f t="shared" ref="BA14:BB14" si="132">IF(BA10="","",IFERROR(BA12/BA13,""))</f>
        <v>-8.2887256097855896E-2</v>
      </c>
      <c r="BB14" s="66">
        <f t="shared" si="132"/>
        <v>-8.2887256097855896E-2</v>
      </c>
      <c r="BC14" s="66">
        <f t="shared" ref="BC14:BD14" si="133">IF(BC10="","",IFERROR(BC12/BC13,""))</f>
        <v>-8.2887256097855896E-2</v>
      </c>
      <c r="BD14" s="66">
        <f t="shared" si="133"/>
        <v>-8.2887256097855896E-2</v>
      </c>
      <c r="BE14" s="66">
        <f t="shared" ref="BE14:BF14" si="134">IF(BE10="","",IFERROR(BE12/BE13,""))</f>
        <v>-8.2887256097855896E-2</v>
      </c>
      <c r="BF14" s="66">
        <f t="shared" si="134"/>
        <v>-8.2887256097855896E-2</v>
      </c>
      <c r="BG14" s="66">
        <f t="shared" ref="BG14:BH14" si="135">IF(BG10="","",IFERROR(BG12/BG13,""))</f>
        <v>-8.2887256097855896E-2</v>
      </c>
      <c r="BH14" s="66">
        <f t="shared" si="135"/>
        <v>-8.2887256097855896E-2</v>
      </c>
      <c r="BI14" s="66">
        <f t="shared" ref="BI14:BJ14" si="136">IF(BI10="","",IFERROR(BI12/BI13,""))</f>
        <v>-8.2887256097855896E-2</v>
      </c>
      <c r="BJ14" s="66">
        <f t="shared" si="136"/>
        <v>-8.2887256097855896E-2</v>
      </c>
    </row>
    <row r="15" spans="1:62" x14ac:dyDescent="0.25">
      <c r="A15" s="306"/>
      <c r="B15" s="74" t="s">
        <v>57</v>
      </c>
      <c r="C15" s="64">
        <f t="shared" ref="C15:D15" si="137">IF(C10="","",ROUND(C14*C10,2))</f>
        <v>-17996.03</v>
      </c>
      <c r="D15" s="64">
        <f t="shared" si="137"/>
        <v>-17828.82</v>
      </c>
      <c r="E15" s="64">
        <f t="shared" ref="E15:F15" si="138">IF(E10="","",ROUND(E14*E10,2))</f>
        <v>-13698.34</v>
      </c>
      <c r="F15" s="64">
        <f t="shared" si="138"/>
        <v>-12419.68</v>
      </c>
      <c r="G15" s="64">
        <f t="shared" ref="G15:H15" si="139">IF(G10="","",ROUND(G14*G10,2))</f>
        <v>-15595.43</v>
      </c>
      <c r="H15" s="64">
        <f t="shared" si="139"/>
        <v>-19419.18</v>
      </c>
      <c r="I15" s="64">
        <f t="shared" ref="I15:J15" si="140">IF(I10="","",ROUND(I14*I10,2))</f>
        <v>-18927.88</v>
      </c>
      <c r="J15" s="64">
        <f t="shared" si="140"/>
        <v>-18118.43</v>
      </c>
      <c r="K15" s="64">
        <f t="shared" ref="K15:L15" si="141">IF(K10="","",ROUND(K14*K10,2))</f>
        <v>-14686.23</v>
      </c>
      <c r="L15" s="64">
        <f t="shared" si="141"/>
        <v>-14677.84</v>
      </c>
      <c r="M15" s="64">
        <f t="shared" ref="M15:N15" si="142">IF(M10="","",ROUND(M14*M10,2))</f>
        <v>-16957.169999999998</v>
      </c>
      <c r="N15" s="64">
        <f t="shared" si="142"/>
        <v>-20227.96</v>
      </c>
      <c r="O15" s="64">
        <f t="shared" ref="O15:P15" si="143">IF(O10="","",ROUND(O14*O10,2))</f>
        <v>27075.87</v>
      </c>
      <c r="P15" s="64">
        <f t="shared" si="143"/>
        <v>41869.919999999998</v>
      </c>
      <c r="Q15" s="64">
        <f t="shared" ref="Q15:R15" si="144">IF(Q10="","",ROUND(Q14*Q10,2))</f>
        <v>33303.57</v>
      </c>
      <c r="R15" s="64">
        <f t="shared" si="144"/>
        <v>32560.29</v>
      </c>
      <c r="S15" s="64">
        <f t="shared" ref="S15:T15" si="145">IF(S10="","",ROUND(S14*S10,2))</f>
        <v>38841.39</v>
      </c>
      <c r="T15" s="64">
        <f t="shared" si="145"/>
        <v>45977.98</v>
      </c>
      <c r="U15" s="64">
        <f t="shared" ref="U15:V15" si="146">IF(U10="","",ROUND(U14*U10,2))</f>
        <v>45995.38</v>
      </c>
      <c r="V15" s="64">
        <f t="shared" si="146"/>
        <v>46474.38</v>
      </c>
      <c r="W15" s="64">
        <f t="shared" ref="W15:X15" si="147">IF(W10="","",ROUND(W14*W10,2))</f>
        <v>38765.449999999997</v>
      </c>
      <c r="X15" s="64">
        <f t="shared" si="147"/>
        <v>34659.79</v>
      </c>
      <c r="Y15" s="64">
        <f t="shared" ref="Y15:Z15" si="148">IF(Y10="","",ROUND(Y14*Y10,2))</f>
        <v>39489.65</v>
      </c>
      <c r="Z15" s="64">
        <f t="shared" si="148"/>
        <v>46633.93</v>
      </c>
      <c r="AA15" s="64">
        <f t="shared" ref="AA15:AB15" si="149">IF(AA10="","",ROUND(AA14*AA10,2))</f>
        <v>-59971.88</v>
      </c>
      <c r="AB15" s="64">
        <f t="shared" si="149"/>
        <v>-34460.21</v>
      </c>
      <c r="AC15" s="64">
        <f t="shared" ref="AC15:AD15" si="150">IF(AC10="","",ROUND(AC14*AC10,2))</f>
        <v>-30482.11</v>
      </c>
      <c r="AD15" s="64">
        <f t="shared" si="150"/>
        <v>-29523.43</v>
      </c>
      <c r="AE15" s="64">
        <f t="shared" ref="AE15:AF15" si="151">IF(AE10="","",ROUND(AE14*AE10,2))</f>
        <v>-34337.879999999997</v>
      </c>
      <c r="AF15" s="64">
        <f t="shared" si="151"/>
        <v>-41091.919999999998</v>
      </c>
      <c r="AG15" s="64">
        <f t="shared" ref="AG15:AH15" si="152">IF(AG10="","",ROUND(AG14*AG10,2))</f>
        <v>-40250.86</v>
      </c>
      <c r="AH15" s="64">
        <f t="shared" si="152"/>
        <v>-36905.46</v>
      </c>
      <c r="AI15" s="64">
        <f t="shared" ref="AI15:AJ15" si="153">IF(AI10="","",ROUND(AI14*AI10,2))</f>
        <v>-30354.95</v>
      </c>
      <c r="AJ15" s="64">
        <f t="shared" si="153"/>
        <v>-28938.2</v>
      </c>
      <c r="AK15" s="64">
        <f t="shared" ref="AK15:AL15" si="154">IF(AK10="","",ROUND(AK14*AK10,2))</f>
        <v>-36146.32</v>
      </c>
      <c r="AL15" s="64">
        <f t="shared" si="154"/>
        <v>-41356.58</v>
      </c>
      <c r="AM15" s="64">
        <f t="shared" ref="AM15:AN15" si="155">IF(AM10="","",ROUND(AM14*AM10,2))</f>
        <v>-51287.19</v>
      </c>
      <c r="AN15" s="64">
        <f t="shared" si="155"/>
        <v>-37406.94</v>
      </c>
      <c r="AO15" s="64">
        <f t="shared" ref="AO15:AP15" si="156">IF(AO10="","",ROUND(AO14*AO10,2))</f>
        <v>-34363.08</v>
      </c>
      <c r="AP15" s="64">
        <f t="shared" si="156"/>
        <v>-31707.18</v>
      </c>
      <c r="AQ15" s="64">
        <f t="shared" ref="AQ15:AR15" si="157">IF(AQ10="","",ROUND(AQ14*AQ10,2))</f>
        <v>-38111.519999999997</v>
      </c>
      <c r="AR15" s="64">
        <f t="shared" si="157"/>
        <v>-44222.96</v>
      </c>
      <c r="AS15" s="64">
        <f t="shared" ref="AS15:AT15" si="158">IF(AS10="","",ROUND(AS14*AS10,2))</f>
        <v>-45175.25</v>
      </c>
      <c r="AT15" s="64">
        <f t="shared" si="158"/>
        <v>-43726.97</v>
      </c>
      <c r="AU15" s="64">
        <f t="shared" ref="AU15:AV15" si="159">IF(AU10="","",ROUND(AU14*AU10,2))</f>
        <v>-37032.21</v>
      </c>
      <c r="AV15" s="64">
        <f t="shared" si="159"/>
        <v>-34046.879999999997</v>
      </c>
      <c r="AW15" s="64">
        <f t="shared" ref="AW15:AX15" si="160">IF(AW10="","",ROUND(AW14*AW10,2))</f>
        <v>-39135.71</v>
      </c>
      <c r="AX15" s="64">
        <f t="shared" si="160"/>
        <v>-47215.65</v>
      </c>
      <c r="AY15" s="64">
        <f t="shared" ref="AY15:AZ15" si="161">IF(AY10="","",ROUND(AY14*AY10,2))</f>
        <v>-15100.77</v>
      </c>
      <c r="AZ15" s="64">
        <f t="shared" si="161"/>
        <v>-13789.73</v>
      </c>
      <c r="BA15" s="64">
        <f t="shared" ref="BA15:BB15" si="162">IF(BA10="","",ROUND(BA14*BA10,2))</f>
        <v>-13405.68</v>
      </c>
      <c r="BB15" s="64">
        <f t="shared" si="162"/>
        <v>-12767</v>
      </c>
      <c r="BC15" s="64">
        <f t="shared" ref="BC15:BD15" si="163">IF(BC10="","",ROUND(BC14*BC10,2))</f>
        <v>-15604.25</v>
      </c>
      <c r="BD15" s="64">
        <f t="shared" si="163"/>
        <v>-18658.240000000002</v>
      </c>
      <c r="BE15" s="64">
        <f t="shared" ref="BE15:BF15" si="164">IF(BE10="","",ROUND(BE14*BE10,2))</f>
        <v>-17510.7</v>
      </c>
      <c r="BF15" s="64">
        <f t="shared" si="164"/>
        <v>-17048.64</v>
      </c>
      <c r="BG15" s="64">
        <f t="shared" ref="BG15:BH15" si="165">IF(BG10="","",ROUND(BG14*BG10,2))</f>
        <v>-14381.12</v>
      </c>
      <c r="BH15" s="64">
        <f t="shared" si="165"/>
        <v>-13510.9</v>
      </c>
      <c r="BI15" s="64">
        <f t="shared" ref="BI15:BJ15" si="166">IF(BI10="","",ROUND(BI14*BI10,2))</f>
        <v>-16172.76</v>
      </c>
      <c r="BJ15" s="64">
        <f t="shared" si="166"/>
        <v>-18189.59</v>
      </c>
    </row>
    <row r="16" spans="1:62" x14ac:dyDescent="0.25">
      <c r="A16" s="77"/>
      <c r="B16" s="7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row>
    <row r="17" spans="1:62" x14ac:dyDescent="0.25">
      <c r="A17" s="306" t="s">
        <v>35</v>
      </c>
      <c r="B17" s="73" t="s">
        <v>53</v>
      </c>
      <c r="C17" s="63">
        <f>IF(+'M3 Allocations - TD'!O53="","",'M3 Allocations - TD'!O53)</f>
        <v>108510.2</v>
      </c>
      <c r="D17" s="63">
        <f>IF(+'M3 Allocations - TD'!P53="","",'M3 Allocations - TD'!P53)</f>
        <v>102469.35</v>
      </c>
      <c r="E17" s="63">
        <f>IF(+'M3 Allocations - TD'!Q53="","",'M3 Allocations - TD'!Q53)</f>
        <v>87569.04</v>
      </c>
      <c r="F17" s="63">
        <f>IF(+'M3 Allocations - TD'!R53="","",'M3 Allocations - TD'!R53)</f>
        <v>81676.990000000005</v>
      </c>
      <c r="G17" s="63">
        <f>IF(+'M3 Allocations - TD'!S53="","",'M3 Allocations - TD'!S53)</f>
        <v>96788.800000000003</v>
      </c>
      <c r="H17" s="63">
        <f>IF(+'M3 Allocations - TD'!T53="","",'M3 Allocations - TD'!T53)</f>
        <v>113009.35</v>
      </c>
      <c r="I17" s="63">
        <f>IF(+'M3 Allocations - TD'!U53="","",'M3 Allocations - TD'!U53)</f>
        <v>112596.34</v>
      </c>
      <c r="J17" s="63">
        <f>IF(+'M3 Allocations - TD'!V53="","",'M3 Allocations - TD'!V53)</f>
        <v>112065.74</v>
      </c>
      <c r="K17" s="63">
        <f>IF(+'M3 Allocations - TD'!W53="","",'M3 Allocations - TD'!W53)</f>
        <v>95621.75</v>
      </c>
      <c r="L17" s="63">
        <f>IF(+'M3 Allocations - TD'!X53="","",'M3 Allocations - TD'!X53)</f>
        <v>93151.01</v>
      </c>
      <c r="M17" s="63">
        <f>IF(+'M3 Allocations - TD'!Y53="","",'M3 Allocations - TD'!Y53)</f>
        <v>100114.88</v>
      </c>
      <c r="N17" s="63">
        <f>IF(+'M3 Allocations - TD'!Z53="","",'M3 Allocations - TD'!Z53)</f>
        <v>107296.64</v>
      </c>
      <c r="O17" s="63">
        <f>IF(+'M3 Allocations - TD'!AA53="","",'M3 Allocations - TD'!AA53)</f>
        <v>327311.55</v>
      </c>
      <c r="P17" s="63">
        <f>IF(+'M3 Allocations - TD'!AB53="","",'M3 Allocations - TD'!AB53)</f>
        <v>570755.55000000005</v>
      </c>
      <c r="Q17" s="63">
        <f>IF(+'M3 Allocations - TD'!AC53="","",'M3 Allocations - TD'!AC53)</f>
        <v>508276</v>
      </c>
      <c r="R17" s="63">
        <f>IF(+'M3 Allocations - TD'!AD53="","",'M3 Allocations - TD'!AD53)</f>
        <v>517711.44</v>
      </c>
      <c r="S17" s="63">
        <f>IF(+'M3 Allocations - TD'!AE53="","",'M3 Allocations - TD'!AE53)</f>
        <v>575315.39</v>
      </c>
      <c r="T17" s="63">
        <f>IF(+'M3 Allocations - TD'!AF53="","",'M3 Allocations - TD'!AF53)</f>
        <v>673826.02</v>
      </c>
      <c r="U17" s="63">
        <f>IF(+'M3 Allocations - TD'!AG53="","",'M3 Allocations - TD'!AG53)</f>
        <v>667802.68999999994</v>
      </c>
      <c r="V17" s="63">
        <f>IF(+'M3 Allocations - TD'!AH53="","",'M3 Allocations - TD'!AH53)</f>
        <v>680633.38</v>
      </c>
      <c r="W17" s="63">
        <f>IF(+'M3 Allocations - TD'!AI53="","",'M3 Allocations - TD'!AI53)</f>
        <v>598281.09</v>
      </c>
      <c r="X17" s="63">
        <f>IF(+'M3 Allocations - TD'!AJ53="","",'M3 Allocations - TD'!AJ53)</f>
        <v>531580.77</v>
      </c>
      <c r="Y17" s="63">
        <f>IF(+'M3 Allocations - TD'!AK53="","",'M3 Allocations - TD'!AK53)</f>
        <v>580996.63</v>
      </c>
      <c r="Z17" s="63">
        <f>IF(+'M3 Allocations - TD'!AL53="","",'M3 Allocations - TD'!AL53)</f>
        <v>621109.79</v>
      </c>
      <c r="AA17" s="63">
        <f>IF(+'M3 Allocations - TD'!AM53="","",'M3 Allocations - TD'!AM53)</f>
        <v>504253.87</v>
      </c>
      <c r="AB17" s="63">
        <f>IF(+'M3 Allocations - TD'!AN53="","",'M3 Allocations - TD'!AN53)</f>
        <v>301892.69</v>
      </c>
      <c r="AC17" s="63">
        <f>IF(+'M3 Allocations - TD'!AO53="","",'M3 Allocations - TD'!AO53)</f>
        <v>280545.46999999997</v>
      </c>
      <c r="AD17" s="63">
        <f>IF(+'M3 Allocations - TD'!AP53="","",'M3 Allocations - TD'!AP53)</f>
        <v>290164.87</v>
      </c>
      <c r="AE17" s="63">
        <f>IF(+'M3 Allocations - TD'!AQ53="","",'M3 Allocations - TD'!AQ53)</f>
        <v>325613.77</v>
      </c>
      <c r="AF17" s="63">
        <f>IF(+'M3 Allocations - TD'!AR53="","",'M3 Allocations - TD'!AR53)</f>
        <v>365143.97</v>
      </c>
      <c r="AG17" s="63">
        <f>IF(+'M3 Allocations - TD'!AS53="","",'M3 Allocations - TD'!AS53)</f>
        <v>362549.21</v>
      </c>
      <c r="AH17" s="63">
        <f>IF(+'M3 Allocations - TD'!AT53="","",'M3 Allocations - TD'!AT53)</f>
        <v>346741.86</v>
      </c>
      <c r="AI17" s="63">
        <f>IF(+'M3 Allocations - TD'!AU53="","",'M3 Allocations - TD'!AU53)</f>
        <v>297961.13</v>
      </c>
      <c r="AJ17" s="63">
        <f>IF(+'M3 Allocations - TD'!AV53="","",'M3 Allocations - TD'!AV53)</f>
        <v>289745.45</v>
      </c>
      <c r="AK17" s="63">
        <f>IF(+'M3 Allocations - TD'!AW53="","",'M3 Allocations - TD'!AW53)</f>
        <v>322981.7</v>
      </c>
      <c r="AL17" s="63">
        <f>IF(+'M3 Allocations - TD'!AX53="","",'M3 Allocations - TD'!AX53)</f>
        <v>335255.09999999998</v>
      </c>
      <c r="AM17" s="63">
        <f>IF(+'M3 Allocations - TD'!AY53="","",'M3 Allocations - TD'!AY53)</f>
        <v>503655.97</v>
      </c>
      <c r="AN17" s="63">
        <f>IF(+'M3 Allocations - TD'!AZ53="","",'M3 Allocations - TD'!AZ53)</f>
        <v>786219.87</v>
      </c>
      <c r="AO17" s="63">
        <f>IF(+'M3 Allocations - TD'!BA53="","",'M3 Allocations - TD'!BA53)</f>
        <v>753502.02</v>
      </c>
      <c r="AP17" s="63">
        <f>IF(+'M3 Allocations - TD'!BB53="","",'M3 Allocations - TD'!BB53)</f>
        <v>749883.21</v>
      </c>
      <c r="AQ17" s="63">
        <f>IF(+'M3 Allocations - TD'!BC53="","",'M3 Allocations - TD'!BC53)</f>
        <v>846049.12</v>
      </c>
      <c r="AR17" s="63">
        <f>IF(+'M3 Allocations - TD'!BD53="","",'M3 Allocations - TD'!BD53)</f>
        <v>910940.94</v>
      </c>
      <c r="AS17" s="63">
        <f>IF(+'M3 Allocations - TD'!BE53="","",'M3 Allocations - TD'!BE53)</f>
        <v>943469.07</v>
      </c>
      <c r="AT17" s="63">
        <f>IF(+'M3 Allocations - TD'!BF53="","",'M3 Allocations - TD'!BF53)</f>
        <v>944687.32</v>
      </c>
      <c r="AU17" s="63">
        <f>IF(+'M3 Allocations - TD'!BG53="","",'M3 Allocations - TD'!BG53)</f>
        <v>830714.65</v>
      </c>
      <c r="AV17" s="63">
        <f>IF(+'M3 Allocations - TD'!BH53="","",'M3 Allocations - TD'!BH53)</f>
        <v>765733.92</v>
      </c>
      <c r="AW17" s="63">
        <f>IF(+'M3 Allocations - TD'!BI53="","",'M3 Allocations - TD'!BI53)</f>
        <v>816557.84</v>
      </c>
      <c r="AX17" s="63">
        <f>IF(+'M3 Allocations - TD'!BJ53="","",'M3 Allocations - TD'!BJ53)</f>
        <v>899820.37</v>
      </c>
      <c r="AY17" s="63">
        <f>IF(+'M3 Allocations - TD'!BK53="","",'M3 Allocations - TD'!BK53)</f>
        <v>678121.62</v>
      </c>
      <c r="AZ17" s="63">
        <f>IF(+'M3 Allocations - TD'!BL53="","",'M3 Allocations - TD'!BL53)</f>
        <v>394853.96</v>
      </c>
      <c r="BA17" s="63">
        <f>IF(+'M3 Allocations - TD'!BM53="","",'M3 Allocations - TD'!BM53)</f>
        <v>390347.84</v>
      </c>
      <c r="BB17" s="63">
        <f>IF(+'M3 Allocations - TD'!BN53="","",'M3 Allocations - TD'!BN53)</f>
        <v>392311.86</v>
      </c>
      <c r="BC17" s="63">
        <f>IF(+'M3 Allocations - TD'!BO53="","",'M3 Allocations - TD'!BO53)</f>
        <v>444401.89</v>
      </c>
      <c r="BD17" s="63">
        <f>IF(+'M3 Allocations - TD'!BP53="","",'M3 Allocations - TD'!BP53)</f>
        <v>501845.24</v>
      </c>
      <c r="BE17" s="63">
        <f>IF(+'M3 Allocations - TD'!BQ53="","",'M3 Allocations - TD'!BQ53)</f>
        <v>470958.47</v>
      </c>
      <c r="BF17" s="63">
        <f>IF(+'M3 Allocations - TD'!BR53="","",'M3 Allocations - TD'!BR53)</f>
        <v>471187.07</v>
      </c>
      <c r="BG17" s="63">
        <f>IF(+'M3 Allocations - TD'!BS53="","",'M3 Allocations - TD'!BS53)</f>
        <v>420272.21</v>
      </c>
      <c r="BH17" s="63">
        <f>IF(+'M3 Allocations - TD'!BT53="","",'M3 Allocations - TD'!BT53)</f>
        <v>399198.07514596864</v>
      </c>
      <c r="BI17" s="63">
        <f>IF(+'M3 Allocations - TD'!BU53="","",'M3 Allocations - TD'!BU53)</f>
        <v>439298.2949126719</v>
      </c>
      <c r="BJ17" s="63">
        <f>IF(+'M3 Allocations - TD'!BV53="","",'M3 Allocations - TD'!BV53)</f>
        <v>461628.46892766497</v>
      </c>
    </row>
    <row r="18" spans="1:62" x14ac:dyDescent="0.25">
      <c r="A18" s="306"/>
      <c r="B18" s="73" t="s">
        <v>55</v>
      </c>
      <c r="C18" s="119">
        <v>2.4889105871721853E-4</v>
      </c>
      <c r="D18" s="90">
        <f t="shared" ref="D18:BJ19" si="167">IF(D17="","",C18)</f>
        <v>2.4889105871721853E-4</v>
      </c>
      <c r="E18" s="90">
        <f t="shared" si="167"/>
        <v>2.4889105871721853E-4</v>
      </c>
      <c r="F18" s="90">
        <f t="shared" si="167"/>
        <v>2.4889105871721853E-4</v>
      </c>
      <c r="G18" s="90">
        <f t="shared" si="167"/>
        <v>2.4889105871721853E-4</v>
      </c>
      <c r="H18" s="90">
        <f t="shared" si="167"/>
        <v>2.4889105871721853E-4</v>
      </c>
      <c r="I18" s="90">
        <f t="shared" si="167"/>
        <v>2.4889105871721853E-4</v>
      </c>
      <c r="J18" s="90">
        <f t="shared" si="167"/>
        <v>2.4889105871721853E-4</v>
      </c>
      <c r="K18" s="90">
        <f t="shared" si="167"/>
        <v>2.4889105871721853E-4</v>
      </c>
      <c r="L18" s="90">
        <f t="shared" si="167"/>
        <v>2.4889105871721853E-4</v>
      </c>
      <c r="M18" s="90">
        <f t="shared" si="167"/>
        <v>2.4889105871721853E-4</v>
      </c>
      <c r="N18" s="90">
        <f t="shared" si="167"/>
        <v>2.4889105871721853E-4</v>
      </c>
      <c r="O18" s="120">
        <v>9.6618899912876528E-4</v>
      </c>
      <c r="P18" s="90">
        <f t="shared" si="167"/>
        <v>9.6618899912876528E-4</v>
      </c>
      <c r="Q18" s="90">
        <f t="shared" si="167"/>
        <v>9.6618899912876528E-4</v>
      </c>
      <c r="R18" s="90">
        <f t="shared" si="167"/>
        <v>9.6618899912876528E-4</v>
      </c>
      <c r="S18" s="90">
        <f t="shared" si="167"/>
        <v>9.6618899912876528E-4</v>
      </c>
      <c r="T18" s="90">
        <f t="shared" si="167"/>
        <v>9.6618899912876528E-4</v>
      </c>
      <c r="U18" s="90">
        <f t="shared" si="167"/>
        <v>9.6618899912876528E-4</v>
      </c>
      <c r="V18" s="90">
        <f t="shared" si="167"/>
        <v>9.6618899912876528E-4</v>
      </c>
      <c r="W18" s="90">
        <f t="shared" si="167"/>
        <v>9.6618899912876528E-4</v>
      </c>
      <c r="X18" s="90">
        <f t="shared" si="167"/>
        <v>9.6618899912876528E-4</v>
      </c>
      <c r="Y18" s="90">
        <f t="shared" si="167"/>
        <v>9.6618899912876528E-4</v>
      </c>
      <c r="Z18" s="90">
        <f t="shared" si="167"/>
        <v>9.6618899912876528E-4</v>
      </c>
      <c r="AA18" s="120">
        <v>6.0468274277493688E-4</v>
      </c>
      <c r="AB18" s="90">
        <f t="shared" si="167"/>
        <v>6.0468274277493688E-4</v>
      </c>
      <c r="AC18" s="90">
        <f t="shared" si="167"/>
        <v>6.0468274277493688E-4</v>
      </c>
      <c r="AD18" s="90">
        <f t="shared" si="167"/>
        <v>6.0468274277493688E-4</v>
      </c>
      <c r="AE18" s="90">
        <f t="shared" si="167"/>
        <v>6.0468274277493688E-4</v>
      </c>
      <c r="AF18" s="90">
        <f t="shared" si="167"/>
        <v>6.0468274277493688E-4</v>
      </c>
      <c r="AG18" s="90">
        <f t="shared" si="167"/>
        <v>6.0468274277493688E-4</v>
      </c>
      <c r="AH18" s="90">
        <f t="shared" si="167"/>
        <v>6.0468274277493688E-4</v>
      </c>
      <c r="AI18" s="90">
        <f t="shared" si="167"/>
        <v>6.0468274277493688E-4</v>
      </c>
      <c r="AJ18" s="90">
        <f t="shared" si="167"/>
        <v>6.0468274277493688E-4</v>
      </c>
      <c r="AK18" s="90">
        <f t="shared" si="167"/>
        <v>6.0468274277493688E-4</v>
      </c>
      <c r="AL18" s="90">
        <f t="shared" si="167"/>
        <v>6.0468274277493688E-4</v>
      </c>
      <c r="AM18" s="120">
        <v>1.1096507899411036E-3</v>
      </c>
      <c r="AN18" s="90">
        <f t="shared" si="167"/>
        <v>1.1096507899411036E-3</v>
      </c>
      <c r="AO18" s="90">
        <f t="shared" si="167"/>
        <v>1.1096507899411036E-3</v>
      </c>
      <c r="AP18" s="90">
        <f t="shared" si="167"/>
        <v>1.1096507899411036E-3</v>
      </c>
      <c r="AQ18" s="90">
        <f t="shared" si="167"/>
        <v>1.1096507899411036E-3</v>
      </c>
      <c r="AR18" s="90">
        <f t="shared" si="167"/>
        <v>1.1096507899411036E-3</v>
      </c>
      <c r="AS18" s="90">
        <f t="shared" si="167"/>
        <v>1.1096507899411036E-3</v>
      </c>
      <c r="AT18" s="90">
        <f t="shared" si="167"/>
        <v>1.1096507899411036E-3</v>
      </c>
      <c r="AU18" s="90">
        <f t="shared" si="167"/>
        <v>1.1096507899411036E-3</v>
      </c>
      <c r="AV18" s="90">
        <f t="shared" si="167"/>
        <v>1.1096507899411036E-3</v>
      </c>
      <c r="AW18" s="90">
        <f t="shared" si="167"/>
        <v>1.1096507899411036E-3</v>
      </c>
      <c r="AX18" s="90">
        <f t="shared" si="167"/>
        <v>1.1096507899411036E-3</v>
      </c>
      <c r="AY18" s="120">
        <f>0.000963361385939882+0</f>
        <v>9.6336138593988198E-4</v>
      </c>
      <c r="AZ18" s="90">
        <f t="shared" si="167"/>
        <v>9.6336138593988198E-4</v>
      </c>
      <c r="BA18" s="90">
        <f t="shared" si="167"/>
        <v>9.6336138593988198E-4</v>
      </c>
      <c r="BB18" s="90">
        <f t="shared" si="167"/>
        <v>9.6336138593988198E-4</v>
      </c>
      <c r="BC18" s="90">
        <f t="shared" si="167"/>
        <v>9.6336138593988198E-4</v>
      </c>
      <c r="BD18" s="90">
        <f t="shared" si="167"/>
        <v>9.6336138593988198E-4</v>
      </c>
      <c r="BE18" s="90">
        <f t="shared" si="167"/>
        <v>9.6336138593988198E-4</v>
      </c>
      <c r="BF18" s="90">
        <f t="shared" si="167"/>
        <v>9.6336138593988198E-4</v>
      </c>
      <c r="BG18" s="90">
        <f t="shared" si="167"/>
        <v>9.6336138593988198E-4</v>
      </c>
      <c r="BH18" s="90">
        <f t="shared" si="167"/>
        <v>9.6336138593988198E-4</v>
      </c>
      <c r="BI18" s="90">
        <f t="shared" si="167"/>
        <v>9.6336138593988198E-4</v>
      </c>
      <c r="BJ18" s="90">
        <f t="shared" si="167"/>
        <v>9.6336138593988198E-4</v>
      </c>
    </row>
    <row r="19" spans="1:62" x14ac:dyDescent="0.25">
      <c r="A19" s="306"/>
      <c r="B19" s="73" t="s">
        <v>54</v>
      </c>
      <c r="C19" s="120">
        <v>-6.7783107808315319E-5</v>
      </c>
      <c r="D19" s="90">
        <f t="shared" si="167"/>
        <v>-6.7783107808315319E-5</v>
      </c>
      <c r="E19" s="90">
        <f t="shared" si="167"/>
        <v>-6.7783107808315319E-5</v>
      </c>
      <c r="F19" s="90">
        <f t="shared" si="167"/>
        <v>-6.7783107808315319E-5</v>
      </c>
      <c r="G19" s="90">
        <f t="shared" si="167"/>
        <v>-6.7783107808315319E-5</v>
      </c>
      <c r="H19" s="90">
        <f t="shared" si="167"/>
        <v>-6.7783107808315319E-5</v>
      </c>
      <c r="I19" s="90">
        <f t="shared" si="167"/>
        <v>-6.7783107808315319E-5</v>
      </c>
      <c r="J19" s="90">
        <f t="shared" si="167"/>
        <v>-6.7783107808315319E-5</v>
      </c>
      <c r="K19" s="90">
        <f t="shared" si="167"/>
        <v>-6.7783107808315319E-5</v>
      </c>
      <c r="L19" s="90">
        <f t="shared" si="167"/>
        <v>-6.7783107808315319E-5</v>
      </c>
      <c r="M19" s="90">
        <f t="shared" si="167"/>
        <v>-6.7783107808315319E-5</v>
      </c>
      <c r="N19" s="90">
        <f t="shared" si="167"/>
        <v>-6.7783107808315319E-5</v>
      </c>
      <c r="O19" s="120">
        <v>8.6183052517347037E-5</v>
      </c>
      <c r="P19" s="90">
        <f t="shared" si="167"/>
        <v>8.6183052517347037E-5</v>
      </c>
      <c r="Q19" s="90">
        <f t="shared" si="167"/>
        <v>8.6183052517347037E-5</v>
      </c>
      <c r="R19" s="90">
        <f t="shared" si="167"/>
        <v>8.6183052517347037E-5</v>
      </c>
      <c r="S19" s="90">
        <f t="shared" si="167"/>
        <v>8.6183052517347037E-5</v>
      </c>
      <c r="T19" s="90">
        <f t="shared" si="167"/>
        <v>8.6183052517347037E-5</v>
      </c>
      <c r="U19" s="90">
        <f t="shared" si="167"/>
        <v>8.6183052517347037E-5</v>
      </c>
      <c r="V19" s="90">
        <f t="shared" si="167"/>
        <v>8.6183052517347037E-5</v>
      </c>
      <c r="W19" s="90">
        <f t="shared" si="167"/>
        <v>8.6183052517347037E-5</v>
      </c>
      <c r="X19" s="90">
        <f t="shared" si="167"/>
        <v>8.6183052517347037E-5</v>
      </c>
      <c r="Y19" s="90">
        <f t="shared" si="167"/>
        <v>8.6183052517347037E-5</v>
      </c>
      <c r="Z19" s="90">
        <f t="shared" si="167"/>
        <v>8.6183052517347037E-5</v>
      </c>
      <c r="AA19" s="120">
        <v>-4.2938209831744348E-5</v>
      </c>
      <c r="AB19" s="90">
        <f t="shared" si="167"/>
        <v>-4.2938209831744348E-5</v>
      </c>
      <c r="AC19" s="90">
        <f t="shared" si="167"/>
        <v>-4.2938209831744348E-5</v>
      </c>
      <c r="AD19" s="90">
        <f t="shared" si="167"/>
        <v>-4.2938209831744348E-5</v>
      </c>
      <c r="AE19" s="90">
        <f t="shared" si="167"/>
        <v>-4.2938209831744348E-5</v>
      </c>
      <c r="AF19" s="90">
        <f t="shared" si="167"/>
        <v>-4.2938209831744348E-5</v>
      </c>
      <c r="AG19" s="90">
        <f t="shared" si="167"/>
        <v>-4.2938209831744348E-5</v>
      </c>
      <c r="AH19" s="90">
        <f t="shared" si="167"/>
        <v>-4.2938209831744348E-5</v>
      </c>
      <c r="AI19" s="90">
        <f t="shared" si="167"/>
        <v>-4.2938209831744348E-5</v>
      </c>
      <c r="AJ19" s="90">
        <f t="shared" si="167"/>
        <v>-4.2938209831744348E-5</v>
      </c>
      <c r="AK19" s="90">
        <f t="shared" si="167"/>
        <v>-4.2938209831744348E-5</v>
      </c>
      <c r="AL19" s="90">
        <f t="shared" si="167"/>
        <v>-4.2938209831744348E-5</v>
      </c>
      <c r="AM19" s="120">
        <v>4.2852071559616349E-4</v>
      </c>
      <c r="AN19" s="90">
        <f t="shared" si="167"/>
        <v>4.2852071559616349E-4</v>
      </c>
      <c r="AO19" s="90">
        <f t="shared" si="167"/>
        <v>4.2852071559616349E-4</v>
      </c>
      <c r="AP19" s="90">
        <f t="shared" si="167"/>
        <v>4.2852071559616349E-4</v>
      </c>
      <c r="AQ19" s="90">
        <f t="shared" si="167"/>
        <v>4.2852071559616349E-4</v>
      </c>
      <c r="AR19" s="90">
        <f t="shared" si="167"/>
        <v>4.2852071559616349E-4</v>
      </c>
      <c r="AS19" s="90">
        <f t="shared" si="167"/>
        <v>4.2852071559616349E-4</v>
      </c>
      <c r="AT19" s="90">
        <f t="shared" si="167"/>
        <v>4.2852071559616349E-4</v>
      </c>
      <c r="AU19" s="90">
        <f t="shared" si="167"/>
        <v>4.2852071559616349E-4</v>
      </c>
      <c r="AV19" s="90">
        <f t="shared" si="167"/>
        <v>4.2852071559616349E-4</v>
      </c>
      <c r="AW19" s="90">
        <f t="shared" si="167"/>
        <v>4.2852071559616349E-4</v>
      </c>
      <c r="AX19" s="90">
        <f t="shared" si="167"/>
        <v>4.2852071559616349E-4</v>
      </c>
      <c r="AY19" s="120">
        <f>-0.000174799874621917+3.51942720492386E-06</f>
        <v>-1.7128044741699313E-4</v>
      </c>
      <c r="AZ19" s="90">
        <f t="shared" si="167"/>
        <v>-1.7128044741699313E-4</v>
      </c>
      <c r="BA19" s="90">
        <f t="shared" si="167"/>
        <v>-1.7128044741699313E-4</v>
      </c>
      <c r="BB19" s="90">
        <f t="shared" si="167"/>
        <v>-1.7128044741699313E-4</v>
      </c>
      <c r="BC19" s="90">
        <f t="shared" si="167"/>
        <v>-1.7128044741699313E-4</v>
      </c>
      <c r="BD19" s="90">
        <f t="shared" si="167"/>
        <v>-1.7128044741699313E-4</v>
      </c>
      <c r="BE19" s="90">
        <f t="shared" si="167"/>
        <v>-1.7128044741699313E-4</v>
      </c>
      <c r="BF19" s="90">
        <f t="shared" si="167"/>
        <v>-1.7128044741699313E-4</v>
      </c>
      <c r="BG19" s="90">
        <f t="shared" si="167"/>
        <v>-1.7128044741699313E-4</v>
      </c>
      <c r="BH19" s="90">
        <f t="shared" si="167"/>
        <v>-1.7128044741699313E-4</v>
      </c>
      <c r="BI19" s="90">
        <f t="shared" si="167"/>
        <v>-1.7128044741699313E-4</v>
      </c>
      <c r="BJ19" s="90">
        <f t="shared" si="167"/>
        <v>-1.7128044741699313E-4</v>
      </c>
    </row>
    <row r="20" spans="1:62" x14ac:dyDescent="0.25">
      <c r="A20" s="306"/>
      <c r="B20" s="73" t="s">
        <v>63</v>
      </c>
      <c r="C20" s="62">
        <f t="shared" ref="C20:D20" si="168">IF(C17="","",SUM(C18:C19))</f>
        <v>1.8110795090890323E-4</v>
      </c>
      <c r="D20" s="62">
        <f t="shared" si="168"/>
        <v>1.8110795090890323E-4</v>
      </c>
      <c r="E20" s="62">
        <f t="shared" ref="E20:F20" si="169">IF(E17="","",SUM(E18:E19))</f>
        <v>1.8110795090890323E-4</v>
      </c>
      <c r="F20" s="62">
        <f t="shared" si="169"/>
        <v>1.8110795090890323E-4</v>
      </c>
      <c r="G20" s="62">
        <f t="shared" ref="G20:H20" si="170">IF(G17="","",SUM(G18:G19))</f>
        <v>1.8110795090890323E-4</v>
      </c>
      <c r="H20" s="62">
        <f t="shared" si="170"/>
        <v>1.8110795090890323E-4</v>
      </c>
      <c r="I20" s="62">
        <f t="shared" ref="I20:J20" si="171">IF(I17="","",SUM(I18:I19))</f>
        <v>1.8110795090890323E-4</v>
      </c>
      <c r="J20" s="62">
        <f t="shared" si="171"/>
        <v>1.8110795090890323E-4</v>
      </c>
      <c r="K20" s="62">
        <f t="shared" ref="K20:L20" si="172">IF(K17="","",SUM(K18:K19))</f>
        <v>1.8110795090890323E-4</v>
      </c>
      <c r="L20" s="62">
        <f t="shared" si="172"/>
        <v>1.8110795090890323E-4</v>
      </c>
      <c r="M20" s="62">
        <f t="shared" ref="M20:N20" si="173">IF(M17="","",SUM(M18:M19))</f>
        <v>1.8110795090890323E-4</v>
      </c>
      <c r="N20" s="62">
        <f t="shared" si="173"/>
        <v>1.8110795090890323E-4</v>
      </c>
      <c r="O20" s="62">
        <f t="shared" ref="O20:P20" si="174">IF(O17="","",SUM(O18:O19))</f>
        <v>1.0523720516461123E-3</v>
      </c>
      <c r="P20" s="62">
        <f t="shared" si="174"/>
        <v>1.0523720516461123E-3</v>
      </c>
      <c r="Q20" s="62">
        <f t="shared" ref="Q20:R20" si="175">IF(Q17="","",SUM(Q18:Q19))</f>
        <v>1.0523720516461123E-3</v>
      </c>
      <c r="R20" s="62">
        <f t="shared" si="175"/>
        <v>1.0523720516461123E-3</v>
      </c>
      <c r="S20" s="62">
        <f t="shared" ref="S20:T20" si="176">IF(S17="","",SUM(S18:S19))</f>
        <v>1.0523720516461123E-3</v>
      </c>
      <c r="T20" s="62">
        <f t="shared" si="176"/>
        <v>1.0523720516461123E-3</v>
      </c>
      <c r="U20" s="62">
        <f t="shared" ref="U20:V20" si="177">IF(U17="","",SUM(U18:U19))</f>
        <v>1.0523720516461123E-3</v>
      </c>
      <c r="V20" s="62">
        <f t="shared" si="177"/>
        <v>1.0523720516461123E-3</v>
      </c>
      <c r="W20" s="62">
        <f t="shared" ref="W20:X20" si="178">IF(W17="","",SUM(W18:W19))</f>
        <v>1.0523720516461123E-3</v>
      </c>
      <c r="X20" s="62">
        <f t="shared" si="178"/>
        <v>1.0523720516461123E-3</v>
      </c>
      <c r="Y20" s="62">
        <f t="shared" ref="Y20:Z20" si="179">IF(Y17="","",SUM(Y18:Y19))</f>
        <v>1.0523720516461123E-3</v>
      </c>
      <c r="Z20" s="62">
        <f t="shared" si="179"/>
        <v>1.0523720516461123E-3</v>
      </c>
      <c r="AA20" s="62">
        <f t="shared" ref="AA20:AB20" si="180">IF(AA17="","",SUM(AA18:AA19))</f>
        <v>5.6174453294319249E-4</v>
      </c>
      <c r="AB20" s="62">
        <f t="shared" si="180"/>
        <v>5.6174453294319249E-4</v>
      </c>
      <c r="AC20" s="62">
        <f t="shared" ref="AC20:AD20" si="181">IF(AC17="","",SUM(AC18:AC19))</f>
        <v>5.6174453294319249E-4</v>
      </c>
      <c r="AD20" s="62">
        <f t="shared" si="181"/>
        <v>5.6174453294319249E-4</v>
      </c>
      <c r="AE20" s="62">
        <f t="shared" ref="AE20:AF20" si="182">IF(AE17="","",SUM(AE18:AE19))</f>
        <v>5.6174453294319249E-4</v>
      </c>
      <c r="AF20" s="62">
        <f t="shared" si="182"/>
        <v>5.6174453294319249E-4</v>
      </c>
      <c r="AG20" s="62">
        <f t="shared" ref="AG20:AH20" si="183">IF(AG17="","",SUM(AG18:AG19))</f>
        <v>5.6174453294319249E-4</v>
      </c>
      <c r="AH20" s="62">
        <f t="shared" si="183"/>
        <v>5.6174453294319249E-4</v>
      </c>
      <c r="AI20" s="62">
        <f t="shared" ref="AI20:AJ20" si="184">IF(AI17="","",SUM(AI18:AI19))</f>
        <v>5.6174453294319249E-4</v>
      </c>
      <c r="AJ20" s="62">
        <f t="shared" si="184"/>
        <v>5.6174453294319249E-4</v>
      </c>
      <c r="AK20" s="62">
        <f t="shared" ref="AK20:AL20" si="185">IF(AK17="","",SUM(AK18:AK19))</f>
        <v>5.6174453294319249E-4</v>
      </c>
      <c r="AL20" s="62">
        <f t="shared" si="185"/>
        <v>5.6174453294319249E-4</v>
      </c>
      <c r="AM20" s="62">
        <f t="shared" ref="AM20:AN20" si="186">IF(AM17="","",SUM(AM18:AM19))</f>
        <v>1.5381715055372671E-3</v>
      </c>
      <c r="AN20" s="62">
        <f t="shared" si="186"/>
        <v>1.5381715055372671E-3</v>
      </c>
      <c r="AO20" s="62">
        <f t="shared" ref="AO20:AP20" si="187">IF(AO17="","",SUM(AO18:AO19))</f>
        <v>1.5381715055372671E-3</v>
      </c>
      <c r="AP20" s="62">
        <f t="shared" si="187"/>
        <v>1.5381715055372671E-3</v>
      </c>
      <c r="AQ20" s="62">
        <f t="shared" ref="AQ20:AR20" si="188">IF(AQ17="","",SUM(AQ18:AQ19))</f>
        <v>1.5381715055372671E-3</v>
      </c>
      <c r="AR20" s="62">
        <f t="shared" si="188"/>
        <v>1.5381715055372671E-3</v>
      </c>
      <c r="AS20" s="62">
        <f t="shared" ref="AS20:AT20" si="189">IF(AS17="","",SUM(AS18:AS19))</f>
        <v>1.5381715055372671E-3</v>
      </c>
      <c r="AT20" s="62">
        <f t="shared" si="189"/>
        <v>1.5381715055372671E-3</v>
      </c>
      <c r="AU20" s="62">
        <f t="shared" ref="AU20:AV20" si="190">IF(AU17="","",SUM(AU18:AU19))</f>
        <v>1.5381715055372671E-3</v>
      </c>
      <c r="AV20" s="62">
        <f t="shared" si="190"/>
        <v>1.5381715055372671E-3</v>
      </c>
      <c r="AW20" s="62">
        <f t="shared" ref="AW20:AX20" si="191">IF(AW17="","",SUM(AW18:AW19))</f>
        <v>1.5381715055372671E-3</v>
      </c>
      <c r="AX20" s="62">
        <f t="shared" si="191"/>
        <v>1.5381715055372671E-3</v>
      </c>
      <c r="AY20" s="62">
        <f t="shared" ref="AY20:AZ20" si="192">IF(AY17="","",SUM(AY18:AY19))</f>
        <v>7.9208093852288887E-4</v>
      </c>
      <c r="AZ20" s="62">
        <f t="shared" si="192"/>
        <v>7.9208093852288887E-4</v>
      </c>
      <c r="BA20" s="62">
        <f t="shared" ref="BA20:BB20" si="193">IF(BA17="","",SUM(BA18:BA19))</f>
        <v>7.9208093852288887E-4</v>
      </c>
      <c r="BB20" s="62">
        <f t="shared" si="193"/>
        <v>7.9208093852288887E-4</v>
      </c>
      <c r="BC20" s="62">
        <f t="shared" ref="BC20:BD20" si="194">IF(BC17="","",SUM(BC18:BC19))</f>
        <v>7.9208093852288887E-4</v>
      </c>
      <c r="BD20" s="62">
        <f t="shared" si="194"/>
        <v>7.9208093852288887E-4</v>
      </c>
      <c r="BE20" s="62">
        <f t="shared" ref="BE20:BF20" si="195">IF(BE17="","",SUM(BE18:BE19))</f>
        <v>7.9208093852288887E-4</v>
      </c>
      <c r="BF20" s="62">
        <f t="shared" si="195"/>
        <v>7.9208093852288887E-4</v>
      </c>
      <c r="BG20" s="62">
        <f t="shared" ref="BG20:BH20" si="196">IF(BG17="","",SUM(BG18:BG19))</f>
        <v>7.9208093852288887E-4</v>
      </c>
      <c r="BH20" s="62">
        <f t="shared" si="196"/>
        <v>7.9208093852288887E-4</v>
      </c>
      <c r="BI20" s="62">
        <f t="shared" ref="BI20:BJ20" si="197">IF(BI17="","",SUM(BI18:BI19))</f>
        <v>7.9208093852288887E-4</v>
      </c>
      <c r="BJ20" s="62">
        <f t="shared" si="197"/>
        <v>7.9208093852288887E-4</v>
      </c>
    </row>
    <row r="21" spans="1:62" x14ac:dyDescent="0.25">
      <c r="A21" s="306"/>
      <c r="B21" s="73" t="s">
        <v>56</v>
      </c>
      <c r="C21" s="66">
        <f t="shared" ref="C21:D21" si="198">IF(C17="","",IFERROR(C19/C20,""))</f>
        <v>-0.37426908906064554</v>
      </c>
      <c r="D21" s="66">
        <f t="shared" si="198"/>
        <v>-0.37426908906064554</v>
      </c>
      <c r="E21" s="66">
        <f t="shared" ref="E21:F21" si="199">IF(E17="","",IFERROR(E19/E20,""))</f>
        <v>-0.37426908906064554</v>
      </c>
      <c r="F21" s="66">
        <f t="shared" si="199"/>
        <v>-0.37426908906064554</v>
      </c>
      <c r="G21" s="66">
        <f t="shared" ref="G21:H21" si="200">IF(G17="","",IFERROR(G19/G20,""))</f>
        <v>-0.37426908906064554</v>
      </c>
      <c r="H21" s="66">
        <f t="shared" si="200"/>
        <v>-0.37426908906064554</v>
      </c>
      <c r="I21" s="66">
        <f t="shared" ref="I21:J21" si="201">IF(I17="","",IFERROR(I19/I20,""))</f>
        <v>-0.37426908906064554</v>
      </c>
      <c r="J21" s="66">
        <f t="shared" si="201"/>
        <v>-0.37426908906064554</v>
      </c>
      <c r="K21" s="66">
        <f t="shared" ref="K21:L21" si="202">IF(K17="","",IFERROR(K19/K20,""))</f>
        <v>-0.37426908906064554</v>
      </c>
      <c r="L21" s="66">
        <f t="shared" si="202"/>
        <v>-0.37426908906064554</v>
      </c>
      <c r="M21" s="66">
        <f t="shared" ref="M21:N21" si="203">IF(M17="","",IFERROR(M19/M20,""))</f>
        <v>-0.37426908906064554</v>
      </c>
      <c r="N21" s="66">
        <f t="shared" si="203"/>
        <v>-0.37426908906064554</v>
      </c>
      <c r="O21" s="66">
        <f t="shared" ref="O21:P21" si="204">IF(O17="","",IFERROR(O19/O20,""))</f>
        <v>8.189409095627366E-2</v>
      </c>
      <c r="P21" s="66">
        <f t="shared" si="204"/>
        <v>8.189409095627366E-2</v>
      </c>
      <c r="Q21" s="66">
        <f t="shared" ref="Q21:R21" si="205">IF(Q17="","",IFERROR(Q19/Q20,""))</f>
        <v>8.189409095627366E-2</v>
      </c>
      <c r="R21" s="66">
        <f t="shared" si="205"/>
        <v>8.189409095627366E-2</v>
      </c>
      <c r="S21" s="66">
        <f t="shared" ref="S21:T21" si="206">IF(S17="","",IFERROR(S19/S20,""))</f>
        <v>8.189409095627366E-2</v>
      </c>
      <c r="T21" s="66">
        <f t="shared" si="206"/>
        <v>8.189409095627366E-2</v>
      </c>
      <c r="U21" s="66">
        <f t="shared" ref="U21:V21" si="207">IF(U17="","",IFERROR(U19/U20,""))</f>
        <v>8.189409095627366E-2</v>
      </c>
      <c r="V21" s="66">
        <f t="shared" si="207"/>
        <v>8.189409095627366E-2</v>
      </c>
      <c r="W21" s="66">
        <f t="shared" ref="W21:X21" si="208">IF(W17="","",IFERROR(W19/W20,""))</f>
        <v>8.189409095627366E-2</v>
      </c>
      <c r="X21" s="66">
        <f t="shared" si="208"/>
        <v>8.189409095627366E-2</v>
      </c>
      <c r="Y21" s="66">
        <f t="shared" ref="Y21:Z21" si="209">IF(Y17="","",IFERROR(Y19/Y20,""))</f>
        <v>8.189409095627366E-2</v>
      </c>
      <c r="Z21" s="66">
        <f t="shared" si="209"/>
        <v>8.189409095627366E-2</v>
      </c>
      <c r="AA21" s="66">
        <f t="shared" ref="AA21:AB21" si="210">IF(AA17="","",IFERROR(AA19/AA20,""))</f>
        <v>-7.643725450566434E-2</v>
      </c>
      <c r="AB21" s="66">
        <f t="shared" si="210"/>
        <v>-7.643725450566434E-2</v>
      </c>
      <c r="AC21" s="66">
        <f t="shared" ref="AC21:AD21" si="211">IF(AC17="","",IFERROR(AC19/AC20,""))</f>
        <v>-7.643725450566434E-2</v>
      </c>
      <c r="AD21" s="66">
        <f t="shared" si="211"/>
        <v>-7.643725450566434E-2</v>
      </c>
      <c r="AE21" s="66">
        <f t="shared" ref="AE21:AF21" si="212">IF(AE17="","",IFERROR(AE19/AE20,""))</f>
        <v>-7.643725450566434E-2</v>
      </c>
      <c r="AF21" s="66">
        <f t="shared" si="212"/>
        <v>-7.643725450566434E-2</v>
      </c>
      <c r="AG21" s="66">
        <f t="shared" ref="AG21:AH21" si="213">IF(AG17="","",IFERROR(AG19/AG20,""))</f>
        <v>-7.643725450566434E-2</v>
      </c>
      <c r="AH21" s="66">
        <f t="shared" si="213"/>
        <v>-7.643725450566434E-2</v>
      </c>
      <c r="AI21" s="66">
        <f t="shared" ref="AI21:AJ21" si="214">IF(AI17="","",IFERROR(AI19/AI20,""))</f>
        <v>-7.643725450566434E-2</v>
      </c>
      <c r="AJ21" s="66">
        <f t="shared" si="214"/>
        <v>-7.643725450566434E-2</v>
      </c>
      <c r="AK21" s="66">
        <f t="shared" ref="AK21:AL21" si="215">IF(AK17="","",IFERROR(AK19/AK20,""))</f>
        <v>-7.643725450566434E-2</v>
      </c>
      <c r="AL21" s="66">
        <f t="shared" si="215"/>
        <v>-7.643725450566434E-2</v>
      </c>
      <c r="AM21" s="66">
        <f t="shared" ref="AM21:AN21" si="216">IF(AM17="","",IFERROR(AM19/AM20,""))</f>
        <v>0.27859098550033645</v>
      </c>
      <c r="AN21" s="66">
        <f t="shared" si="216"/>
        <v>0.27859098550033645</v>
      </c>
      <c r="AO21" s="66">
        <f t="shared" ref="AO21:AP21" si="217">IF(AO17="","",IFERROR(AO19/AO20,""))</f>
        <v>0.27859098550033645</v>
      </c>
      <c r="AP21" s="66">
        <f t="shared" si="217"/>
        <v>0.27859098550033645</v>
      </c>
      <c r="AQ21" s="66">
        <f t="shared" ref="AQ21:AR21" si="218">IF(AQ17="","",IFERROR(AQ19/AQ20,""))</f>
        <v>0.27859098550033645</v>
      </c>
      <c r="AR21" s="66">
        <f t="shared" si="218"/>
        <v>0.27859098550033645</v>
      </c>
      <c r="AS21" s="66">
        <f t="shared" ref="AS21:AT21" si="219">IF(AS17="","",IFERROR(AS19/AS20,""))</f>
        <v>0.27859098550033645</v>
      </c>
      <c r="AT21" s="66">
        <f t="shared" si="219"/>
        <v>0.27859098550033645</v>
      </c>
      <c r="AU21" s="66">
        <f t="shared" ref="AU21:AV21" si="220">IF(AU17="","",IFERROR(AU19/AU20,""))</f>
        <v>0.27859098550033645</v>
      </c>
      <c r="AV21" s="66">
        <f t="shared" si="220"/>
        <v>0.27859098550033645</v>
      </c>
      <c r="AW21" s="66">
        <f t="shared" ref="AW21:AX21" si="221">IF(AW17="","",IFERROR(AW19/AW20,""))</f>
        <v>0.27859098550033645</v>
      </c>
      <c r="AX21" s="66">
        <f t="shared" si="221"/>
        <v>0.27859098550033645</v>
      </c>
      <c r="AY21" s="66">
        <f t="shared" ref="AY21:AZ21" si="222">IF(AY17="","",IFERROR(AY19/AY20,""))</f>
        <v>-0.21624109240200282</v>
      </c>
      <c r="AZ21" s="66">
        <f t="shared" si="222"/>
        <v>-0.21624109240200282</v>
      </c>
      <c r="BA21" s="66">
        <f t="shared" ref="BA21:BB21" si="223">IF(BA17="","",IFERROR(BA19/BA20,""))</f>
        <v>-0.21624109240200282</v>
      </c>
      <c r="BB21" s="66">
        <f t="shared" si="223"/>
        <v>-0.21624109240200282</v>
      </c>
      <c r="BC21" s="66">
        <f t="shared" ref="BC21:BD21" si="224">IF(BC17="","",IFERROR(BC19/BC20,""))</f>
        <v>-0.21624109240200282</v>
      </c>
      <c r="BD21" s="66">
        <f t="shared" si="224"/>
        <v>-0.21624109240200282</v>
      </c>
      <c r="BE21" s="66">
        <f t="shared" ref="BE21:BF21" si="225">IF(BE17="","",IFERROR(BE19/BE20,""))</f>
        <v>-0.21624109240200282</v>
      </c>
      <c r="BF21" s="66">
        <f t="shared" si="225"/>
        <v>-0.21624109240200282</v>
      </c>
      <c r="BG21" s="66">
        <f t="shared" ref="BG21:BH21" si="226">IF(BG17="","",IFERROR(BG19/BG20,""))</f>
        <v>-0.21624109240200282</v>
      </c>
      <c r="BH21" s="66">
        <f t="shared" si="226"/>
        <v>-0.21624109240200282</v>
      </c>
      <c r="BI21" s="66">
        <f t="shared" ref="BI21:BJ21" si="227">IF(BI17="","",IFERROR(BI19/BI20,""))</f>
        <v>-0.21624109240200282</v>
      </c>
      <c r="BJ21" s="66">
        <f t="shared" si="227"/>
        <v>-0.21624109240200282</v>
      </c>
    </row>
    <row r="22" spans="1:62" x14ac:dyDescent="0.25">
      <c r="A22" s="306"/>
      <c r="B22" s="74" t="s">
        <v>57</v>
      </c>
      <c r="C22" s="64">
        <f t="shared" ref="C22:D22" si="228">IF(C17="","",ROUND(C21*C17,2))</f>
        <v>-40612.01</v>
      </c>
      <c r="D22" s="64">
        <f t="shared" si="228"/>
        <v>-38351.11</v>
      </c>
      <c r="E22" s="64">
        <f t="shared" ref="E22:F22" si="229">IF(E17="","",ROUND(E21*E17,2))</f>
        <v>-32774.379999999997</v>
      </c>
      <c r="F22" s="64">
        <f t="shared" si="229"/>
        <v>-30569.17</v>
      </c>
      <c r="G22" s="64">
        <f t="shared" ref="G22:H22" si="230">IF(G17="","",ROUND(G21*G17,2))</f>
        <v>-36225.06</v>
      </c>
      <c r="H22" s="64">
        <f t="shared" si="230"/>
        <v>-42295.91</v>
      </c>
      <c r="I22" s="64">
        <f t="shared" ref="I22:J22" si="231">IF(I17="","",ROUND(I21*I17,2))</f>
        <v>-42141.33</v>
      </c>
      <c r="J22" s="64">
        <f t="shared" si="231"/>
        <v>-41942.74</v>
      </c>
      <c r="K22" s="64">
        <f t="shared" ref="K22:L22" si="232">IF(K17="","",ROUND(K21*K17,2))</f>
        <v>-35788.269999999997</v>
      </c>
      <c r="L22" s="64">
        <f t="shared" si="232"/>
        <v>-34863.54</v>
      </c>
      <c r="M22" s="64">
        <f t="shared" ref="M22:N22" si="233">IF(M17="","",ROUND(M21*M17,2))</f>
        <v>-37469.9</v>
      </c>
      <c r="N22" s="64">
        <f t="shared" si="233"/>
        <v>-40157.82</v>
      </c>
      <c r="O22" s="64">
        <f t="shared" ref="O22:P22" si="234">IF(O17="","",ROUND(O21*O17,2))</f>
        <v>26804.880000000001</v>
      </c>
      <c r="P22" s="64">
        <f t="shared" si="234"/>
        <v>46741.51</v>
      </c>
      <c r="Q22" s="64">
        <f t="shared" ref="Q22:R22" si="235">IF(Q17="","",ROUND(Q21*Q17,2))</f>
        <v>41624.800000000003</v>
      </c>
      <c r="R22" s="64">
        <f t="shared" si="235"/>
        <v>42397.51</v>
      </c>
      <c r="S22" s="64">
        <f t="shared" ref="S22:T22" si="236">IF(S17="","",ROUND(S21*S17,2))</f>
        <v>47114.93</v>
      </c>
      <c r="T22" s="64">
        <f t="shared" si="236"/>
        <v>55182.37</v>
      </c>
      <c r="U22" s="64">
        <f t="shared" ref="U22:V22" si="237">IF(U17="","",ROUND(U21*U17,2))</f>
        <v>54689.09</v>
      </c>
      <c r="V22" s="64">
        <f t="shared" si="237"/>
        <v>55739.85</v>
      </c>
      <c r="W22" s="64">
        <f t="shared" ref="W22:X22" si="238">IF(W17="","",ROUND(W21*W17,2))</f>
        <v>48995.69</v>
      </c>
      <c r="X22" s="64">
        <f t="shared" si="238"/>
        <v>43533.32</v>
      </c>
      <c r="Y22" s="64">
        <f t="shared" ref="Y22:Z22" si="239">IF(Y17="","",ROUND(Y21*Y17,2))</f>
        <v>47580.19</v>
      </c>
      <c r="Z22" s="64">
        <f t="shared" si="239"/>
        <v>50865.22</v>
      </c>
      <c r="AA22" s="64">
        <f t="shared" ref="AA22:AB22" si="240">IF(AA17="","",ROUND(AA21*AA17,2))</f>
        <v>-38543.78</v>
      </c>
      <c r="AB22" s="64">
        <f t="shared" si="240"/>
        <v>-23075.85</v>
      </c>
      <c r="AC22" s="64">
        <f t="shared" ref="AC22:AD22" si="241">IF(AC17="","",ROUND(AC21*AC17,2))</f>
        <v>-21444.13</v>
      </c>
      <c r="AD22" s="64">
        <f t="shared" si="241"/>
        <v>-22179.41</v>
      </c>
      <c r="AE22" s="64">
        <f t="shared" ref="AE22:AF22" si="242">IF(AE17="","",ROUND(AE21*AE17,2))</f>
        <v>-24889.02</v>
      </c>
      <c r="AF22" s="64">
        <f t="shared" si="242"/>
        <v>-27910.6</v>
      </c>
      <c r="AG22" s="64">
        <f t="shared" ref="AG22:AH22" si="243">IF(AG17="","",ROUND(AG21*AG17,2))</f>
        <v>-27712.27</v>
      </c>
      <c r="AH22" s="64">
        <f t="shared" si="243"/>
        <v>-26504</v>
      </c>
      <c r="AI22" s="64">
        <f t="shared" ref="AI22:AJ22" si="244">IF(AI17="","",ROUND(AI21*AI17,2))</f>
        <v>-22775.33</v>
      </c>
      <c r="AJ22" s="64">
        <f t="shared" si="244"/>
        <v>-22147.35</v>
      </c>
      <c r="AK22" s="64">
        <f t="shared" ref="AK22:AL22" si="245">IF(AK17="","",ROUND(AK21*AK17,2))</f>
        <v>-24687.83</v>
      </c>
      <c r="AL22" s="64">
        <f t="shared" si="245"/>
        <v>-25625.98</v>
      </c>
      <c r="AM22" s="64">
        <f t="shared" ref="AM22:AN22" si="246">IF(AM17="","",ROUND(AM21*AM17,2))</f>
        <v>140314.01</v>
      </c>
      <c r="AN22" s="64">
        <f t="shared" si="246"/>
        <v>219033.77</v>
      </c>
      <c r="AO22" s="64">
        <f t="shared" ref="AO22:AP22" si="247">IF(AO17="","",ROUND(AO21*AO17,2))</f>
        <v>209918.87</v>
      </c>
      <c r="AP22" s="64">
        <f t="shared" si="247"/>
        <v>208910.7</v>
      </c>
      <c r="AQ22" s="64">
        <f t="shared" ref="AQ22:AR22" si="248">IF(AQ17="","",ROUND(AQ21*AQ17,2))</f>
        <v>235701.66</v>
      </c>
      <c r="AR22" s="64">
        <f t="shared" si="248"/>
        <v>253779.93</v>
      </c>
      <c r="AS22" s="64">
        <f t="shared" ref="AS22:AT22" si="249">IF(AS17="","",ROUND(AS21*AS17,2))</f>
        <v>262841.98</v>
      </c>
      <c r="AT22" s="64">
        <f t="shared" si="249"/>
        <v>263181.37</v>
      </c>
      <c r="AU22" s="64">
        <f t="shared" ref="AU22:AV22" si="250">IF(AU17="","",ROUND(AU21*AU17,2))</f>
        <v>231429.61</v>
      </c>
      <c r="AV22" s="64">
        <f t="shared" si="250"/>
        <v>213326.57</v>
      </c>
      <c r="AW22" s="64">
        <f t="shared" ref="AW22:AX22" si="251">IF(AW17="","",ROUND(AW21*AW17,2))</f>
        <v>227485.65</v>
      </c>
      <c r="AX22" s="64">
        <f t="shared" si="251"/>
        <v>250681.84</v>
      </c>
      <c r="AY22" s="64">
        <f t="shared" ref="AY22:AZ22" si="252">IF(AY17="","",ROUND(AY21*AY17,2))</f>
        <v>-146637.76000000001</v>
      </c>
      <c r="AZ22" s="64">
        <f t="shared" si="252"/>
        <v>-85383.65</v>
      </c>
      <c r="BA22" s="64">
        <f t="shared" ref="BA22:BB22" si="253">IF(BA17="","",ROUND(BA21*BA17,2))</f>
        <v>-84409.24</v>
      </c>
      <c r="BB22" s="64">
        <f t="shared" si="253"/>
        <v>-84833.95</v>
      </c>
      <c r="BC22" s="64">
        <f t="shared" ref="BC22:BD22" si="254">IF(BC17="","",ROUND(BC21*BC17,2))</f>
        <v>-96097.95</v>
      </c>
      <c r="BD22" s="64">
        <f t="shared" si="254"/>
        <v>-108519.56</v>
      </c>
      <c r="BE22" s="64">
        <f t="shared" ref="BE22:BF22" si="255">IF(BE17="","",ROUND(BE21*BE17,2))</f>
        <v>-101840.57</v>
      </c>
      <c r="BF22" s="64">
        <f t="shared" si="255"/>
        <v>-101890.01</v>
      </c>
      <c r="BG22" s="64">
        <f t="shared" ref="BG22:BH22" si="256">IF(BG17="","",ROUND(BG21*BG17,2))</f>
        <v>-90880.12</v>
      </c>
      <c r="BH22" s="64">
        <f t="shared" si="256"/>
        <v>-86323.03</v>
      </c>
      <c r="BI22" s="64">
        <f t="shared" ref="BI22:BJ22" si="257">IF(BI17="","",ROUND(BI21*BI17,2))</f>
        <v>-94994.34</v>
      </c>
      <c r="BJ22" s="64">
        <f t="shared" si="257"/>
        <v>-99823.039999999994</v>
      </c>
    </row>
    <row r="23" spans="1:62" x14ac:dyDescent="0.25">
      <c r="A23" s="77"/>
      <c r="B23" s="7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row>
    <row r="24" spans="1:62" x14ac:dyDescent="0.25">
      <c r="A24" s="306" t="s">
        <v>36</v>
      </c>
      <c r="B24" s="73" t="s">
        <v>53</v>
      </c>
      <c r="C24" s="63">
        <f>IF(+'M3 Allocations - TD'!O54="","",'M3 Allocations - TD'!O54)</f>
        <v>45259.54</v>
      </c>
      <c r="D24" s="63">
        <f>IF(+'M3 Allocations - TD'!P54="","",'M3 Allocations - TD'!P54)</f>
        <v>39182.19</v>
      </c>
      <c r="E24" s="63">
        <f>IF(+'M3 Allocations - TD'!Q54="","",'M3 Allocations - TD'!Q54)</f>
        <v>38273.29</v>
      </c>
      <c r="F24" s="63">
        <f>IF(+'M3 Allocations - TD'!R54="","",'M3 Allocations - TD'!R54)</f>
        <v>36030.870000000003</v>
      </c>
      <c r="G24" s="63">
        <f>IF(+'M3 Allocations - TD'!S54="","",'M3 Allocations - TD'!S54)</f>
        <v>41962.67</v>
      </c>
      <c r="H24" s="63">
        <f>IF(+'M3 Allocations - TD'!T54="","",'M3 Allocations - TD'!T54)</f>
        <v>44167.05</v>
      </c>
      <c r="I24" s="63">
        <f>IF(+'M3 Allocations - TD'!U54="","",'M3 Allocations - TD'!U54)</f>
        <v>46294.41</v>
      </c>
      <c r="J24" s="63">
        <f>IF(+'M3 Allocations - TD'!V54="","",'M3 Allocations - TD'!V54)</f>
        <v>46306.19</v>
      </c>
      <c r="K24" s="63">
        <f>IF(+'M3 Allocations - TD'!W54="","",'M3 Allocations - TD'!W54)</f>
        <v>41160.14</v>
      </c>
      <c r="L24" s="63">
        <f>IF(+'M3 Allocations - TD'!X54="","",'M3 Allocations - TD'!X54)</f>
        <v>40868.620000000003</v>
      </c>
      <c r="M24" s="63">
        <f>IF(+'M3 Allocations - TD'!Y54="","",'M3 Allocations - TD'!Y54)</f>
        <v>42762.14</v>
      </c>
      <c r="N24" s="63">
        <f>IF(+'M3 Allocations - TD'!Z54="","",'M3 Allocations - TD'!Z54)</f>
        <v>41986.66</v>
      </c>
      <c r="O24" s="63">
        <f>IF(+'M3 Allocations - TD'!AA54="","",'M3 Allocations - TD'!AA54)</f>
        <v>113037.43</v>
      </c>
      <c r="P24" s="63">
        <f>IF(+'M3 Allocations - TD'!AB54="","",'M3 Allocations - TD'!AB54)</f>
        <v>187949.41</v>
      </c>
      <c r="Q24" s="63">
        <f>IF(+'M3 Allocations - TD'!AC54="","",'M3 Allocations - TD'!AC54)</f>
        <v>188602.4</v>
      </c>
      <c r="R24" s="63">
        <f>IF(+'M3 Allocations - TD'!AD54="","",'M3 Allocations - TD'!AD54)</f>
        <v>195382.67</v>
      </c>
      <c r="S24" s="63">
        <f>IF(+'M3 Allocations - TD'!AE54="","",'M3 Allocations - TD'!AE54)</f>
        <v>188207.84</v>
      </c>
      <c r="T24" s="63">
        <f>IF(+'M3 Allocations - TD'!AF54="","",'M3 Allocations - TD'!AF54)</f>
        <v>251615.09</v>
      </c>
      <c r="U24" s="63">
        <f>IF(+'M3 Allocations - TD'!AG54="","",'M3 Allocations - TD'!AG54)</f>
        <v>231015.31</v>
      </c>
      <c r="V24" s="63">
        <f>IF(+'M3 Allocations - TD'!AH54="","",'M3 Allocations - TD'!AH54)</f>
        <v>233947.55</v>
      </c>
      <c r="W24" s="63">
        <f>IF(+'M3 Allocations - TD'!AI54="","",'M3 Allocations - TD'!AI54)</f>
        <v>202010.25</v>
      </c>
      <c r="X24" s="63">
        <f>IF(+'M3 Allocations - TD'!AJ54="","",'M3 Allocations - TD'!AJ54)</f>
        <v>176212.48000000001</v>
      </c>
      <c r="Y24" s="63">
        <f>IF(+'M3 Allocations - TD'!AK54="","",'M3 Allocations - TD'!AK54)</f>
        <v>231619.08</v>
      </c>
      <c r="Z24" s="63">
        <f>IF(+'M3 Allocations - TD'!AL54="","",'M3 Allocations - TD'!AL54)</f>
        <v>223678.57</v>
      </c>
      <c r="AA24" s="63">
        <f>IF(+'M3 Allocations - TD'!AM54="","",'M3 Allocations - TD'!AM54)</f>
        <v>167453.84</v>
      </c>
      <c r="AB24" s="63">
        <f>IF(+'M3 Allocations - TD'!AN54="","",'M3 Allocations - TD'!AN54)</f>
        <v>87280.08</v>
      </c>
      <c r="AC24" s="63">
        <f>IF(+'M3 Allocations - TD'!AO54="","",'M3 Allocations - TD'!AO54)</f>
        <v>74518.28</v>
      </c>
      <c r="AD24" s="63">
        <f>IF(+'M3 Allocations - TD'!AP54="","",'M3 Allocations - TD'!AP54)</f>
        <v>87009.31</v>
      </c>
      <c r="AE24" s="63">
        <f>IF(+'M3 Allocations - TD'!AQ54="","",'M3 Allocations - TD'!AQ54)</f>
        <v>99059.55</v>
      </c>
      <c r="AF24" s="63">
        <f>IF(+'M3 Allocations - TD'!AR54="","",'M3 Allocations - TD'!AR54)</f>
        <v>102989.08</v>
      </c>
      <c r="AG24" s="63">
        <f>IF(+'M3 Allocations - TD'!AS54="","",'M3 Allocations - TD'!AS54)</f>
        <v>102162.93</v>
      </c>
      <c r="AH24" s="63">
        <f>IF(+'M3 Allocations - TD'!AT54="","",'M3 Allocations - TD'!AT54)</f>
        <v>99521.61</v>
      </c>
      <c r="AI24" s="63">
        <f>IF(+'M3 Allocations - TD'!AU54="","",'M3 Allocations - TD'!AU54)</f>
        <v>88233.75</v>
      </c>
      <c r="AJ24" s="63">
        <f>IF(+'M3 Allocations - TD'!AV54="","",'M3 Allocations - TD'!AV54)</f>
        <v>89104.03</v>
      </c>
      <c r="AK24" s="63">
        <f>IF(+'M3 Allocations - TD'!AW54="","",'M3 Allocations - TD'!AW54)</f>
        <v>92492.2</v>
      </c>
      <c r="AL24" s="63">
        <f>IF(+'M3 Allocations - TD'!AX54="","",'M3 Allocations - TD'!AX54)</f>
        <v>88054.05</v>
      </c>
      <c r="AM24" s="63">
        <f>IF(+'M3 Allocations - TD'!AY54="","",'M3 Allocations - TD'!AY54)</f>
        <v>120533.48</v>
      </c>
      <c r="AN24" s="63">
        <f>IF(+'M3 Allocations - TD'!AZ54="","",'M3 Allocations - TD'!AZ54)</f>
        <v>193175.07</v>
      </c>
      <c r="AO24" s="63">
        <f>IF(+'M3 Allocations - TD'!BA54="","",'M3 Allocations - TD'!BA54)</f>
        <v>200125.64</v>
      </c>
      <c r="AP24" s="63">
        <f>IF(+'M3 Allocations - TD'!BB54="","",'M3 Allocations - TD'!BB54)</f>
        <v>199975.26</v>
      </c>
      <c r="AQ24" s="63">
        <f>IF(+'M3 Allocations - TD'!BC54="","",'M3 Allocations - TD'!BC54)</f>
        <v>209103.63</v>
      </c>
      <c r="AR24" s="63">
        <f>IF(+'M3 Allocations - TD'!BD54="","",'M3 Allocations - TD'!BD54)</f>
        <v>214447.91</v>
      </c>
      <c r="AS24" s="63">
        <f>IF(+'M3 Allocations - TD'!BE54="","",'M3 Allocations - TD'!BE54)</f>
        <v>242601.69</v>
      </c>
      <c r="AT24" s="63">
        <f>IF(+'M3 Allocations - TD'!BF54="","",'M3 Allocations - TD'!BF54)</f>
        <v>231833.74</v>
      </c>
      <c r="AU24" s="63">
        <f>IF(+'M3 Allocations - TD'!BG54="","",'M3 Allocations - TD'!BG54)</f>
        <v>201281.09</v>
      </c>
      <c r="AV24" s="63">
        <f>IF(+'M3 Allocations - TD'!BH54="","",'M3 Allocations - TD'!BH54)</f>
        <v>202710.95</v>
      </c>
      <c r="AW24" s="63">
        <f>IF(+'M3 Allocations - TD'!BI54="","",'M3 Allocations - TD'!BI54)</f>
        <v>199303.11</v>
      </c>
      <c r="AX24" s="63">
        <f>IF(+'M3 Allocations - TD'!BJ54="","",'M3 Allocations - TD'!BJ54)</f>
        <v>210550.35</v>
      </c>
      <c r="AY24" s="63">
        <f>IF(+'M3 Allocations - TD'!BK54="","",'M3 Allocations - TD'!BK54)</f>
        <v>168623.56</v>
      </c>
      <c r="AZ24" s="63">
        <f>IF(+'M3 Allocations - TD'!BL54="","",'M3 Allocations - TD'!BL54)</f>
        <v>84037.78</v>
      </c>
      <c r="BA24" s="63">
        <f>IF(+'M3 Allocations - TD'!BM54="","",'M3 Allocations - TD'!BM54)</f>
        <v>76596.08</v>
      </c>
      <c r="BB24" s="63">
        <f>IF(+'M3 Allocations - TD'!BN54="","",'M3 Allocations - TD'!BN54)</f>
        <v>80331.31</v>
      </c>
      <c r="BC24" s="63">
        <f>IF(+'M3 Allocations - TD'!BO54="","",'M3 Allocations - TD'!BO54)</f>
        <v>87580.99</v>
      </c>
      <c r="BD24" s="63">
        <f>IF(+'M3 Allocations - TD'!BP54="","",'M3 Allocations - TD'!BP54)</f>
        <v>94051.1</v>
      </c>
      <c r="BE24" s="63">
        <f>IF(+'M3 Allocations - TD'!BQ54="","",'M3 Allocations - TD'!BQ54)</f>
        <v>88881.49</v>
      </c>
      <c r="BF24" s="63">
        <f>IF(+'M3 Allocations - TD'!BR54="","",'M3 Allocations - TD'!BR54)</f>
        <v>87211.46</v>
      </c>
      <c r="BG24" s="63">
        <f>IF(+'M3 Allocations - TD'!BS54="","",'M3 Allocations - TD'!BS54)</f>
        <v>85590.09</v>
      </c>
      <c r="BH24" s="63">
        <f>IF(+'M3 Allocations - TD'!BT54="","",'M3 Allocations - TD'!BT54)</f>
        <v>81524.150058755928</v>
      </c>
      <c r="BI24" s="63">
        <f>IF(+'M3 Allocations - TD'!BU54="","",'M3 Allocations - TD'!BU54)</f>
        <v>86196.342512000105</v>
      </c>
      <c r="BJ24" s="63">
        <f>IF(+'M3 Allocations - TD'!BV54="","",'M3 Allocations - TD'!BV54)</f>
        <v>89922.413412669499</v>
      </c>
    </row>
    <row r="25" spans="1:62" x14ac:dyDescent="0.25">
      <c r="A25" s="306"/>
      <c r="B25" s="73" t="s">
        <v>55</v>
      </c>
      <c r="C25" s="119">
        <v>2.5367471035843018E-4</v>
      </c>
      <c r="D25" s="90">
        <f t="shared" ref="D25:BJ26" si="258">IF(D24="","",C25)</f>
        <v>2.5367471035843018E-4</v>
      </c>
      <c r="E25" s="90">
        <f t="shared" si="258"/>
        <v>2.5367471035843018E-4</v>
      </c>
      <c r="F25" s="90">
        <f t="shared" si="258"/>
        <v>2.5367471035843018E-4</v>
      </c>
      <c r="G25" s="90">
        <f t="shared" si="258"/>
        <v>2.5367471035843018E-4</v>
      </c>
      <c r="H25" s="90">
        <f t="shared" si="258"/>
        <v>2.5367471035843018E-4</v>
      </c>
      <c r="I25" s="90">
        <f t="shared" si="258"/>
        <v>2.5367471035843018E-4</v>
      </c>
      <c r="J25" s="90">
        <f t="shared" si="258"/>
        <v>2.5367471035843018E-4</v>
      </c>
      <c r="K25" s="90">
        <f t="shared" si="258"/>
        <v>2.5367471035843018E-4</v>
      </c>
      <c r="L25" s="90">
        <f t="shared" si="258"/>
        <v>2.5367471035843018E-4</v>
      </c>
      <c r="M25" s="90">
        <f t="shared" si="258"/>
        <v>2.5367471035843018E-4</v>
      </c>
      <c r="N25" s="90">
        <f t="shared" si="258"/>
        <v>2.5367471035843018E-4</v>
      </c>
      <c r="O25" s="120">
        <v>8.3774060384398373E-4</v>
      </c>
      <c r="P25" s="90">
        <f t="shared" si="258"/>
        <v>8.3774060384398373E-4</v>
      </c>
      <c r="Q25" s="90">
        <f t="shared" si="258"/>
        <v>8.3774060384398373E-4</v>
      </c>
      <c r="R25" s="90">
        <f t="shared" si="258"/>
        <v>8.3774060384398373E-4</v>
      </c>
      <c r="S25" s="90">
        <f t="shared" si="258"/>
        <v>8.3774060384398373E-4</v>
      </c>
      <c r="T25" s="90">
        <f t="shared" si="258"/>
        <v>8.3774060384398373E-4</v>
      </c>
      <c r="U25" s="90">
        <f t="shared" si="258"/>
        <v>8.3774060384398373E-4</v>
      </c>
      <c r="V25" s="90">
        <f t="shared" si="258"/>
        <v>8.3774060384398373E-4</v>
      </c>
      <c r="W25" s="90">
        <f t="shared" si="258"/>
        <v>8.3774060384398373E-4</v>
      </c>
      <c r="X25" s="90">
        <f t="shared" si="258"/>
        <v>8.3774060384398373E-4</v>
      </c>
      <c r="Y25" s="90">
        <f t="shared" si="258"/>
        <v>8.3774060384398373E-4</v>
      </c>
      <c r="Z25" s="90">
        <f t="shared" si="258"/>
        <v>8.3774060384398373E-4</v>
      </c>
      <c r="AA25" s="120">
        <v>5.200153279680842E-4</v>
      </c>
      <c r="AB25" s="90">
        <f t="shared" si="258"/>
        <v>5.200153279680842E-4</v>
      </c>
      <c r="AC25" s="90">
        <f t="shared" si="258"/>
        <v>5.200153279680842E-4</v>
      </c>
      <c r="AD25" s="90">
        <f t="shared" si="258"/>
        <v>5.200153279680842E-4</v>
      </c>
      <c r="AE25" s="90">
        <f t="shared" si="258"/>
        <v>5.200153279680842E-4</v>
      </c>
      <c r="AF25" s="90">
        <f t="shared" si="258"/>
        <v>5.200153279680842E-4</v>
      </c>
      <c r="AG25" s="90">
        <f t="shared" si="258"/>
        <v>5.200153279680842E-4</v>
      </c>
      <c r="AH25" s="90">
        <f t="shared" si="258"/>
        <v>5.200153279680842E-4</v>
      </c>
      <c r="AI25" s="90">
        <f t="shared" si="258"/>
        <v>5.200153279680842E-4</v>
      </c>
      <c r="AJ25" s="90">
        <f t="shared" si="258"/>
        <v>5.200153279680842E-4</v>
      </c>
      <c r="AK25" s="90">
        <f t="shared" si="258"/>
        <v>5.200153279680842E-4</v>
      </c>
      <c r="AL25" s="90">
        <f t="shared" si="258"/>
        <v>5.200153279680842E-4</v>
      </c>
      <c r="AM25" s="120">
        <v>9.0916157952495972E-4</v>
      </c>
      <c r="AN25" s="90">
        <f t="shared" si="258"/>
        <v>9.0916157952495972E-4</v>
      </c>
      <c r="AO25" s="90">
        <f t="shared" si="258"/>
        <v>9.0916157952495972E-4</v>
      </c>
      <c r="AP25" s="90">
        <f t="shared" si="258"/>
        <v>9.0916157952495972E-4</v>
      </c>
      <c r="AQ25" s="90">
        <f t="shared" si="258"/>
        <v>9.0916157952495972E-4</v>
      </c>
      <c r="AR25" s="90">
        <f t="shared" si="258"/>
        <v>9.0916157952495972E-4</v>
      </c>
      <c r="AS25" s="90">
        <f t="shared" si="258"/>
        <v>9.0916157952495972E-4</v>
      </c>
      <c r="AT25" s="90">
        <f t="shared" si="258"/>
        <v>9.0916157952495972E-4</v>
      </c>
      <c r="AU25" s="90">
        <f t="shared" si="258"/>
        <v>9.0916157952495972E-4</v>
      </c>
      <c r="AV25" s="90">
        <f t="shared" si="258"/>
        <v>9.0916157952495972E-4</v>
      </c>
      <c r="AW25" s="90">
        <f t="shared" si="258"/>
        <v>9.0916157952495972E-4</v>
      </c>
      <c r="AX25" s="90">
        <f t="shared" si="258"/>
        <v>9.0916157952495972E-4</v>
      </c>
      <c r="AY25" s="120">
        <f>0.000714971559034161+0</f>
        <v>7.1497155903416099E-4</v>
      </c>
      <c r="AZ25" s="90">
        <f t="shared" si="258"/>
        <v>7.1497155903416099E-4</v>
      </c>
      <c r="BA25" s="90">
        <f t="shared" si="258"/>
        <v>7.1497155903416099E-4</v>
      </c>
      <c r="BB25" s="90">
        <f t="shared" si="258"/>
        <v>7.1497155903416099E-4</v>
      </c>
      <c r="BC25" s="90">
        <f t="shared" si="258"/>
        <v>7.1497155903416099E-4</v>
      </c>
      <c r="BD25" s="90">
        <f t="shared" si="258"/>
        <v>7.1497155903416099E-4</v>
      </c>
      <c r="BE25" s="90">
        <f t="shared" si="258"/>
        <v>7.1497155903416099E-4</v>
      </c>
      <c r="BF25" s="90">
        <f t="shared" si="258"/>
        <v>7.1497155903416099E-4</v>
      </c>
      <c r="BG25" s="90">
        <f t="shared" si="258"/>
        <v>7.1497155903416099E-4</v>
      </c>
      <c r="BH25" s="90">
        <f t="shared" si="258"/>
        <v>7.1497155903416099E-4</v>
      </c>
      <c r="BI25" s="90">
        <f t="shared" si="258"/>
        <v>7.1497155903416099E-4</v>
      </c>
      <c r="BJ25" s="90">
        <f t="shared" si="258"/>
        <v>7.1497155903416099E-4</v>
      </c>
    </row>
    <row r="26" spans="1:62" x14ac:dyDescent="0.25">
      <c r="A26" s="306"/>
      <c r="B26" s="73" t="s">
        <v>54</v>
      </c>
      <c r="C26" s="120">
        <v>-7.9632920155371304E-5</v>
      </c>
      <c r="D26" s="90">
        <f t="shared" si="258"/>
        <v>-7.9632920155371304E-5</v>
      </c>
      <c r="E26" s="90">
        <f t="shared" si="258"/>
        <v>-7.9632920155371304E-5</v>
      </c>
      <c r="F26" s="90">
        <f t="shared" si="258"/>
        <v>-7.9632920155371304E-5</v>
      </c>
      <c r="G26" s="90">
        <f t="shared" si="258"/>
        <v>-7.9632920155371304E-5</v>
      </c>
      <c r="H26" s="90">
        <f t="shared" si="258"/>
        <v>-7.9632920155371304E-5</v>
      </c>
      <c r="I26" s="90">
        <f t="shared" si="258"/>
        <v>-7.9632920155371304E-5</v>
      </c>
      <c r="J26" s="90">
        <f t="shared" si="258"/>
        <v>-7.9632920155371304E-5</v>
      </c>
      <c r="K26" s="90">
        <f t="shared" si="258"/>
        <v>-7.9632920155371304E-5</v>
      </c>
      <c r="L26" s="90">
        <f t="shared" si="258"/>
        <v>-7.9632920155371304E-5</v>
      </c>
      <c r="M26" s="90">
        <f t="shared" si="258"/>
        <v>-7.9632920155371304E-5</v>
      </c>
      <c r="N26" s="90">
        <f t="shared" si="258"/>
        <v>-7.9632920155371304E-5</v>
      </c>
      <c r="O26" s="120">
        <v>4.0604417384412134E-5</v>
      </c>
      <c r="P26" s="90">
        <f t="shared" si="258"/>
        <v>4.0604417384412134E-5</v>
      </c>
      <c r="Q26" s="90">
        <f t="shared" si="258"/>
        <v>4.0604417384412134E-5</v>
      </c>
      <c r="R26" s="90">
        <f t="shared" si="258"/>
        <v>4.0604417384412134E-5</v>
      </c>
      <c r="S26" s="90">
        <f t="shared" si="258"/>
        <v>4.0604417384412134E-5</v>
      </c>
      <c r="T26" s="90">
        <f t="shared" si="258"/>
        <v>4.0604417384412134E-5</v>
      </c>
      <c r="U26" s="90">
        <f t="shared" si="258"/>
        <v>4.0604417384412134E-5</v>
      </c>
      <c r="V26" s="90">
        <f t="shared" si="258"/>
        <v>4.0604417384412134E-5</v>
      </c>
      <c r="W26" s="90">
        <f t="shared" si="258"/>
        <v>4.0604417384412134E-5</v>
      </c>
      <c r="X26" s="90">
        <f t="shared" si="258"/>
        <v>4.0604417384412134E-5</v>
      </c>
      <c r="Y26" s="90">
        <f t="shared" si="258"/>
        <v>4.0604417384412134E-5</v>
      </c>
      <c r="Z26" s="90">
        <f t="shared" si="258"/>
        <v>4.0604417384412134E-5</v>
      </c>
      <c r="AA26" s="120">
        <v>-1.3502250027566654E-4</v>
      </c>
      <c r="AB26" s="90">
        <f t="shared" si="258"/>
        <v>-1.3502250027566654E-4</v>
      </c>
      <c r="AC26" s="90">
        <f t="shared" si="258"/>
        <v>-1.3502250027566654E-4</v>
      </c>
      <c r="AD26" s="90">
        <f t="shared" si="258"/>
        <v>-1.3502250027566654E-4</v>
      </c>
      <c r="AE26" s="90">
        <f t="shared" si="258"/>
        <v>-1.3502250027566654E-4</v>
      </c>
      <c r="AF26" s="90">
        <f t="shared" si="258"/>
        <v>-1.3502250027566654E-4</v>
      </c>
      <c r="AG26" s="90">
        <f t="shared" si="258"/>
        <v>-1.3502250027566654E-4</v>
      </c>
      <c r="AH26" s="90">
        <f t="shared" si="258"/>
        <v>-1.3502250027566654E-4</v>
      </c>
      <c r="AI26" s="90">
        <f t="shared" si="258"/>
        <v>-1.3502250027566654E-4</v>
      </c>
      <c r="AJ26" s="90">
        <f t="shared" si="258"/>
        <v>-1.3502250027566654E-4</v>
      </c>
      <c r="AK26" s="90">
        <f t="shared" si="258"/>
        <v>-1.3502250027566654E-4</v>
      </c>
      <c r="AL26" s="90">
        <f t="shared" si="258"/>
        <v>-1.3502250027566654E-4</v>
      </c>
      <c r="AM26" s="120">
        <v>2.3817613824927264E-6</v>
      </c>
      <c r="AN26" s="90">
        <f t="shared" si="258"/>
        <v>2.3817613824927264E-6</v>
      </c>
      <c r="AO26" s="90">
        <f t="shared" si="258"/>
        <v>2.3817613824927264E-6</v>
      </c>
      <c r="AP26" s="90">
        <f t="shared" si="258"/>
        <v>2.3817613824927264E-6</v>
      </c>
      <c r="AQ26" s="90">
        <f t="shared" si="258"/>
        <v>2.3817613824927264E-6</v>
      </c>
      <c r="AR26" s="90">
        <f t="shared" si="258"/>
        <v>2.3817613824927264E-6</v>
      </c>
      <c r="AS26" s="90">
        <f t="shared" si="258"/>
        <v>2.3817613824927264E-6</v>
      </c>
      <c r="AT26" s="90">
        <f t="shared" si="258"/>
        <v>2.3817613824927264E-6</v>
      </c>
      <c r="AU26" s="90">
        <f t="shared" si="258"/>
        <v>2.3817613824927264E-6</v>
      </c>
      <c r="AV26" s="90">
        <f t="shared" si="258"/>
        <v>2.3817613824927264E-6</v>
      </c>
      <c r="AW26" s="90">
        <f t="shared" si="258"/>
        <v>2.3817613824927264E-6</v>
      </c>
      <c r="AX26" s="90">
        <f t="shared" si="258"/>
        <v>2.3817613824927264E-6</v>
      </c>
      <c r="AY26" s="120">
        <f>-0.000348692013101505+2.73870715851372E-06</f>
        <v>-3.4595330594299129E-4</v>
      </c>
      <c r="AZ26" s="90">
        <f t="shared" si="258"/>
        <v>-3.4595330594299129E-4</v>
      </c>
      <c r="BA26" s="90">
        <f t="shared" si="258"/>
        <v>-3.4595330594299129E-4</v>
      </c>
      <c r="BB26" s="90">
        <f t="shared" si="258"/>
        <v>-3.4595330594299129E-4</v>
      </c>
      <c r="BC26" s="90">
        <f t="shared" si="258"/>
        <v>-3.4595330594299129E-4</v>
      </c>
      <c r="BD26" s="90">
        <f t="shared" si="258"/>
        <v>-3.4595330594299129E-4</v>
      </c>
      <c r="BE26" s="90">
        <f t="shared" si="258"/>
        <v>-3.4595330594299129E-4</v>
      </c>
      <c r="BF26" s="90">
        <f t="shared" si="258"/>
        <v>-3.4595330594299129E-4</v>
      </c>
      <c r="BG26" s="90">
        <f t="shared" si="258"/>
        <v>-3.4595330594299129E-4</v>
      </c>
      <c r="BH26" s="90">
        <f t="shared" si="258"/>
        <v>-3.4595330594299129E-4</v>
      </c>
      <c r="BI26" s="90">
        <f t="shared" si="258"/>
        <v>-3.4595330594299129E-4</v>
      </c>
      <c r="BJ26" s="90">
        <f t="shared" si="258"/>
        <v>-3.4595330594299129E-4</v>
      </c>
    </row>
    <row r="27" spans="1:62" x14ac:dyDescent="0.25">
      <c r="A27" s="306"/>
      <c r="B27" s="73" t="s">
        <v>63</v>
      </c>
      <c r="C27" s="62">
        <f t="shared" ref="C27:D27" si="259">IF(C24="","",SUM(C25:C26))</f>
        <v>1.7404179020305888E-4</v>
      </c>
      <c r="D27" s="62">
        <f t="shared" si="259"/>
        <v>1.7404179020305888E-4</v>
      </c>
      <c r="E27" s="62">
        <f t="shared" ref="E27:F27" si="260">IF(E24="","",SUM(E25:E26))</f>
        <v>1.7404179020305888E-4</v>
      </c>
      <c r="F27" s="62">
        <f t="shared" si="260"/>
        <v>1.7404179020305888E-4</v>
      </c>
      <c r="G27" s="62">
        <f t="shared" ref="G27:H27" si="261">IF(G24="","",SUM(G25:G26))</f>
        <v>1.7404179020305888E-4</v>
      </c>
      <c r="H27" s="62">
        <f t="shared" si="261"/>
        <v>1.7404179020305888E-4</v>
      </c>
      <c r="I27" s="62">
        <f t="shared" ref="I27:J27" si="262">IF(I24="","",SUM(I25:I26))</f>
        <v>1.7404179020305888E-4</v>
      </c>
      <c r="J27" s="62">
        <f t="shared" si="262"/>
        <v>1.7404179020305888E-4</v>
      </c>
      <c r="K27" s="62">
        <f t="shared" ref="K27:L27" si="263">IF(K24="","",SUM(K25:K26))</f>
        <v>1.7404179020305888E-4</v>
      </c>
      <c r="L27" s="62">
        <f t="shared" si="263"/>
        <v>1.7404179020305888E-4</v>
      </c>
      <c r="M27" s="62">
        <f t="shared" ref="M27:N27" si="264">IF(M24="","",SUM(M25:M26))</f>
        <v>1.7404179020305888E-4</v>
      </c>
      <c r="N27" s="62">
        <f t="shared" si="264"/>
        <v>1.7404179020305888E-4</v>
      </c>
      <c r="O27" s="62">
        <f t="shared" ref="O27:P27" si="265">IF(O24="","",SUM(O25:O26))</f>
        <v>8.7834502122839588E-4</v>
      </c>
      <c r="P27" s="62">
        <f t="shared" si="265"/>
        <v>8.7834502122839588E-4</v>
      </c>
      <c r="Q27" s="62">
        <f t="shared" ref="Q27:R27" si="266">IF(Q24="","",SUM(Q25:Q26))</f>
        <v>8.7834502122839588E-4</v>
      </c>
      <c r="R27" s="62">
        <f t="shared" si="266"/>
        <v>8.7834502122839588E-4</v>
      </c>
      <c r="S27" s="62">
        <f t="shared" ref="S27:T27" si="267">IF(S24="","",SUM(S25:S26))</f>
        <v>8.7834502122839588E-4</v>
      </c>
      <c r="T27" s="62">
        <f t="shared" si="267"/>
        <v>8.7834502122839588E-4</v>
      </c>
      <c r="U27" s="62">
        <f t="shared" ref="U27:V27" si="268">IF(U24="","",SUM(U25:U26))</f>
        <v>8.7834502122839588E-4</v>
      </c>
      <c r="V27" s="62">
        <f t="shared" si="268"/>
        <v>8.7834502122839588E-4</v>
      </c>
      <c r="W27" s="62">
        <f t="shared" ref="W27:X27" si="269">IF(W24="","",SUM(W25:W26))</f>
        <v>8.7834502122839588E-4</v>
      </c>
      <c r="X27" s="62">
        <f t="shared" si="269"/>
        <v>8.7834502122839588E-4</v>
      </c>
      <c r="Y27" s="62">
        <f t="shared" ref="Y27" si="270">IF(Y24="","",SUM(Y25:Y26))</f>
        <v>8.7834502122839588E-4</v>
      </c>
      <c r="Z27" s="62">
        <f>IF(Z24="","",SUM(Z25:Z26))</f>
        <v>8.7834502122839588E-4</v>
      </c>
      <c r="AA27" s="62">
        <f t="shared" ref="AA27:AB27" si="271">IF(AA24="","",SUM(AA25:AA26))</f>
        <v>3.8499282769241766E-4</v>
      </c>
      <c r="AB27" s="62">
        <f t="shared" si="271"/>
        <v>3.8499282769241766E-4</v>
      </c>
      <c r="AC27" s="62">
        <f t="shared" ref="AC27:AD27" si="272">IF(AC24="","",SUM(AC25:AC26))</f>
        <v>3.8499282769241766E-4</v>
      </c>
      <c r="AD27" s="62">
        <f t="shared" si="272"/>
        <v>3.8499282769241766E-4</v>
      </c>
      <c r="AE27" s="62">
        <f t="shared" ref="AE27:AF27" si="273">IF(AE24="","",SUM(AE25:AE26))</f>
        <v>3.8499282769241766E-4</v>
      </c>
      <c r="AF27" s="62">
        <f t="shared" si="273"/>
        <v>3.8499282769241766E-4</v>
      </c>
      <c r="AG27" s="62">
        <f t="shared" ref="AG27:AH27" si="274">IF(AG24="","",SUM(AG25:AG26))</f>
        <v>3.8499282769241766E-4</v>
      </c>
      <c r="AH27" s="62">
        <f t="shared" si="274"/>
        <v>3.8499282769241766E-4</v>
      </c>
      <c r="AI27" s="62">
        <f t="shared" ref="AI27:AJ27" si="275">IF(AI24="","",SUM(AI25:AI26))</f>
        <v>3.8499282769241766E-4</v>
      </c>
      <c r="AJ27" s="62">
        <f t="shared" si="275"/>
        <v>3.8499282769241766E-4</v>
      </c>
      <c r="AK27" s="62">
        <f t="shared" ref="AK27:AL27" si="276">IF(AK24="","",SUM(AK25:AK26))</f>
        <v>3.8499282769241766E-4</v>
      </c>
      <c r="AL27" s="62">
        <f t="shared" si="276"/>
        <v>3.8499282769241766E-4</v>
      </c>
      <c r="AM27" s="62">
        <f t="shared" ref="AM27:AN27" si="277">IF(AM24="","",SUM(AM25:AM26))</f>
        <v>9.1154334090745245E-4</v>
      </c>
      <c r="AN27" s="62">
        <f t="shared" si="277"/>
        <v>9.1154334090745245E-4</v>
      </c>
      <c r="AO27" s="62">
        <f t="shared" ref="AO27:AP27" si="278">IF(AO24="","",SUM(AO25:AO26))</f>
        <v>9.1154334090745245E-4</v>
      </c>
      <c r="AP27" s="62">
        <f t="shared" si="278"/>
        <v>9.1154334090745245E-4</v>
      </c>
      <c r="AQ27" s="62">
        <f t="shared" ref="AQ27:AR27" si="279">IF(AQ24="","",SUM(AQ25:AQ26))</f>
        <v>9.1154334090745245E-4</v>
      </c>
      <c r="AR27" s="62">
        <f t="shared" si="279"/>
        <v>9.1154334090745245E-4</v>
      </c>
      <c r="AS27" s="62">
        <f t="shared" ref="AS27:AT27" si="280">IF(AS24="","",SUM(AS25:AS26))</f>
        <v>9.1154334090745245E-4</v>
      </c>
      <c r="AT27" s="62">
        <f t="shared" si="280"/>
        <v>9.1154334090745245E-4</v>
      </c>
      <c r="AU27" s="62">
        <f t="shared" ref="AU27:AV27" si="281">IF(AU24="","",SUM(AU25:AU26))</f>
        <v>9.1154334090745245E-4</v>
      </c>
      <c r="AV27" s="62">
        <f t="shared" si="281"/>
        <v>9.1154334090745245E-4</v>
      </c>
      <c r="AW27" s="62">
        <f t="shared" ref="AW27:AX27" si="282">IF(AW24="","",SUM(AW25:AW26))</f>
        <v>9.1154334090745245E-4</v>
      </c>
      <c r="AX27" s="62">
        <f t="shared" si="282"/>
        <v>9.1154334090745245E-4</v>
      </c>
      <c r="AY27" s="62">
        <f t="shared" ref="AY27:AZ27" si="283">IF(AY24="","",SUM(AY25:AY26))</f>
        <v>3.690182530911697E-4</v>
      </c>
      <c r="AZ27" s="62">
        <f t="shared" si="283"/>
        <v>3.690182530911697E-4</v>
      </c>
      <c r="BA27" s="62">
        <f t="shared" ref="BA27:BB27" si="284">IF(BA24="","",SUM(BA25:BA26))</f>
        <v>3.690182530911697E-4</v>
      </c>
      <c r="BB27" s="62">
        <f t="shared" si="284"/>
        <v>3.690182530911697E-4</v>
      </c>
      <c r="BC27" s="62">
        <f t="shared" ref="BC27:BD27" si="285">IF(BC24="","",SUM(BC25:BC26))</f>
        <v>3.690182530911697E-4</v>
      </c>
      <c r="BD27" s="62">
        <f t="shared" si="285"/>
        <v>3.690182530911697E-4</v>
      </c>
      <c r="BE27" s="62">
        <f t="shared" ref="BE27:BF27" si="286">IF(BE24="","",SUM(BE25:BE26))</f>
        <v>3.690182530911697E-4</v>
      </c>
      <c r="BF27" s="62">
        <f t="shared" si="286"/>
        <v>3.690182530911697E-4</v>
      </c>
      <c r="BG27" s="62">
        <f t="shared" ref="BG27:BH27" si="287">IF(BG24="","",SUM(BG25:BG26))</f>
        <v>3.690182530911697E-4</v>
      </c>
      <c r="BH27" s="62">
        <f t="shared" si="287"/>
        <v>3.690182530911697E-4</v>
      </c>
      <c r="BI27" s="62">
        <f t="shared" ref="BI27:BJ27" si="288">IF(BI24="","",SUM(BI25:BI26))</f>
        <v>3.690182530911697E-4</v>
      </c>
      <c r="BJ27" s="62">
        <f t="shared" si="288"/>
        <v>3.690182530911697E-4</v>
      </c>
    </row>
    <row r="28" spans="1:62" x14ac:dyDescent="0.25">
      <c r="A28" s="306"/>
      <c r="B28" s="73" t="s">
        <v>56</v>
      </c>
      <c r="C28" s="66">
        <f t="shared" ref="C28:D28" si="289">IF(C24="","",IFERROR(C26/C27,""))</f>
        <v>-0.45755056910447539</v>
      </c>
      <c r="D28" s="66">
        <f t="shared" si="289"/>
        <v>-0.45755056910447539</v>
      </c>
      <c r="E28" s="66">
        <f t="shared" ref="E28:F28" si="290">IF(E24="","",IFERROR(E26/E27,""))</f>
        <v>-0.45755056910447539</v>
      </c>
      <c r="F28" s="66">
        <f t="shared" si="290"/>
        <v>-0.45755056910447539</v>
      </c>
      <c r="G28" s="66">
        <f t="shared" ref="G28:H28" si="291">IF(G24="","",IFERROR(G26/G27,""))</f>
        <v>-0.45755056910447539</v>
      </c>
      <c r="H28" s="66">
        <f t="shared" si="291"/>
        <v>-0.45755056910447539</v>
      </c>
      <c r="I28" s="66">
        <f t="shared" ref="I28:J28" si="292">IF(I24="","",IFERROR(I26/I27,""))</f>
        <v>-0.45755056910447539</v>
      </c>
      <c r="J28" s="66">
        <f t="shared" si="292"/>
        <v>-0.45755056910447539</v>
      </c>
      <c r="K28" s="66">
        <f t="shared" ref="K28:L28" si="293">IF(K24="","",IFERROR(K26/K27,""))</f>
        <v>-0.45755056910447539</v>
      </c>
      <c r="L28" s="66">
        <f t="shared" si="293"/>
        <v>-0.45755056910447539</v>
      </c>
      <c r="M28" s="66">
        <f t="shared" ref="M28:N28" si="294">IF(M24="","",IFERROR(M26/M27,""))</f>
        <v>-0.45755056910447539</v>
      </c>
      <c r="N28" s="66">
        <f t="shared" si="294"/>
        <v>-0.45755056910447539</v>
      </c>
      <c r="O28" s="66">
        <f t="shared" ref="O28:P28" si="295">IF(O24="","",IFERROR(O26/O27,""))</f>
        <v>4.6228323042835098E-2</v>
      </c>
      <c r="P28" s="66">
        <f t="shared" si="295"/>
        <v>4.6228323042835098E-2</v>
      </c>
      <c r="Q28" s="66">
        <f t="shared" ref="Q28:R28" si="296">IF(Q24="","",IFERROR(Q26/Q27,""))</f>
        <v>4.6228323042835098E-2</v>
      </c>
      <c r="R28" s="66">
        <f t="shared" si="296"/>
        <v>4.6228323042835098E-2</v>
      </c>
      <c r="S28" s="66">
        <f t="shared" ref="S28:T28" si="297">IF(S24="","",IFERROR(S26/S27,""))</f>
        <v>4.6228323042835098E-2</v>
      </c>
      <c r="T28" s="66">
        <f t="shared" si="297"/>
        <v>4.6228323042835098E-2</v>
      </c>
      <c r="U28" s="66">
        <f t="shared" ref="U28:V28" si="298">IF(U24="","",IFERROR(U26/U27,""))</f>
        <v>4.6228323042835098E-2</v>
      </c>
      <c r="V28" s="66">
        <f t="shared" si="298"/>
        <v>4.6228323042835098E-2</v>
      </c>
      <c r="W28" s="66">
        <f t="shared" ref="W28:X28" si="299">IF(W24="","",IFERROR(W26/W27,""))</f>
        <v>4.6228323042835098E-2</v>
      </c>
      <c r="X28" s="66">
        <f t="shared" si="299"/>
        <v>4.6228323042835098E-2</v>
      </c>
      <c r="Y28" s="66">
        <f t="shared" ref="Y28:Z28" si="300">IF(Y24="","",IFERROR(Y26/Y27,""))</f>
        <v>4.6228323042835098E-2</v>
      </c>
      <c r="Z28" s="66">
        <f t="shared" si="300"/>
        <v>4.6228323042835098E-2</v>
      </c>
      <c r="AA28" s="66">
        <f t="shared" ref="AA28:AB28" si="301">IF(AA24="","",IFERROR(AA26/AA27,""))</f>
        <v>-0.35071432651088263</v>
      </c>
      <c r="AB28" s="66">
        <f t="shared" si="301"/>
        <v>-0.35071432651088263</v>
      </c>
      <c r="AC28" s="66">
        <f t="shared" ref="AC28:AD28" si="302">IF(AC24="","",IFERROR(AC26/AC27,""))</f>
        <v>-0.35071432651088263</v>
      </c>
      <c r="AD28" s="66">
        <f t="shared" si="302"/>
        <v>-0.35071432651088263</v>
      </c>
      <c r="AE28" s="66">
        <f t="shared" ref="AE28:AF28" si="303">IF(AE24="","",IFERROR(AE26/AE27,""))</f>
        <v>-0.35071432651088263</v>
      </c>
      <c r="AF28" s="66">
        <f t="shared" si="303"/>
        <v>-0.35071432651088263</v>
      </c>
      <c r="AG28" s="66">
        <f t="shared" ref="AG28:AH28" si="304">IF(AG24="","",IFERROR(AG26/AG27,""))</f>
        <v>-0.35071432651088263</v>
      </c>
      <c r="AH28" s="66">
        <f t="shared" si="304"/>
        <v>-0.35071432651088263</v>
      </c>
      <c r="AI28" s="66">
        <f t="shared" ref="AI28:AJ28" si="305">IF(AI24="","",IFERROR(AI26/AI27,""))</f>
        <v>-0.35071432651088263</v>
      </c>
      <c r="AJ28" s="66">
        <f t="shared" si="305"/>
        <v>-0.35071432651088263</v>
      </c>
      <c r="AK28" s="66">
        <f t="shared" ref="AK28:AL28" si="306">IF(AK24="","",IFERROR(AK26/AK27,""))</f>
        <v>-0.35071432651088263</v>
      </c>
      <c r="AL28" s="66">
        <f t="shared" si="306"/>
        <v>-0.35071432651088263</v>
      </c>
      <c r="AM28" s="66">
        <f t="shared" ref="AM28:AN28" si="307">IF(AM24="","",IFERROR(AM26/AM27,""))</f>
        <v>2.6128887959640558E-3</v>
      </c>
      <c r="AN28" s="66">
        <f t="shared" si="307"/>
        <v>2.6128887959640558E-3</v>
      </c>
      <c r="AO28" s="66">
        <f t="shared" ref="AO28:AP28" si="308">IF(AO24="","",IFERROR(AO26/AO27,""))</f>
        <v>2.6128887959640558E-3</v>
      </c>
      <c r="AP28" s="66">
        <f t="shared" si="308"/>
        <v>2.6128887959640558E-3</v>
      </c>
      <c r="AQ28" s="66">
        <f t="shared" ref="AQ28:AR28" si="309">IF(AQ24="","",IFERROR(AQ26/AQ27,""))</f>
        <v>2.6128887959640558E-3</v>
      </c>
      <c r="AR28" s="66">
        <f t="shared" si="309"/>
        <v>2.6128887959640558E-3</v>
      </c>
      <c r="AS28" s="66">
        <f t="shared" ref="AS28:AT28" si="310">IF(AS24="","",IFERROR(AS26/AS27,""))</f>
        <v>2.6128887959640558E-3</v>
      </c>
      <c r="AT28" s="66">
        <f t="shared" si="310"/>
        <v>2.6128887959640558E-3</v>
      </c>
      <c r="AU28" s="66">
        <f t="shared" ref="AU28:AV28" si="311">IF(AU24="","",IFERROR(AU26/AU27,""))</f>
        <v>2.6128887959640558E-3</v>
      </c>
      <c r="AV28" s="66">
        <f t="shared" si="311"/>
        <v>2.6128887959640558E-3</v>
      </c>
      <c r="AW28" s="66">
        <f t="shared" ref="AW28:AX28" si="312">IF(AW24="","",IFERROR(AW26/AW27,""))</f>
        <v>2.6128887959640558E-3</v>
      </c>
      <c r="AX28" s="66">
        <f t="shared" si="312"/>
        <v>2.6128887959640558E-3</v>
      </c>
      <c r="AY28" s="66">
        <f t="shared" ref="AY28:AZ28" si="313">IF(AY24="","",IFERROR(AY26/AY27,""))</f>
        <v>-0.93749645998546316</v>
      </c>
      <c r="AZ28" s="66">
        <f t="shared" si="313"/>
        <v>-0.93749645998546316</v>
      </c>
      <c r="BA28" s="66">
        <f t="shared" ref="BA28:BB28" si="314">IF(BA24="","",IFERROR(BA26/BA27,""))</f>
        <v>-0.93749645998546316</v>
      </c>
      <c r="BB28" s="66">
        <f t="shared" si="314"/>
        <v>-0.93749645998546316</v>
      </c>
      <c r="BC28" s="66">
        <f t="shared" ref="BC28:BD28" si="315">IF(BC24="","",IFERROR(BC26/BC27,""))</f>
        <v>-0.93749645998546316</v>
      </c>
      <c r="BD28" s="66">
        <f t="shared" si="315"/>
        <v>-0.93749645998546316</v>
      </c>
      <c r="BE28" s="66">
        <f t="shared" ref="BE28:BF28" si="316">IF(BE24="","",IFERROR(BE26/BE27,""))</f>
        <v>-0.93749645998546316</v>
      </c>
      <c r="BF28" s="66">
        <f t="shared" si="316"/>
        <v>-0.93749645998546316</v>
      </c>
      <c r="BG28" s="66">
        <f t="shared" ref="BG28:BH28" si="317">IF(BG24="","",IFERROR(BG26/BG27,""))</f>
        <v>-0.93749645998546316</v>
      </c>
      <c r="BH28" s="66">
        <f t="shared" si="317"/>
        <v>-0.93749645998546316</v>
      </c>
      <c r="BI28" s="66">
        <f t="shared" ref="BI28:BJ28" si="318">IF(BI24="","",IFERROR(BI26/BI27,""))</f>
        <v>-0.93749645998546316</v>
      </c>
      <c r="BJ28" s="66">
        <f t="shared" si="318"/>
        <v>-0.93749645998546316</v>
      </c>
    </row>
    <row r="29" spans="1:62" x14ac:dyDescent="0.25">
      <c r="A29" s="306"/>
      <c r="B29" s="74" t="s">
        <v>57</v>
      </c>
      <c r="C29" s="64">
        <f t="shared" ref="C29:D29" si="319">IF(C24="","",ROUND(C28*C24,2))</f>
        <v>-20708.53</v>
      </c>
      <c r="D29" s="64">
        <f t="shared" si="319"/>
        <v>-17927.830000000002</v>
      </c>
      <c r="E29" s="64">
        <f t="shared" ref="E29:F29" si="320">IF(E24="","",ROUND(E28*E24,2))</f>
        <v>-17511.97</v>
      </c>
      <c r="F29" s="64">
        <f t="shared" si="320"/>
        <v>-16485.95</v>
      </c>
      <c r="G29" s="64">
        <f t="shared" ref="G29:H29" si="321">IF(G24="","",ROUND(G28*G24,2))</f>
        <v>-19200.04</v>
      </c>
      <c r="H29" s="64">
        <f t="shared" si="321"/>
        <v>-20208.66</v>
      </c>
      <c r="I29" s="64">
        <f t="shared" ref="I29:J29" si="322">IF(I24="","",ROUND(I28*I24,2))</f>
        <v>-21182.03</v>
      </c>
      <c r="J29" s="64">
        <f t="shared" si="322"/>
        <v>-21187.42</v>
      </c>
      <c r="K29" s="64">
        <f t="shared" ref="K29:L29" si="323">IF(K24="","",ROUND(K28*K24,2))</f>
        <v>-18832.849999999999</v>
      </c>
      <c r="L29" s="64">
        <f t="shared" si="323"/>
        <v>-18699.46</v>
      </c>
      <c r="M29" s="64">
        <f t="shared" ref="M29:N29" si="324">IF(M24="","",ROUND(M28*M24,2))</f>
        <v>-19565.84</v>
      </c>
      <c r="N29" s="64">
        <f t="shared" si="324"/>
        <v>-19211.02</v>
      </c>
      <c r="O29" s="64">
        <f t="shared" ref="O29:P29" si="325">IF(O24="","",ROUND(O28*O24,2))</f>
        <v>5225.53</v>
      </c>
      <c r="P29" s="64">
        <f t="shared" si="325"/>
        <v>8688.59</v>
      </c>
      <c r="Q29" s="64">
        <f t="shared" ref="Q29:R29" si="326">IF(Q24="","",ROUND(Q28*Q24,2))</f>
        <v>8718.77</v>
      </c>
      <c r="R29" s="64">
        <f t="shared" si="326"/>
        <v>9032.2099999999991</v>
      </c>
      <c r="S29" s="64">
        <f t="shared" ref="S29:T29" si="327">IF(S24="","",ROUND(S28*S24,2))</f>
        <v>8700.5300000000007</v>
      </c>
      <c r="T29" s="64">
        <f t="shared" si="327"/>
        <v>11631.74</v>
      </c>
      <c r="U29" s="64">
        <f t="shared" ref="U29:V29" si="328">IF(U24="","",ROUND(U28*U24,2))</f>
        <v>10679.45</v>
      </c>
      <c r="V29" s="64">
        <f t="shared" si="328"/>
        <v>10815</v>
      </c>
      <c r="W29" s="64">
        <f t="shared" ref="W29:X29" si="329">IF(W24="","",ROUND(W28*W24,2))</f>
        <v>9338.6</v>
      </c>
      <c r="X29" s="64">
        <f t="shared" si="329"/>
        <v>8146.01</v>
      </c>
      <c r="Y29" s="64">
        <f t="shared" ref="Y29:Z29" si="330">IF(Y24="","",ROUND(Y28*Y24,2))</f>
        <v>10707.36</v>
      </c>
      <c r="Z29" s="64">
        <f t="shared" si="330"/>
        <v>10340.290000000001</v>
      </c>
      <c r="AA29" s="64">
        <f t="shared" ref="AA29:AB29" si="331">IF(AA24="","",ROUND(AA28*AA24,2))</f>
        <v>-58728.46</v>
      </c>
      <c r="AB29" s="64">
        <f t="shared" si="331"/>
        <v>-30610.37</v>
      </c>
      <c r="AC29" s="64">
        <f t="shared" ref="AC29:AD29" si="332">IF(AC24="","",ROUND(AC28*AC24,2))</f>
        <v>-26134.63</v>
      </c>
      <c r="AD29" s="64">
        <f t="shared" si="332"/>
        <v>-30515.41</v>
      </c>
      <c r="AE29" s="64">
        <f t="shared" ref="AE29:AF29" si="333">IF(AE24="","",ROUND(AE28*AE24,2))</f>
        <v>-34741.599999999999</v>
      </c>
      <c r="AF29" s="64">
        <f t="shared" si="333"/>
        <v>-36119.75</v>
      </c>
      <c r="AG29" s="64">
        <f t="shared" ref="AG29:AH29" si="334">IF(AG24="","",ROUND(AG28*AG24,2))</f>
        <v>-35830</v>
      </c>
      <c r="AH29" s="64">
        <f t="shared" si="334"/>
        <v>-34903.65</v>
      </c>
      <c r="AI29" s="64">
        <f t="shared" ref="AI29:AJ29" si="335">IF(AI24="","",ROUND(AI28*AI24,2))</f>
        <v>-30944.84</v>
      </c>
      <c r="AJ29" s="64">
        <f t="shared" si="335"/>
        <v>-31250.06</v>
      </c>
      <c r="AK29" s="64">
        <f t="shared" ref="AK29:AL29" si="336">IF(AK24="","",ROUND(AK28*AK24,2))</f>
        <v>-32438.34</v>
      </c>
      <c r="AL29" s="64">
        <f t="shared" si="336"/>
        <v>-30881.82</v>
      </c>
      <c r="AM29" s="64">
        <f t="shared" ref="AM29:AN29" si="337">IF(AM24="","",ROUND(AM28*AM24,2))</f>
        <v>314.94</v>
      </c>
      <c r="AN29" s="64">
        <f t="shared" si="337"/>
        <v>504.74</v>
      </c>
      <c r="AO29" s="64">
        <f t="shared" ref="AO29:AP29" si="338">IF(AO24="","",ROUND(AO28*AO24,2))</f>
        <v>522.91</v>
      </c>
      <c r="AP29" s="64">
        <f t="shared" si="338"/>
        <v>522.51</v>
      </c>
      <c r="AQ29" s="64">
        <f t="shared" ref="AQ29:AR29" si="339">IF(AQ24="","",ROUND(AQ28*AQ24,2))</f>
        <v>546.36</v>
      </c>
      <c r="AR29" s="64">
        <f t="shared" si="339"/>
        <v>560.33000000000004</v>
      </c>
      <c r="AS29" s="64">
        <f t="shared" ref="AS29:AT29" si="340">IF(AS24="","",ROUND(AS28*AS24,2))</f>
        <v>633.89</v>
      </c>
      <c r="AT29" s="64">
        <f t="shared" si="340"/>
        <v>605.76</v>
      </c>
      <c r="AU29" s="64">
        <f t="shared" ref="AU29:AV29" si="341">IF(AU24="","",ROUND(AU28*AU24,2))</f>
        <v>525.92999999999995</v>
      </c>
      <c r="AV29" s="64">
        <f t="shared" si="341"/>
        <v>529.66</v>
      </c>
      <c r="AW29" s="64">
        <f t="shared" ref="AW29:AX29" si="342">IF(AW24="","",ROUND(AW28*AW24,2))</f>
        <v>520.76</v>
      </c>
      <c r="AX29" s="64">
        <f t="shared" si="342"/>
        <v>550.14</v>
      </c>
      <c r="AY29" s="64">
        <f t="shared" ref="AY29:AZ29" si="343">IF(AY24="","",ROUND(AY28*AY24,2))</f>
        <v>-158083.99</v>
      </c>
      <c r="AZ29" s="64">
        <f t="shared" si="343"/>
        <v>-78785.119999999995</v>
      </c>
      <c r="BA29" s="64">
        <f t="shared" ref="BA29:BB29" si="344">IF(BA24="","",ROUND(BA28*BA24,2))</f>
        <v>-71808.55</v>
      </c>
      <c r="BB29" s="64">
        <f t="shared" si="344"/>
        <v>-75310.320000000007</v>
      </c>
      <c r="BC29" s="64">
        <f t="shared" ref="BC29:BD29" si="345">IF(BC24="","",ROUND(BC28*BC24,2))</f>
        <v>-82106.87</v>
      </c>
      <c r="BD29" s="64">
        <f t="shared" si="345"/>
        <v>-88172.57</v>
      </c>
      <c r="BE29" s="64">
        <f t="shared" ref="BE29:BF29" si="346">IF(BE24="","",ROUND(BE28*BE24,2))</f>
        <v>-83326.080000000002</v>
      </c>
      <c r="BF29" s="64">
        <f t="shared" si="346"/>
        <v>-81760.44</v>
      </c>
      <c r="BG29" s="64">
        <f t="shared" ref="BG29:BH29" si="347">IF(BG24="","",ROUND(BG28*BG24,2))</f>
        <v>-80240.41</v>
      </c>
      <c r="BH29" s="64">
        <f t="shared" si="347"/>
        <v>-76428.600000000006</v>
      </c>
      <c r="BI29" s="64">
        <f t="shared" ref="BI29:BJ29" si="348">IF(BI24="","",ROUND(BI28*BI24,2))</f>
        <v>-80808.77</v>
      </c>
      <c r="BJ29" s="64">
        <f t="shared" si="348"/>
        <v>-84301.94</v>
      </c>
    </row>
    <row r="30" spans="1:62" x14ac:dyDescent="0.25">
      <c r="A30" s="77"/>
      <c r="B30" s="7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row>
    <row r="31" spans="1:62" x14ac:dyDescent="0.25">
      <c r="A31" s="306" t="s">
        <v>37</v>
      </c>
      <c r="B31" s="73" t="s">
        <v>53</v>
      </c>
      <c r="C31" s="63">
        <f>IF(+'M3 Allocations - TD'!O55="","",'M3 Allocations - TD'!O55)</f>
        <v>11571.12</v>
      </c>
      <c r="D31" s="63">
        <f>IF(+'M3 Allocations - TD'!P55="","",'M3 Allocations - TD'!P55)</f>
        <v>19931.79</v>
      </c>
      <c r="E31" s="63">
        <f>IF(+'M3 Allocations - TD'!Q55="","",'M3 Allocations - TD'!Q55)</f>
        <v>21827.09</v>
      </c>
      <c r="F31" s="63">
        <f>IF(+'M3 Allocations - TD'!R55="","",'M3 Allocations - TD'!R55)</f>
        <v>22161.01</v>
      </c>
      <c r="G31" s="63">
        <f>IF(+'M3 Allocations - TD'!S55="","",'M3 Allocations - TD'!S55)</f>
        <v>17306.599999999999</v>
      </c>
      <c r="H31" s="63">
        <f>IF(+'M3 Allocations - TD'!T55="","",'M3 Allocations - TD'!T55)</f>
        <v>24911.24</v>
      </c>
      <c r="I31" s="63">
        <f>IF(+'M3 Allocations - TD'!U55="","",'M3 Allocations - TD'!U55)</f>
        <v>25659.02</v>
      </c>
      <c r="J31" s="63">
        <f>IF(+'M3 Allocations - TD'!V55="","",'M3 Allocations - TD'!V55)</f>
        <v>26024.15</v>
      </c>
      <c r="K31" s="63">
        <f>IF(+'M3 Allocations - TD'!W55="","",'M3 Allocations - TD'!W55)</f>
        <v>22923.1</v>
      </c>
      <c r="L31" s="63">
        <f>IF(+'M3 Allocations - TD'!X55="","",'M3 Allocations - TD'!X55)</f>
        <v>22483.33</v>
      </c>
      <c r="M31" s="63">
        <f>IF(+'M3 Allocations - TD'!Y55="","",'M3 Allocations - TD'!Y55)</f>
        <v>22959.24</v>
      </c>
      <c r="N31" s="63">
        <f>IF(+'M3 Allocations - TD'!Z55="","",'M3 Allocations - TD'!Z55)</f>
        <v>20997.32</v>
      </c>
      <c r="O31" s="63">
        <f>IF(+'M3 Allocations - TD'!AA55="","",'M3 Allocations - TD'!AA55)</f>
        <v>34921.4</v>
      </c>
      <c r="P31" s="63">
        <f>IF(+'M3 Allocations - TD'!AB55="","",'M3 Allocations - TD'!AB55)</f>
        <v>24946.880000000001</v>
      </c>
      <c r="Q31" s="63">
        <f>IF(+'M3 Allocations - TD'!AC55="","",'M3 Allocations - TD'!AC55)</f>
        <v>42288.49</v>
      </c>
      <c r="R31" s="63">
        <f>IF(+'M3 Allocations - TD'!AD55="","",'M3 Allocations - TD'!AD55)</f>
        <v>42963.199999999997</v>
      </c>
      <c r="S31" s="63">
        <f>IF(+'M3 Allocations - TD'!AE55="","",'M3 Allocations - TD'!AE55)</f>
        <v>41464.47</v>
      </c>
      <c r="T31" s="63">
        <f>IF(+'M3 Allocations - TD'!AF55="","",'M3 Allocations - TD'!AF55)</f>
        <v>52916.49</v>
      </c>
      <c r="U31" s="63">
        <f>IF(+'M3 Allocations - TD'!AG55="","",'M3 Allocations - TD'!AG55)</f>
        <v>50374.33</v>
      </c>
      <c r="V31" s="63">
        <f>IF(+'M3 Allocations - TD'!AH55="","",'M3 Allocations - TD'!AH55)</f>
        <v>54469.919999999998</v>
      </c>
      <c r="W31" s="63">
        <f>IF(+'M3 Allocations - TD'!AI55="","",'M3 Allocations - TD'!AI55)</f>
        <v>49925.55</v>
      </c>
      <c r="X31" s="63">
        <f>IF(+'M3 Allocations - TD'!AJ55="","",'M3 Allocations - TD'!AJ55)</f>
        <v>33144.800000000003</v>
      </c>
      <c r="Y31" s="63">
        <f>IF(+'M3 Allocations - TD'!AK55="","",'M3 Allocations - TD'!AK55)</f>
        <v>46471.67</v>
      </c>
      <c r="Z31" s="63">
        <f>IF(+'M3 Allocations - TD'!AL55="","",'M3 Allocations - TD'!AL55)</f>
        <v>43301.11</v>
      </c>
      <c r="AA31" s="63">
        <f>IF(+'M3 Allocations - TD'!AM55="","",'M3 Allocations - TD'!AM55)</f>
        <v>35959.279999999999</v>
      </c>
      <c r="AB31" s="63">
        <f>IF(+'M3 Allocations - TD'!AN55="","",'M3 Allocations - TD'!AN55)</f>
        <v>6497.26</v>
      </c>
      <c r="AC31" s="63">
        <f>IF(+'M3 Allocations - TD'!AO55="","",'M3 Allocations - TD'!AO55)</f>
        <v>-22925.25</v>
      </c>
      <c r="AD31" s="63">
        <f>IF(+'M3 Allocations - TD'!AP55="","",'M3 Allocations - TD'!AP55)</f>
        <v>5065.87</v>
      </c>
      <c r="AE31" s="63">
        <f>IF(+'M3 Allocations - TD'!AQ55="","",'M3 Allocations - TD'!AQ55)</f>
        <v>6175.37</v>
      </c>
      <c r="AF31" s="63">
        <f>IF(+'M3 Allocations - TD'!AR55="","",'M3 Allocations - TD'!AR55)</f>
        <v>7084.63</v>
      </c>
      <c r="AG31" s="63">
        <f>IF(+'M3 Allocations - TD'!AS55="","",'M3 Allocations - TD'!AS55)</f>
        <v>7005.11</v>
      </c>
      <c r="AH31" s="63">
        <f>IF(+'M3 Allocations - TD'!AT55="","",'M3 Allocations - TD'!AT55)</f>
        <v>7302.95</v>
      </c>
      <c r="AI31" s="63">
        <f>IF(+'M3 Allocations - TD'!AU55="","",'M3 Allocations - TD'!AU55)</f>
        <v>6273.92</v>
      </c>
      <c r="AJ31" s="63">
        <f>IF(+'M3 Allocations - TD'!AV55="","",'M3 Allocations - TD'!AV55)</f>
        <v>6266.68</v>
      </c>
      <c r="AK31" s="63">
        <f>IF(+'M3 Allocations - TD'!AW55="","",'M3 Allocations - TD'!AW55)</f>
        <v>6152.05</v>
      </c>
      <c r="AL31" s="63">
        <f>IF(+'M3 Allocations - TD'!AX55="","",'M3 Allocations - TD'!AX55)</f>
        <v>5193.43</v>
      </c>
      <c r="AM31" s="63">
        <f>IF(+'M3 Allocations - TD'!AY55="","",'M3 Allocations - TD'!AY55)</f>
        <v>7679.01</v>
      </c>
      <c r="AN31" s="63">
        <f>IF(+'M3 Allocations - TD'!AZ55="","",'M3 Allocations - TD'!AZ55)</f>
        <v>21723.21</v>
      </c>
      <c r="AO31" s="63">
        <f>IF(+'M3 Allocations - TD'!BA55="","",'M3 Allocations - TD'!BA55)</f>
        <v>21854.95</v>
      </c>
      <c r="AP31" s="63">
        <f>IF(+'M3 Allocations - TD'!BB55="","",'M3 Allocations - TD'!BB55)</f>
        <v>22860.41</v>
      </c>
      <c r="AQ31" s="63">
        <f>IF(+'M3 Allocations - TD'!BC55="","",'M3 Allocations - TD'!BC55)</f>
        <v>27496.560000000001</v>
      </c>
      <c r="AR31" s="63">
        <f>IF(+'M3 Allocations - TD'!BD55="","",'M3 Allocations - TD'!BD55)</f>
        <v>25753.58</v>
      </c>
      <c r="AS31" s="63">
        <f>IF(+'M3 Allocations - TD'!BE55="","",'M3 Allocations - TD'!BE55)</f>
        <v>29526.94</v>
      </c>
      <c r="AT31" s="63">
        <f>IF(+'M3 Allocations - TD'!BF55="","",'M3 Allocations - TD'!BF55)</f>
        <v>32202.720000000001</v>
      </c>
      <c r="AU31" s="63">
        <f>IF(+'M3 Allocations - TD'!BG55="","",'M3 Allocations - TD'!BG55)</f>
        <v>32474.48</v>
      </c>
      <c r="AV31" s="63">
        <f>IF(+'M3 Allocations - TD'!BH55="","",'M3 Allocations - TD'!BH55)</f>
        <v>28952.26</v>
      </c>
      <c r="AW31" s="63">
        <f>IF(+'M3 Allocations - TD'!BI55="","",'M3 Allocations - TD'!BI55)</f>
        <v>32597.200000000001</v>
      </c>
      <c r="AX31" s="63">
        <f>IF(+'M3 Allocations - TD'!BJ55="","",'M3 Allocations - TD'!BJ55)</f>
        <v>28562.54</v>
      </c>
      <c r="AY31" s="63">
        <f>IF(+'M3 Allocations - TD'!BK55="","",'M3 Allocations - TD'!BK55)</f>
        <v>20444.849999999999</v>
      </c>
      <c r="AZ31" s="63">
        <f>IF(+'M3 Allocations - TD'!BL55="","",'M3 Allocations - TD'!BL55)</f>
        <v>14661.1</v>
      </c>
      <c r="BA31" s="63">
        <f>IF(+'M3 Allocations - TD'!BM55="","",'M3 Allocations - TD'!BM55)</f>
        <v>14188.33</v>
      </c>
      <c r="BB31" s="63">
        <f>IF(+'M3 Allocations - TD'!BN55="","",'M3 Allocations - TD'!BN55)</f>
        <v>17263.419999999998</v>
      </c>
      <c r="BC31" s="63">
        <f>IF(+'M3 Allocations - TD'!BO55="","",'M3 Allocations - TD'!BO55)</f>
        <v>17504.25</v>
      </c>
      <c r="BD31" s="63">
        <f>IF(+'M3 Allocations - TD'!BP55="","",'M3 Allocations - TD'!BP55)</f>
        <v>20201.560000000001</v>
      </c>
      <c r="BE31" s="63">
        <f>IF(+'M3 Allocations - TD'!BQ55="","",'M3 Allocations - TD'!BQ55)</f>
        <v>19905.560000000001</v>
      </c>
      <c r="BF31" s="63">
        <f>IF(+'M3 Allocations - TD'!BR55="","",'M3 Allocations - TD'!BR55)</f>
        <v>17391.68</v>
      </c>
      <c r="BG31" s="63">
        <f>IF(+'M3 Allocations - TD'!BS55="","",'M3 Allocations - TD'!BS55)</f>
        <v>17371.310000000001</v>
      </c>
      <c r="BH31" s="63">
        <f>IF(+'M3 Allocations - TD'!BT55="","",'M3 Allocations - TD'!BT55)</f>
        <v>16810.834836388542</v>
      </c>
      <c r="BI31" s="63">
        <f>IF(+'M3 Allocations - TD'!BU55="","",'M3 Allocations - TD'!BU55)</f>
        <v>16621.425025293112</v>
      </c>
      <c r="BJ31" s="63">
        <f>IF(+'M3 Allocations - TD'!BV55="","",'M3 Allocations - TD'!BV55)</f>
        <v>16558.441077042335</v>
      </c>
    </row>
    <row r="32" spans="1:62" x14ac:dyDescent="0.25">
      <c r="A32" s="306"/>
      <c r="B32" s="73" t="s">
        <v>55</v>
      </c>
      <c r="C32" s="119">
        <v>2.6814564034692313E-4</v>
      </c>
      <c r="D32" s="90">
        <f t="shared" ref="D32:BJ33" si="349">IF(D31="","",C32)</f>
        <v>2.6814564034692313E-4</v>
      </c>
      <c r="E32" s="90">
        <f t="shared" si="349"/>
        <v>2.6814564034692313E-4</v>
      </c>
      <c r="F32" s="90">
        <f t="shared" si="349"/>
        <v>2.6814564034692313E-4</v>
      </c>
      <c r="G32" s="90">
        <f t="shared" si="349"/>
        <v>2.6814564034692313E-4</v>
      </c>
      <c r="H32" s="90">
        <f t="shared" si="349"/>
        <v>2.6814564034692313E-4</v>
      </c>
      <c r="I32" s="90">
        <f t="shared" si="349"/>
        <v>2.6814564034692313E-4</v>
      </c>
      <c r="J32" s="90">
        <f t="shared" si="349"/>
        <v>2.6814564034692313E-4</v>
      </c>
      <c r="K32" s="90">
        <f t="shared" si="349"/>
        <v>2.6814564034692313E-4</v>
      </c>
      <c r="L32" s="90">
        <f t="shared" si="349"/>
        <v>2.6814564034692313E-4</v>
      </c>
      <c r="M32" s="90">
        <f t="shared" si="349"/>
        <v>2.6814564034692313E-4</v>
      </c>
      <c r="N32" s="90">
        <f t="shared" si="349"/>
        <v>2.6814564034692313E-4</v>
      </c>
      <c r="O32" s="120">
        <v>5.2795056041353157E-4</v>
      </c>
      <c r="P32" s="90">
        <f t="shared" si="349"/>
        <v>5.2795056041353157E-4</v>
      </c>
      <c r="Q32" s="90">
        <f t="shared" si="349"/>
        <v>5.2795056041353157E-4</v>
      </c>
      <c r="R32" s="90">
        <f t="shared" si="349"/>
        <v>5.2795056041353157E-4</v>
      </c>
      <c r="S32" s="90">
        <f t="shared" si="349"/>
        <v>5.2795056041353157E-4</v>
      </c>
      <c r="T32" s="90">
        <f t="shared" si="349"/>
        <v>5.2795056041353157E-4</v>
      </c>
      <c r="U32" s="90">
        <f t="shared" si="349"/>
        <v>5.2795056041353157E-4</v>
      </c>
      <c r="V32" s="90">
        <f t="shared" si="349"/>
        <v>5.2795056041353157E-4</v>
      </c>
      <c r="W32" s="90">
        <f t="shared" si="349"/>
        <v>5.2795056041353157E-4</v>
      </c>
      <c r="X32" s="90">
        <f t="shared" si="349"/>
        <v>5.2795056041353157E-4</v>
      </c>
      <c r="Y32" s="90">
        <f t="shared" si="349"/>
        <v>5.2795056041353157E-4</v>
      </c>
      <c r="Z32" s="90">
        <f t="shared" si="349"/>
        <v>5.2795056041353157E-4</v>
      </c>
      <c r="AA32" s="120">
        <v>2.1982208585506456E-4</v>
      </c>
      <c r="AB32" s="90">
        <f t="shared" si="349"/>
        <v>2.1982208585506456E-4</v>
      </c>
      <c r="AC32" s="90">
        <f t="shared" si="349"/>
        <v>2.1982208585506456E-4</v>
      </c>
      <c r="AD32" s="90">
        <f t="shared" si="349"/>
        <v>2.1982208585506456E-4</v>
      </c>
      <c r="AE32" s="90">
        <f t="shared" si="349"/>
        <v>2.1982208585506456E-4</v>
      </c>
      <c r="AF32" s="90">
        <f t="shared" si="349"/>
        <v>2.1982208585506456E-4</v>
      </c>
      <c r="AG32" s="90">
        <f t="shared" si="349"/>
        <v>2.1982208585506456E-4</v>
      </c>
      <c r="AH32" s="90">
        <f t="shared" si="349"/>
        <v>2.1982208585506456E-4</v>
      </c>
      <c r="AI32" s="90">
        <f t="shared" si="349"/>
        <v>2.1982208585506456E-4</v>
      </c>
      <c r="AJ32" s="90">
        <f t="shared" si="349"/>
        <v>2.1982208585506456E-4</v>
      </c>
      <c r="AK32" s="90">
        <f t="shared" si="349"/>
        <v>2.1982208585506456E-4</v>
      </c>
      <c r="AL32" s="90">
        <f t="shared" si="349"/>
        <v>2.1982208585506456E-4</v>
      </c>
      <c r="AM32" s="120">
        <v>3.849686811407282E-4</v>
      </c>
      <c r="AN32" s="90">
        <f t="shared" si="349"/>
        <v>3.849686811407282E-4</v>
      </c>
      <c r="AO32" s="90">
        <f t="shared" si="349"/>
        <v>3.849686811407282E-4</v>
      </c>
      <c r="AP32" s="90">
        <f t="shared" si="349"/>
        <v>3.849686811407282E-4</v>
      </c>
      <c r="AQ32" s="90">
        <f t="shared" si="349"/>
        <v>3.849686811407282E-4</v>
      </c>
      <c r="AR32" s="90">
        <f t="shared" si="349"/>
        <v>3.849686811407282E-4</v>
      </c>
      <c r="AS32" s="90">
        <f t="shared" si="349"/>
        <v>3.849686811407282E-4</v>
      </c>
      <c r="AT32" s="90">
        <f t="shared" si="349"/>
        <v>3.849686811407282E-4</v>
      </c>
      <c r="AU32" s="90">
        <f t="shared" si="349"/>
        <v>3.849686811407282E-4</v>
      </c>
      <c r="AV32" s="90">
        <f t="shared" si="349"/>
        <v>3.849686811407282E-4</v>
      </c>
      <c r="AW32" s="90">
        <f t="shared" si="349"/>
        <v>3.849686811407282E-4</v>
      </c>
      <c r="AX32" s="90">
        <f t="shared" si="349"/>
        <v>3.849686811407282E-4</v>
      </c>
      <c r="AY32" s="120">
        <f>0.000337043112509332+0</f>
        <v>3.3704311250933202E-4</v>
      </c>
      <c r="AZ32" s="90">
        <f t="shared" si="349"/>
        <v>3.3704311250933202E-4</v>
      </c>
      <c r="BA32" s="90">
        <f t="shared" si="349"/>
        <v>3.3704311250933202E-4</v>
      </c>
      <c r="BB32" s="90">
        <f t="shared" si="349"/>
        <v>3.3704311250933202E-4</v>
      </c>
      <c r="BC32" s="90">
        <f t="shared" si="349"/>
        <v>3.3704311250933202E-4</v>
      </c>
      <c r="BD32" s="90">
        <f t="shared" si="349"/>
        <v>3.3704311250933202E-4</v>
      </c>
      <c r="BE32" s="90">
        <f t="shared" si="349"/>
        <v>3.3704311250933202E-4</v>
      </c>
      <c r="BF32" s="90">
        <f t="shared" si="349"/>
        <v>3.3704311250933202E-4</v>
      </c>
      <c r="BG32" s="90">
        <f t="shared" si="349"/>
        <v>3.3704311250933202E-4</v>
      </c>
      <c r="BH32" s="90">
        <f t="shared" si="349"/>
        <v>3.3704311250933202E-4</v>
      </c>
      <c r="BI32" s="90">
        <f t="shared" si="349"/>
        <v>3.3704311250933202E-4</v>
      </c>
      <c r="BJ32" s="90">
        <f t="shared" si="349"/>
        <v>3.3704311250933202E-4</v>
      </c>
    </row>
    <row r="33" spans="1:62" x14ac:dyDescent="0.25">
      <c r="A33" s="306"/>
      <c r="B33" s="73" t="s">
        <v>54</v>
      </c>
      <c r="C33" s="120">
        <v>-3.0856536516336082E-5</v>
      </c>
      <c r="D33" s="90">
        <f t="shared" si="349"/>
        <v>-3.0856536516336082E-5</v>
      </c>
      <c r="E33" s="90">
        <f t="shared" si="349"/>
        <v>-3.0856536516336082E-5</v>
      </c>
      <c r="F33" s="90">
        <f t="shared" si="349"/>
        <v>-3.0856536516336082E-5</v>
      </c>
      <c r="G33" s="90">
        <f t="shared" si="349"/>
        <v>-3.0856536516336082E-5</v>
      </c>
      <c r="H33" s="90">
        <f t="shared" si="349"/>
        <v>-3.0856536516336082E-5</v>
      </c>
      <c r="I33" s="90">
        <f t="shared" si="349"/>
        <v>-3.0856536516336082E-5</v>
      </c>
      <c r="J33" s="90">
        <f t="shared" si="349"/>
        <v>-3.0856536516336082E-5</v>
      </c>
      <c r="K33" s="90">
        <f t="shared" si="349"/>
        <v>-3.0856536516336082E-5</v>
      </c>
      <c r="L33" s="90">
        <f t="shared" si="349"/>
        <v>-3.0856536516336082E-5</v>
      </c>
      <c r="M33" s="90">
        <f t="shared" si="349"/>
        <v>-3.0856536516336082E-5</v>
      </c>
      <c r="N33" s="90">
        <f t="shared" si="349"/>
        <v>-3.0856536516336082E-5</v>
      </c>
      <c r="O33" s="120">
        <v>-5.3003111271666544E-5</v>
      </c>
      <c r="P33" s="90">
        <f t="shared" si="349"/>
        <v>-5.3003111271666544E-5</v>
      </c>
      <c r="Q33" s="90">
        <f t="shared" si="349"/>
        <v>-5.3003111271666544E-5</v>
      </c>
      <c r="R33" s="90">
        <f t="shared" si="349"/>
        <v>-5.3003111271666544E-5</v>
      </c>
      <c r="S33" s="90">
        <f t="shared" si="349"/>
        <v>-5.3003111271666544E-5</v>
      </c>
      <c r="T33" s="90">
        <f t="shared" si="349"/>
        <v>-5.3003111271666544E-5</v>
      </c>
      <c r="U33" s="90">
        <f t="shared" si="349"/>
        <v>-5.3003111271666544E-5</v>
      </c>
      <c r="V33" s="90">
        <f t="shared" si="349"/>
        <v>-5.3003111271666544E-5</v>
      </c>
      <c r="W33" s="90">
        <f t="shared" si="349"/>
        <v>-5.3003111271666544E-5</v>
      </c>
      <c r="X33" s="90">
        <f t="shared" si="349"/>
        <v>-5.3003111271666544E-5</v>
      </c>
      <c r="Y33" s="90">
        <f t="shared" si="349"/>
        <v>-5.3003111271666544E-5</v>
      </c>
      <c r="Z33" s="90">
        <f t="shared" si="349"/>
        <v>-5.3003111271666544E-5</v>
      </c>
      <c r="AA33" s="120">
        <v>-1.488660565499755E-4</v>
      </c>
      <c r="AB33" s="90">
        <f t="shared" si="349"/>
        <v>-1.488660565499755E-4</v>
      </c>
      <c r="AC33" s="90">
        <f t="shared" si="349"/>
        <v>-1.488660565499755E-4</v>
      </c>
      <c r="AD33" s="90">
        <f t="shared" si="349"/>
        <v>-1.488660565499755E-4</v>
      </c>
      <c r="AE33" s="90">
        <f t="shared" si="349"/>
        <v>-1.488660565499755E-4</v>
      </c>
      <c r="AF33" s="90">
        <f t="shared" si="349"/>
        <v>-1.488660565499755E-4</v>
      </c>
      <c r="AG33" s="90">
        <f t="shared" si="349"/>
        <v>-1.488660565499755E-4</v>
      </c>
      <c r="AH33" s="90">
        <f t="shared" si="349"/>
        <v>-1.488660565499755E-4</v>
      </c>
      <c r="AI33" s="90">
        <f t="shared" si="349"/>
        <v>-1.488660565499755E-4</v>
      </c>
      <c r="AJ33" s="90">
        <f t="shared" si="349"/>
        <v>-1.488660565499755E-4</v>
      </c>
      <c r="AK33" s="90">
        <f t="shared" si="349"/>
        <v>-1.488660565499755E-4</v>
      </c>
      <c r="AL33" s="90">
        <f t="shared" si="349"/>
        <v>-1.488660565499755E-4</v>
      </c>
      <c r="AM33" s="120">
        <v>-4.6945712688070091E-5</v>
      </c>
      <c r="AN33" s="90">
        <f t="shared" si="349"/>
        <v>-4.6945712688070091E-5</v>
      </c>
      <c r="AO33" s="90">
        <f t="shared" si="349"/>
        <v>-4.6945712688070091E-5</v>
      </c>
      <c r="AP33" s="90">
        <f t="shared" si="349"/>
        <v>-4.6945712688070091E-5</v>
      </c>
      <c r="AQ33" s="90">
        <f t="shared" si="349"/>
        <v>-4.6945712688070091E-5</v>
      </c>
      <c r="AR33" s="90">
        <f t="shared" si="349"/>
        <v>-4.6945712688070091E-5</v>
      </c>
      <c r="AS33" s="90">
        <f t="shared" si="349"/>
        <v>-4.6945712688070091E-5</v>
      </c>
      <c r="AT33" s="90">
        <f t="shared" si="349"/>
        <v>-4.6945712688070091E-5</v>
      </c>
      <c r="AU33" s="90">
        <f t="shared" si="349"/>
        <v>-4.6945712688070091E-5</v>
      </c>
      <c r="AV33" s="90">
        <f t="shared" si="349"/>
        <v>-4.6945712688070091E-5</v>
      </c>
      <c r="AW33" s="90">
        <f t="shared" si="349"/>
        <v>-4.6945712688070091E-5</v>
      </c>
      <c r="AX33" s="90">
        <f t="shared" si="349"/>
        <v>-4.6945712688070091E-5</v>
      </c>
      <c r="AY33" s="120">
        <f>-0.0000901106048026424+1.49484145884353E-06</f>
        <v>-8.8615763343798874E-5</v>
      </c>
      <c r="AZ33" s="90">
        <f t="shared" si="349"/>
        <v>-8.8615763343798874E-5</v>
      </c>
      <c r="BA33" s="90">
        <f t="shared" si="349"/>
        <v>-8.8615763343798874E-5</v>
      </c>
      <c r="BB33" s="90">
        <f t="shared" si="349"/>
        <v>-8.8615763343798874E-5</v>
      </c>
      <c r="BC33" s="90">
        <f t="shared" si="349"/>
        <v>-8.8615763343798874E-5</v>
      </c>
      <c r="BD33" s="90">
        <f t="shared" si="349"/>
        <v>-8.8615763343798874E-5</v>
      </c>
      <c r="BE33" s="90">
        <f t="shared" si="349"/>
        <v>-8.8615763343798874E-5</v>
      </c>
      <c r="BF33" s="90">
        <f t="shared" si="349"/>
        <v>-8.8615763343798874E-5</v>
      </c>
      <c r="BG33" s="90">
        <f t="shared" si="349"/>
        <v>-8.8615763343798874E-5</v>
      </c>
      <c r="BH33" s="90">
        <f t="shared" si="349"/>
        <v>-8.8615763343798874E-5</v>
      </c>
      <c r="BI33" s="90">
        <f t="shared" si="349"/>
        <v>-8.8615763343798874E-5</v>
      </c>
      <c r="BJ33" s="90">
        <f t="shared" si="349"/>
        <v>-8.8615763343798874E-5</v>
      </c>
    </row>
    <row r="34" spans="1:62" x14ac:dyDescent="0.25">
      <c r="A34" s="306"/>
      <c r="B34" s="73" t="s">
        <v>63</v>
      </c>
      <c r="C34" s="62">
        <f t="shared" ref="C34:D34" si="350">IF(C31="","",SUM(C32:C33))</f>
        <v>2.3728910383058704E-4</v>
      </c>
      <c r="D34" s="62">
        <f t="shared" si="350"/>
        <v>2.3728910383058704E-4</v>
      </c>
      <c r="E34" s="62">
        <f t="shared" ref="E34:F34" si="351">IF(E31="","",SUM(E32:E33))</f>
        <v>2.3728910383058704E-4</v>
      </c>
      <c r="F34" s="62">
        <f t="shared" si="351"/>
        <v>2.3728910383058704E-4</v>
      </c>
      <c r="G34" s="62">
        <f t="shared" ref="G34:H34" si="352">IF(G31="","",SUM(G32:G33))</f>
        <v>2.3728910383058704E-4</v>
      </c>
      <c r="H34" s="62">
        <f t="shared" si="352"/>
        <v>2.3728910383058704E-4</v>
      </c>
      <c r="I34" s="62">
        <f t="shared" ref="I34:J34" si="353">IF(I31="","",SUM(I32:I33))</f>
        <v>2.3728910383058704E-4</v>
      </c>
      <c r="J34" s="62">
        <f t="shared" si="353"/>
        <v>2.3728910383058704E-4</v>
      </c>
      <c r="K34" s="62">
        <f t="shared" ref="K34:L34" si="354">IF(K31="","",SUM(K32:K33))</f>
        <v>2.3728910383058704E-4</v>
      </c>
      <c r="L34" s="62">
        <f t="shared" si="354"/>
        <v>2.3728910383058704E-4</v>
      </c>
      <c r="M34" s="62">
        <f t="shared" ref="M34:N34" si="355">IF(M31="","",SUM(M32:M33))</f>
        <v>2.3728910383058704E-4</v>
      </c>
      <c r="N34" s="62">
        <f t="shared" si="355"/>
        <v>2.3728910383058704E-4</v>
      </c>
      <c r="O34" s="62">
        <f t="shared" ref="O34:P34" si="356">IF(O31="","",SUM(O32:O33))</f>
        <v>4.7494744914186501E-4</v>
      </c>
      <c r="P34" s="62">
        <f t="shared" si="356"/>
        <v>4.7494744914186501E-4</v>
      </c>
      <c r="Q34" s="62">
        <f t="shared" ref="Q34:R34" si="357">IF(Q31="","",SUM(Q32:Q33))</f>
        <v>4.7494744914186501E-4</v>
      </c>
      <c r="R34" s="62">
        <f t="shared" si="357"/>
        <v>4.7494744914186501E-4</v>
      </c>
      <c r="S34" s="62">
        <f t="shared" ref="S34:T34" si="358">IF(S31="","",SUM(S32:S33))</f>
        <v>4.7494744914186501E-4</v>
      </c>
      <c r="T34" s="62">
        <f t="shared" si="358"/>
        <v>4.7494744914186501E-4</v>
      </c>
      <c r="U34" s="62">
        <f t="shared" ref="U34:V34" si="359">IF(U31="","",SUM(U32:U33))</f>
        <v>4.7494744914186501E-4</v>
      </c>
      <c r="V34" s="62">
        <f t="shared" si="359"/>
        <v>4.7494744914186501E-4</v>
      </c>
      <c r="W34" s="62">
        <f t="shared" ref="W34:X34" si="360">IF(W31="","",SUM(W32:W33))</f>
        <v>4.7494744914186501E-4</v>
      </c>
      <c r="X34" s="62">
        <f t="shared" si="360"/>
        <v>4.7494744914186501E-4</v>
      </c>
      <c r="Y34" s="62">
        <f t="shared" ref="Y34:Z34" si="361">IF(Y31="","",SUM(Y32:Y33))</f>
        <v>4.7494744914186501E-4</v>
      </c>
      <c r="Z34" s="62">
        <f t="shared" si="361"/>
        <v>4.7494744914186501E-4</v>
      </c>
      <c r="AA34" s="62">
        <f t="shared" ref="AA34:AB34" si="362">IF(AA31="","",SUM(AA32:AA33))</f>
        <v>7.0956029305089066E-5</v>
      </c>
      <c r="AB34" s="62">
        <f t="shared" si="362"/>
        <v>7.0956029305089066E-5</v>
      </c>
      <c r="AC34" s="62">
        <f t="shared" ref="AC34:AD34" si="363">IF(AC31="","",SUM(AC32:AC33))</f>
        <v>7.0956029305089066E-5</v>
      </c>
      <c r="AD34" s="62">
        <f t="shared" si="363"/>
        <v>7.0956029305089066E-5</v>
      </c>
      <c r="AE34" s="62">
        <f t="shared" ref="AE34:AF34" si="364">IF(AE31="","",SUM(AE32:AE33))</f>
        <v>7.0956029305089066E-5</v>
      </c>
      <c r="AF34" s="62">
        <f t="shared" si="364"/>
        <v>7.0956029305089066E-5</v>
      </c>
      <c r="AG34" s="62">
        <f t="shared" ref="AG34:AH34" si="365">IF(AG31="","",SUM(AG32:AG33))</f>
        <v>7.0956029305089066E-5</v>
      </c>
      <c r="AH34" s="62">
        <f t="shared" si="365"/>
        <v>7.0956029305089066E-5</v>
      </c>
      <c r="AI34" s="62">
        <f t="shared" ref="AI34:AJ34" si="366">IF(AI31="","",SUM(AI32:AI33))</f>
        <v>7.0956029305089066E-5</v>
      </c>
      <c r="AJ34" s="62">
        <f t="shared" si="366"/>
        <v>7.0956029305089066E-5</v>
      </c>
      <c r="AK34" s="62">
        <f t="shared" ref="AK34:AL34" si="367">IF(AK31="","",SUM(AK32:AK33))</f>
        <v>7.0956029305089066E-5</v>
      </c>
      <c r="AL34" s="62">
        <f t="shared" si="367"/>
        <v>7.0956029305089066E-5</v>
      </c>
      <c r="AM34" s="62">
        <f t="shared" ref="AM34:AN34" si="368">IF(AM31="","",SUM(AM32:AM33))</f>
        <v>3.3802296845265813E-4</v>
      </c>
      <c r="AN34" s="62">
        <f t="shared" si="368"/>
        <v>3.3802296845265813E-4</v>
      </c>
      <c r="AO34" s="62">
        <f t="shared" ref="AO34:AP34" si="369">IF(AO31="","",SUM(AO32:AO33))</f>
        <v>3.3802296845265813E-4</v>
      </c>
      <c r="AP34" s="62">
        <f t="shared" si="369"/>
        <v>3.3802296845265813E-4</v>
      </c>
      <c r="AQ34" s="62">
        <f t="shared" ref="AQ34:AR34" si="370">IF(AQ31="","",SUM(AQ32:AQ33))</f>
        <v>3.3802296845265813E-4</v>
      </c>
      <c r="AR34" s="62">
        <f t="shared" si="370"/>
        <v>3.3802296845265813E-4</v>
      </c>
      <c r="AS34" s="62">
        <f t="shared" ref="AS34:AT34" si="371">IF(AS31="","",SUM(AS32:AS33))</f>
        <v>3.3802296845265813E-4</v>
      </c>
      <c r="AT34" s="62">
        <f t="shared" si="371"/>
        <v>3.3802296845265813E-4</v>
      </c>
      <c r="AU34" s="62">
        <f t="shared" ref="AU34:AV34" si="372">IF(AU31="","",SUM(AU32:AU33))</f>
        <v>3.3802296845265813E-4</v>
      </c>
      <c r="AV34" s="62">
        <f t="shared" si="372"/>
        <v>3.3802296845265813E-4</v>
      </c>
      <c r="AW34" s="62">
        <f t="shared" ref="AW34:AX34" si="373">IF(AW31="","",SUM(AW32:AW33))</f>
        <v>3.3802296845265813E-4</v>
      </c>
      <c r="AX34" s="62">
        <f t="shared" si="373"/>
        <v>3.3802296845265813E-4</v>
      </c>
      <c r="AY34" s="62">
        <f t="shared" ref="AY34:AZ34" si="374">IF(AY31="","",SUM(AY32:AY33))</f>
        <v>2.4842734916553314E-4</v>
      </c>
      <c r="AZ34" s="62">
        <f t="shared" si="374"/>
        <v>2.4842734916553314E-4</v>
      </c>
      <c r="BA34" s="62">
        <f t="shared" ref="BA34:BB34" si="375">IF(BA31="","",SUM(BA32:BA33))</f>
        <v>2.4842734916553314E-4</v>
      </c>
      <c r="BB34" s="62">
        <f t="shared" si="375"/>
        <v>2.4842734916553314E-4</v>
      </c>
      <c r="BC34" s="62">
        <f t="shared" ref="BC34:BD34" si="376">IF(BC31="","",SUM(BC32:BC33))</f>
        <v>2.4842734916553314E-4</v>
      </c>
      <c r="BD34" s="62">
        <f t="shared" si="376"/>
        <v>2.4842734916553314E-4</v>
      </c>
      <c r="BE34" s="62">
        <f t="shared" ref="BE34:BF34" si="377">IF(BE31="","",SUM(BE32:BE33))</f>
        <v>2.4842734916553314E-4</v>
      </c>
      <c r="BF34" s="62">
        <f t="shared" si="377"/>
        <v>2.4842734916553314E-4</v>
      </c>
      <c r="BG34" s="62">
        <f t="shared" ref="BG34:BH34" si="378">IF(BG31="","",SUM(BG32:BG33))</f>
        <v>2.4842734916553314E-4</v>
      </c>
      <c r="BH34" s="62">
        <f t="shared" si="378"/>
        <v>2.4842734916553314E-4</v>
      </c>
      <c r="BI34" s="62">
        <f t="shared" ref="BI34:BJ34" si="379">IF(BI31="","",SUM(BI32:BI33))</f>
        <v>2.4842734916553314E-4</v>
      </c>
      <c r="BJ34" s="62">
        <f t="shared" si="379"/>
        <v>2.4842734916553314E-4</v>
      </c>
    </row>
    <row r="35" spans="1:62" x14ac:dyDescent="0.25">
      <c r="A35" s="306"/>
      <c r="B35" s="73" t="s">
        <v>56</v>
      </c>
      <c r="C35" s="66">
        <f t="shared" ref="C35:D35" si="380">IF(C31="","",IFERROR(C33/C34,""))</f>
        <v>-0.13003773042341699</v>
      </c>
      <c r="D35" s="66">
        <f t="shared" si="380"/>
        <v>-0.13003773042341699</v>
      </c>
      <c r="E35" s="66">
        <f t="shared" ref="E35:F35" si="381">IF(E31="","",IFERROR(E33/E34,""))</f>
        <v>-0.13003773042341699</v>
      </c>
      <c r="F35" s="66">
        <f t="shared" si="381"/>
        <v>-0.13003773042341699</v>
      </c>
      <c r="G35" s="66">
        <f t="shared" ref="G35:H35" si="382">IF(G31="","",IFERROR(G33/G34,""))</f>
        <v>-0.13003773042341699</v>
      </c>
      <c r="H35" s="66">
        <f t="shared" si="382"/>
        <v>-0.13003773042341699</v>
      </c>
      <c r="I35" s="66">
        <f t="shared" ref="I35:J35" si="383">IF(I31="","",IFERROR(I33/I34,""))</f>
        <v>-0.13003773042341699</v>
      </c>
      <c r="J35" s="66">
        <f t="shared" si="383"/>
        <v>-0.13003773042341699</v>
      </c>
      <c r="K35" s="66">
        <f t="shared" ref="K35:L35" si="384">IF(K31="","",IFERROR(K33/K34,""))</f>
        <v>-0.13003773042341699</v>
      </c>
      <c r="L35" s="66">
        <f t="shared" si="384"/>
        <v>-0.13003773042341699</v>
      </c>
      <c r="M35" s="66">
        <f t="shared" ref="M35:N35" si="385">IF(M31="","",IFERROR(M33/M34,""))</f>
        <v>-0.13003773042341699</v>
      </c>
      <c r="N35" s="66">
        <f t="shared" si="385"/>
        <v>-0.13003773042341699</v>
      </c>
      <c r="O35" s="66">
        <f t="shared" ref="O35:P35" si="386">IF(O31="","",IFERROR(O33/O34,""))</f>
        <v>-0.11159784386132099</v>
      </c>
      <c r="P35" s="66">
        <f t="shared" si="386"/>
        <v>-0.11159784386132099</v>
      </c>
      <c r="Q35" s="66">
        <f t="shared" ref="Q35:R35" si="387">IF(Q31="","",IFERROR(Q33/Q34,""))</f>
        <v>-0.11159784386132099</v>
      </c>
      <c r="R35" s="66">
        <f t="shared" si="387"/>
        <v>-0.11159784386132099</v>
      </c>
      <c r="S35" s="66">
        <f t="shared" ref="S35:T35" si="388">IF(S31="","",IFERROR(S33/S34,""))</f>
        <v>-0.11159784386132099</v>
      </c>
      <c r="T35" s="66">
        <f t="shared" si="388"/>
        <v>-0.11159784386132099</v>
      </c>
      <c r="U35" s="66">
        <f t="shared" ref="U35:V35" si="389">IF(U31="","",IFERROR(U33/U34,""))</f>
        <v>-0.11159784386132099</v>
      </c>
      <c r="V35" s="66">
        <f t="shared" si="389"/>
        <v>-0.11159784386132099</v>
      </c>
      <c r="W35" s="66">
        <f t="shared" ref="W35:X35" si="390">IF(W31="","",IFERROR(W33/W34,""))</f>
        <v>-0.11159784386132099</v>
      </c>
      <c r="X35" s="66">
        <f t="shared" si="390"/>
        <v>-0.11159784386132099</v>
      </c>
      <c r="Y35" s="66">
        <f t="shared" ref="Y35:Z35" si="391">IF(Y31="","",IFERROR(Y33/Y34,""))</f>
        <v>-0.11159784386132099</v>
      </c>
      <c r="Z35" s="66">
        <f t="shared" si="391"/>
        <v>-0.11159784386132099</v>
      </c>
      <c r="AA35" s="66">
        <f t="shared" ref="AA35:AB35" si="392">IF(AA31="","",IFERROR(AA33/AA34,""))</f>
        <v>-2.098004327580075</v>
      </c>
      <c r="AB35" s="66">
        <f t="shared" si="392"/>
        <v>-2.098004327580075</v>
      </c>
      <c r="AC35" s="66">
        <f t="shared" ref="AC35:AD35" si="393">IF(AC31="","",IFERROR(AC33/AC34,""))</f>
        <v>-2.098004327580075</v>
      </c>
      <c r="AD35" s="66">
        <f t="shared" si="393"/>
        <v>-2.098004327580075</v>
      </c>
      <c r="AE35" s="66">
        <f t="shared" ref="AE35:AF35" si="394">IF(AE31="","",IFERROR(AE33/AE34,""))</f>
        <v>-2.098004327580075</v>
      </c>
      <c r="AF35" s="66">
        <f t="shared" si="394"/>
        <v>-2.098004327580075</v>
      </c>
      <c r="AG35" s="66">
        <f t="shared" ref="AG35:AH35" si="395">IF(AG31="","",IFERROR(AG33/AG34,""))</f>
        <v>-2.098004327580075</v>
      </c>
      <c r="AH35" s="66">
        <f t="shared" si="395"/>
        <v>-2.098004327580075</v>
      </c>
      <c r="AI35" s="66">
        <f t="shared" ref="AI35:AJ35" si="396">IF(AI31="","",IFERROR(AI33/AI34,""))</f>
        <v>-2.098004327580075</v>
      </c>
      <c r="AJ35" s="66">
        <f t="shared" si="396"/>
        <v>-2.098004327580075</v>
      </c>
      <c r="AK35" s="66">
        <f t="shared" ref="AK35:AL35" si="397">IF(AK31="","",IFERROR(AK33/AK34,""))</f>
        <v>-2.098004327580075</v>
      </c>
      <c r="AL35" s="66">
        <f t="shared" si="397"/>
        <v>-2.098004327580075</v>
      </c>
      <c r="AM35" s="66">
        <f t="shared" ref="AM35:AN35" si="398">IF(AM31="","",IFERROR(AM33/AM34,""))</f>
        <v>-0.13888320341948918</v>
      </c>
      <c r="AN35" s="66">
        <f t="shared" si="398"/>
        <v>-0.13888320341948918</v>
      </c>
      <c r="AO35" s="66">
        <f t="shared" ref="AO35:AP35" si="399">IF(AO31="","",IFERROR(AO33/AO34,""))</f>
        <v>-0.13888320341948918</v>
      </c>
      <c r="AP35" s="66">
        <f t="shared" si="399"/>
        <v>-0.13888320341948918</v>
      </c>
      <c r="AQ35" s="66">
        <f t="shared" ref="AQ35:AR35" si="400">IF(AQ31="","",IFERROR(AQ33/AQ34,""))</f>
        <v>-0.13888320341948918</v>
      </c>
      <c r="AR35" s="66">
        <f t="shared" si="400"/>
        <v>-0.13888320341948918</v>
      </c>
      <c r="AS35" s="66">
        <f t="shared" ref="AS35:AT35" si="401">IF(AS31="","",IFERROR(AS33/AS34,""))</f>
        <v>-0.13888320341948918</v>
      </c>
      <c r="AT35" s="66">
        <f t="shared" si="401"/>
        <v>-0.13888320341948918</v>
      </c>
      <c r="AU35" s="66">
        <f t="shared" ref="AU35:AV35" si="402">IF(AU31="","",IFERROR(AU33/AU34,""))</f>
        <v>-0.13888320341948918</v>
      </c>
      <c r="AV35" s="66">
        <f t="shared" si="402"/>
        <v>-0.13888320341948918</v>
      </c>
      <c r="AW35" s="66">
        <f t="shared" ref="AW35:AX35" si="403">IF(AW31="","",IFERROR(AW33/AW34,""))</f>
        <v>-0.13888320341948918</v>
      </c>
      <c r="AX35" s="66">
        <f t="shared" si="403"/>
        <v>-0.13888320341948918</v>
      </c>
      <c r="AY35" s="66">
        <f t="shared" ref="AY35:AZ35" si="404">IF(AY31="","",IFERROR(AY33/AY34,""))</f>
        <v>-0.35670695533909214</v>
      </c>
      <c r="AZ35" s="66">
        <f t="shared" si="404"/>
        <v>-0.35670695533909214</v>
      </c>
      <c r="BA35" s="66">
        <f t="shared" ref="BA35:BB35" si="405">IF(BA31="","",IFERROR(BA33/BA34,""))</f>
        <v>-0.35670695533909214</v>
      </c>
      <c r="BB35" s="66">
        <f t="shared" si="405"/>
        <v>-0.35670695533909214</v>
      </c>
      <c r="BC35" s="66">
        <f t="shared" ref="BC35:BD35" si="406">IF(BC31="","",IFERROR(BC33/BC34,""))</f>
        <v>-0.35670695533909214</v>
      </c>
      <c r="BD35" s="66">
        <f t="shared" si="406"/>
        <v>-0.35670695533909214</v>
      </c>
      <c r="BE35" s="66">
        <f t="shared" ref="BE35:BF35" si="407">IF(BE31="","",IFERROR(BE33/BE34,""))</f>
        <v>-0.35670695533909214</v>
      </c>
      <c r="BF35" s="66">
        <f t="shared" si="407"/>
        <v>-0.35670695533909214</v>
      </c>
      <c r="BG35" s="66">
        <f t="shared" ref="BG35:BH35" si="408">IF(BG31="","",IFERROR(BG33/BG34,""))</f>
        <v>-0.35670695533909214</v>
      </c>
      <c r="BH35" s="66">
        <f t="shared" si="408"/>
        <v>-0.35670695533909214</v>
      </c>
      <c r="BI35" s="66">
        <f t="shared" ref="BI35:BJ35" si="409">IF(BI31="","",IFERROR(BI33/BI34,""))</f>
        <v>-0.35670695533909214</v>
      </c>
      <c r="BJ35" s="66">
        <f t="shared" si="409"/>
        <v>-0.35670695533909214</v>
      </c>
    </row>
    <row r="36" spans="1:62" x14ac:dyDescent="0.25">
      <c r="A36" s="306"/>
      <c r="B36" s="74" t="s">
        <v>57</v>
      </c>
      <c r="C36" s="64">
        <f t="shared" ref="C36:D36" si="410">IF(C31="","",ROUND(C35*C31,2))</f>
        <v>-1504.68</v>
      </c>
      <c r="D36" s="64">
        <f t="shared" si="410"/>
        <v>-2591.88</v>
      </c>
      <c r="E36" s="64">
        <f t="shared" ref="E36:F36" si="411">IF(E31="","",ROUND(E35*E31,2))</f>
        <v>-2838.35</v>
      </c>
      <c r="F36" s="64">
        <f t="shared" si="411"/>
        <v>-2881.77</v>
      </c>
      <c r="G36" s="64">
        <f t="shared" ref="G36:H36" si="412">IF(G31="","",ROUND(G35*G31,2))</f>
        <v>-2250.5100000000002</v>
      </c>
      <c r="H36" s="64">
        <f t="shared" si="412"/>
        <v>-3239.4</v>
      </c>
      <c r="I36" s="64">
        <f t="shared" ref="I36:J36" si="413">IF(I31="","",ROUND(I35*I31,2))</f>
        <v>-3336.64</v>
      </c>
      <c r="J36" s="64">
        <f t="shared" si="413"/>
        <v>-3384.12</v>
      </c>
      <c r="K36" s="64">
        <f t="shared" ref="K36:L36" si="414">IF(K31="","",ROUND(K35*K31,2))</f>
        <v>-2980.87</v>
      </c>
      <c r="L36" s="64">
        <f t="shared" si="414"/>
        <v>-2923.68</v>
      </c>
      <c r="M36" s="64">
        <f t="shared" ref="M36:N36" si="415">IF(M31="","",ROUND(M35*M31,2))</f>
        <v>-2985.57</v>
      </c>
      <c r="N36" s="64">
        <f t="shared" si="415"/>
        <v>-2730.44</v>
      </c>
      <c r="O36" s="64">
        <f t="shared" ref="O36:P36" si="416">IF(O31="","",ROUND(O35*O31,2))</f>
        <v>-3897.15</v>
      </c>
      <c r="P36" s="64">
        <f t="shared" si="416"/>
        <v>-2784.02</v>
      </c>
      <c r="Q36" s="64">
        <f t="shared" ref="Q36:R36" si="417">IF(Q31="","",ROUND(Q35*Q31,2))</f>
        <v>-4719.3</v>
      </c>
      <c r="R36" s="64">
        <f t="shared" si="417"/>
        <v>-4794.6000000000004</v>
      </c>
      <c r="S36" s="64">
        <f t="shared" ref="S36:T36" si="418">IF(S31="","",ROUND(S35*S31,2))</f>
        <v>-4627.3500000000004</v>
      </c>
      <c r="T36" s="64">
        <f t="shared" si="418"/>
        <v>-5905.37</v>
      </c>
      <c r="U36" s="64">
        <f t="shared" ref="U36:V36" si="419">IF(U31="","",ROUND(U35*U31,2))</f>
        <v>-5621.67</v>
      </c>
      <c r="V36" s="64">
        <f t="shared" si="419"/>
        <v>-6078.73</v>
      </c>
      <c r="W36" s="64">
        <f t="shared" ref="W36:X36" si="420">IF(W31="","",ROUND(W35*W31,2))</f>
        <v>-5571.58</v>
      </c>
      <c r="X36" s="64">
        <f t="shared" si="420"/>
        <v>-3698.89</v>
      </c>
      <c r="Y36" s="64">
        <f t="shared" ref="Y36:Z36" si="421">IF(Y31="","",ROUND(Y35*Y31,2))</f>
        <v>-5186.1400000000003</v>
      </c>
      <c r="Z36" s="64">
        <f t="shared" si="421"/>
        <v>-4832.3100000000004</v>
      </c>
      <c r="AA36" s="64">
        <f t="shared" ref="AA36:AB36" si="422">IF(AA31="","",ROUND(AA35*AA31,2))</f>
        <v>-75442.73</v>
      </c>
      <c r="AB36" s="64">
        <f t="shared" si="422"/>
        <v>-13631.28</v>
      </c>
      <c r="AC36" s="64">
        <f t="shared" ref="AC36:AD36" si="423">IF(AC31="","",ROUND(AC35*AC31,2))</f>
        <v>48097.27</v>
      </c>
      <c r="AD36" s="64">
        <f t="shared" si="423"/>
        <v>-10628.22</v>
      </c>
      <c r="AE36" s="64">
        <f t="shared" ref="AE36:AF36" si="424">IF(AE31="","",ROUND(AE35*AE31,2))</f>
        <v>-12955.95</v>
      </c>
      <c r="AF36" s="64">
        <f t="shared" si="424"/>
        <v>-14863.58</v>
      </c>
      <c r="AG36" s="64">
        <f t="shared" ref="AG36:AH36" si="425">IF(AG31="","",ROUND(AG35*AG31,2))</f>
        <v>-14696.75</v>
      </c>
      <c r="AH36" s="64">
        <f t="shared" si="425"/>
        <v>-15321.62</v>
      </c>
      <c r="AI36" s="64">
        <f t="shared" ref="AI36:AJ36" si="426">IF(AI31="","",ROUND(AI35*AI31,2))</f>
        <v>-13162.71</v>
      </c>
      <c r="AJ36" s="64">
        <f t="shared" si="426"/>
        <v>-13147.52</v>
      </c>
      <c r="AK36" s="64">
        <f t="shared" ref="AK36:AL36" si="427">IF(AK31="","",ROUND(AK35*AK31,2))</f>
        <v>-12907.03</v>
      </c>
      <c r="AL36" s="64">
        <f t="shared" si="427"/>
        <v>-10895.84</v>
      </c>
      <c r="AM36" s="64">
        <f t="shared" ref="AM36:AN36" si="428">IF(AM31="","",ROUND(AM35*AM31,2))</f>
        <v>-1066.49</v>
      </c>
      <c r="AN36" s="64">
        <f t="shared" si="428"/>
        <v>-3016.99</v>
      </c>
      <c r="AO36" s="64">
        <f t="shared" ref="AO36:AP36" si="429">IF(AO31="","",ROUND(AO35*AO31,2))</f>
        <v>-3035.29</v>
      </c>
      <c r="AP36" s="64">
        <f t="shared" si="429"/>
        <v>-3174.93</v>
      </c>
      <c r="AQ36" s="64">
        <f t="shared" ref="AQ36:AR36" si="430">IF(AQ31="","",ROUND(AQ35*AQ31,2))</f>
        <v>-3818.81</v>
      </c>
      <c r="AR36" s="64">
        <f t="shared" si="430"/>
        <v>-3576.74</v>
      </c>
      <c r="AS36" s="64">
        <f t="shared" ref="AS36:AT36" si="431">IF(AS31="","",ROUND(AS35*AS31,2))</f>
        <v>-4100.8</v>
      </c>
      <c r="AT36" s="64">
        <f t="shared" si="431"/>
        <v>-4472.42</v>
      </c>
      <c r="AU36" s="64">
        <f t="shared" ref="AU36:AV36" si="432">IF(AU31="","",ROUND(AU35*AU31,2))</f>
        <v>-4510.16</v>
      </c>
      <c r="AV36" s="64">
        <f t="shared" si="432"/>
        <v>-4020.98</v>
      </c>
      <c r="AW36" s="64">
        <f t="shared" ref="AW36:AX36" si="433">IF(AW31="","",ROUND(AW35*AW31,2))</f>
        <v>-4527.2</v>
      </c>
      <c r="AX36" s="64">
        <f t="shared" si="433"/>
        <v>-3966.86</v>
      </c>
      <c r="AY36" s="64">
        <f t="shared" ref="AY36:AZ36" si="434">IF(AY31="","",ROUND(AY35*AY31,2))</f>
        <v>-7292.82</v>
      </c>
      <c r="AZ36" s="64">
        <f t="shared" si="434"/>
        <v>-5229.72</v>
      </c>
      <c r="BA36" s="64">
        <f t="shared" ref="BA36:BB36" si="435">IF(BA31="","",ROUND(BA35*BA31,2))</f>
        <v>-5061.08</v>
      </c>
      <c r="BB36" s="64">
        <f t="shared" si="435"/>
        <v>-6157.98</v>
      </c>
      <c r="BC36" s="64">
        <f t="shared" ref="BC36:BD36" si="436">IF(BC31="","",ROUND(BC35*BC31,2))</f>
        <v>-6243.89</v>
      </c>
      <c r="BD36" s="64">
        <f t="shared" si="436"/>
        <v>-7206.04</v>
      </c>
      <c r="BE36" s="64">
        <f t="shared" ref="BE36:BF36" si="437">IF(BE31="","",ROUND(BE35*BE31,2))</f>
        <v>-7100.45</v>
      </c>
      <c r="BF36" s="64">
        <f t="shared" si="437"/>
        <v>-6203.73</v>
      </c>
      <c r="BG36" s="64">
        <f t="shared" ref="BG36:BH36" si="438">IF(BG31="","",ROUND(BG35*BG31,2))</f>
        <v>-6196.47</v>
      </c>
      <c r="BH36" s="64">
        <f t="shared" si="438"/>
        <v>-5996.54</v>
      </c>
      <c r="BI36" s="64">
        <f t="shared" ref="BI36:BJ36" si="439">IF(BI31="","",ROUND(BI35*BI31,2))</f>
        <v>-5928.98</v>
      </c>
      <c r="BJ36" s="64">
        <f t="shared" si="439"/>
        <v>-5906.51</v>
      </c>
    </row>
    <row r="37" spans="1:62" x14ac:dyDescent="0.25">
      <c r="A37" s="78"/>
      <c r="B37" s="76"/>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row>
  </sheetData>
  <mergeCells count="5">
    <mergeCell ref="A3:A8"/>
    <mergeCell ref="A10:A15"/>
    <mergeCell ref="A17:A22"/>
    <mergeCell ref="A24:A29"/>
    <mergeCell ref="A31:A36"/>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pageSetUpPr fitToPage="1"/>
  </sheetPr>
  <dimension ref="A1:CU184"/>
  <sheetViews>
    <sheetView zoomScaleNormal="100" zoomScaleSheetLayoutView="80" workbookViewId="0">
      <pane xSplit="2" ySplit="4" topLeftCell="CH5" activePane="bottomRight" state="frozen"/>
      <selection activeCell="CW24" sqref="CW24"/>
      <selection pane="topRight" activeCell="CW24" sqref="CW24"/>
      <selection pane="bottomLeft" activeCell="CW24" sqref="CW24"/>
      <selection pane="bottomRight" activeCell="B104" sqref="B104"/>
    </sheetView>
  </sheetViews>
  <sheetFormatPr defaultColWidth="9.140625" defaultRowHeight="15" zeroHeight="1" outlineLevelRow="1" outlineLevelCol="1" x14ac:dyDescent="0.25"/>
  <cols>
    <col min="1" max="1" width="3.140625" style="1" customWidth="1"/>
    <col min="2" max="2" width="50" customWidth="1"/>
    <col min="3" max="3" width="7.85546875" customWidth="1" outlineLevel="1"/>
    <col min="4" max="4" width="7.140625" customWidth="1" outlineLevel="1"/>
    <col min="5" max="14" width="18.7109375" customWidth="1" outlineLevel="1"/>
    <col min="15" max="15" width="17.85546875" customWidth="1" outlineLevel="1" collapsed="1"/>
    <col min="16" max="26" width="18.7109375" customWidth="1" outlineLevel="1"/>
    <col min="27" max="41" width="18.7109375" customWidth="1"/>
    <col min="42" max="46" width="16" customWidth="1"/>
    <col min="47" max="58" width="13.85546875" bestFit="1" customWidth="1"/>
    <col min="59" max="70" width="13.85546875" customWidth="1"/>
    <col min="71" max="99" width="13.85546875" bestFit="1" customWidth="1"/>
  </cols>
  <sheetData>
    <row r="1" spans="1:99" ht="15.75" x14ac:dyDescent="0.25">
      <c r="A1" s="46" t="s">
        <v>1</v>
      </c>
    </row>
    <row r="2" spans="1:99" ht="15.75" x14ac:dyDescent="0.25">
      <c r="A2" s="46" t="s">
        <v>7</v>
      </c>
      <c r="B2" s="33"/>
      <c r="C2" s="33"/>
      <c r="D2" s="33"/>
      <c r="W2" s="39"/>
      <c r="X2" s="39"/>
      <c r="Y2" s="39"/>
      <c r="BA2" s="39"/>
      <c r="BE2" s="39"/>
    </row>
    <row r="3" spans="1:99" x14ac:dyDescent="0.25">
      <c r="AH3" s="39"/>
      <c r="BA3" s="39"/>
    </row>
    <row r="4" spans="1:99" x14ac:dyDescent="0.25">
      <c r="C4" s="10">
        <v>42370</v>
      </c>
      <c r="D4" s="10">
        <v>42401</v>
      </c>
      <c r="E4" s="10">
        <v>42430</v>
      </c>
      <c r="F4" s="10">
        <v>42461</v>
      </c>
      <c r="G4" s="10">
        <v>42491</v>
      </c>
      <c r="H4" s="10">
        <v>42522</v>
      </c>
      <c r="I4" s="10">
        <v>42552</v>
      </c>
      <c r="J4" s="10">
        <v>42583</v>
      </c>
      <c r="K4" s="10">
        <v>42614</v>
      </c>
      <c r="L4" s="10">
        <v>42644</v>
      </c>
      <c r="M4" s="10">
        <v>42675</v>
      </c>
      <c r="N4" s="10">
        <v>42705</v>
      </c>
      <c r="O4" s="10">
        <v>42736</v>
      </c>
      <c r="P4" s="10">
        <v>42767</v>
      </c>
      <c r="Q4" s="10">
        <v>42795</v>
      </c>
      <c r="R4" s="10">
        <v>42826</v>
      </c>
      <c r="S4" s="10">
        <v>42856</v>
      </c>
      <c r="T4" s="10">
        <v>42887</v>
      </c>
      <c r="U4" s="10">
        <v>42917</v>
      </c>
      <c r="V4" s="10">
        <v>42948</v>
      </c>
      <c r="W4" s="10">
        <v>42979</v>
      </c>
      <c r="X4" s="10">
        <v>43009</v>
      </c>
      <c r="Y4" s="10">
        <v>43040</v>
      </c>
      <c r="Z4" s="10">
        <v>43070</v>
      </c>
      <c r="AA4" s="10">
        <v>43101</v>
      </c>
      <c r="AB4" s="10">
        <v>43132</v>
      </c>
      <c r="AC4" s="10">
        <v>43160</v>
      </c>
      <c r="AD4" s="10">
        <v>43191</v>
      </c>
      <c r="AE4" s="10">
        <v>43221</v>
      </c>
      <c r="AF4" s="10">
        <v>43252</v>
      </c>
      <c r="AG4" s="10">
        <v>43282</v>
      </c>
      <c r="AH4" s="10">
        <v>43313</v>
      </c>
      <c r="AI4" s="10">
        <v>43344</v>
      </c>
      <c r="AJ4" s="10">
        <v>43374</v>
      </c>
      <c r="AK4" s="10">
        <v>43405</v>
      </c>
      <c r="AL4" s="10">
        <v>43435</v>
      </c>
      <c r="AM4" s="10">
        <v>43466</v>
      </c>
      <c r="AN4" s="10">
        <v>43497</v>
      </c>
      <c r="AO4" s="10">
        <v>43525</v>
      </c>
      <c r="AP4" s="10">
        <v>43556</v>
      </c>
      <c r="AQ4" s="10">
        <v>43586</v>
      </c>
      <c r="AR4" s="10">
        <v>43617</v>
      </c>
      <c r="AS4" s="10">
        <v>43647</v>
      </c>
      <c r="AT4" s="10">
        <v>43678</v>
      </c>
      <c r="AU4" s="10">
        <v>43709</v>
      </c>
      <c r="AV4" s="10">
        <v>43739</v>
      </c>
      <c r="AW4" s="10">
        <v>43770</v>
      </c>
      <c r="AX4" s="10">
        <v>43800</v>
      </c>
      <c r="AY4" s="10">
        <v>43831</v>
      </c>
      <c r="AZ4" s="10">
        <v>43862</v>
      </c>
      <c r="BA4" s="10">
        <v>43891</v>
      </c>
      <c r="BB4" s="10">
        <v>43922</v>
      </c>
      <c r="BC4" s="10">
        <v>43952</v>
      </c>
      <c r="BD4" s="10">
        <v>43983</v>
      </c>
      <c r="BE4" s="10">
        <v>44013</v>
      </c>
      <c r="BF4" s="10">
        <v>44044</v>
      </c>
      <c r="BG4" s="10">
        <v>44075</v>
      </c>
      <c r="BH4" s="10">
        <v>44105</v>
      </c>
      <c r="BI4" s="10">
        <v>44136</v>
      </c>
      <c r="BJ4" s="10">
        <v>44166</v>
      </c>
      <c r="BK4" s="10">
        <v>44197</v>
      </c>
      <c r="BL4" s="10">
        <v>44228</v>
      </c>
      <c r="BM4" s="10">
        <v>44256</v>
      </c>
      <c r="BN4" s="10">
        <v>44287</v>
      </c>
      <c r="BO4" s="10">
        <v>44317</v>
      </c>
      <c r="BP4" s="10">
        <v>44348</v>
      </c>
      <c r="BQ4" s="10">
        <v>44378</v>
      </c>
      <c r="BR4" s="10">
        <v>44409</v>
      </c>
      <c r="BS4" s="10">
        <v>44440</v>
      </c>
      <c r="BT4" s="10">
        <v>44470</v>
      </c>
      <c r="BU4" s="10">
        <v>44501</v>
      </c>
      <c r="BV4" s="10">
        <v>44531</v>
      </c>
      <c r="BW4" s="10">
        <v>44562</v>
      </c>
      <c r="BX4" s="10">
        <v>44593</v>
      </c>
      <c r="BY4" s="10">
        <v>44621</v>
      </c>
      <c r="BZ4" s="10">
        <v>44652</v>
      </c>
      <c r="CA4" s="10">
        <v>44682</v>
      </c>
      <c r="CB4" s="10">
        <v>44713</v>
      </c>
      <c r="CC4" s="10">
        <v>44743</v>
      </c>
      <c r="CD4" s="10">
        <v>44774</v>
      </c>
      <c r="CE4" s="10">
        <v>44805</v>
      </c>
      <c r="CF4" s="10">
        <v>44835</v>
      </c>
      <c r="CG4" s="10">
        <v>44866</v>
      </c>
      <c r="CH4" s="10">
        <v>44896</v>
      </c>
      <c r="CI4" s="10">
        <v>44927</v>
      </c>
      <c r="CJ4" s="10">
        <v>44958</v>
      </c>
      <c r="CK4" s="10">
        <v>44986</v>
      </c>
      <c r="CL4" s="10">
        <v>45017</v>
      </c>
      <c r="CM4" s="10">
        <v>45047</v>
      </c>
      <c r="CN4" s="10">
        <v>45078</v>
      </c>
      <c r="CO4" s="10">
        <v>45108</v>
      </c>
      <c r="CP4" s="10">
        <v>45139</v>
      </c>
      <c r="CQ4" s="10">
        <v>45170</v>
      </c>
      <c r="CR4" s="10">
        <v>45200</v>
      </c>
      <c r="CS4" s="10">
        <v>45231</v>
      </c>
      <c r="CT4" s="10">
        <v>45261</v>
      </c>
      <c r="CU4" s="10">
        <v>45292</v>
      </c>
    </row>
    <row r="5" spans="1:99" ht="15" customHeight="1" x14ac:dyDescent="0.25">
      <c r="A5" s="295" t="s">
        <v>0</v>
      </c>
      <c r="B5" s="5"/>
      <c r="C5" s="24"/>
      <c r="D5" s="24"/>
      <c r="E5" s="29"/>
      <c r="F5" s="29"/>
      <c r="G5" s="29"/>
      <c r="H5" s="29"/>
      <c r="I5" s="29"/>
      <c r="J5" s="29"/>
      <c r="K5" s="29"/>
      <c r="L5" s="29"/>
      <c r="M5" s="29"/>
      <c r="N5" s="29"/>
      <c r="O5" s="29"/>
      <c r="P5" s="68">
        <v>2696725.74</v>
      </c>
      <c r="Q5" s="29"/>
      <c r="R5" s="29"/>
      <c r="S5" s="29"/>
      <c r="T5" s="29"/>
      <c r="U5" s="29"/>
      <c r="V5" s="29"/>
      <c r="W5" s="29"/>
      <c r="X5" s="29"/>
      <c r="Y5" s="68">
        <f>+'MEEIA 2 adjs'!Q12</f>
        <v>-3196.0980622343154</v>
      </c>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152">
        <f>'MEEIA 2 adjs'!BM1+'MEEIA 2 adjs'!BY11</f>
        <v>-3340.5820431405446</v>
      </c>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c r="CN5" s="153"/>
      <c r="CO5" s="153"/>
      <c r="CP5" s="153"/>
      <c r="CQ5" s="153"/>
      <c r="CR5" s="153"/>
      <c r="CS5" s="153"/>
      <c r="CT5" s="153"/>
      <c r="CU5" s="153"/>
    </row>
    <row r="6" spans="1:99" s="3" customFormat="1" ht="15" customHeight="1" x14ac:dyDescent="0.25">
      <c r="A6" s="295"/>
      <c r="B6" s="5" t="s">
        <v>9</v>
      </c>
      <c r="C6" s="24"/>
      <c r="D6" s="24"/>
      <c r="E6" s="21">
        <v>489577.71</v>
      </c>
      <c r="F6" s="21">
        <v>596039.34</v>
      </c>
      <c r="G6" s="21">
        <v>1517252.46</v>
      </c>
      <c r="H6" s="21">
        <v>1813501.32</v>
      </c>
      <c r="I6" s="21">
        <v>2186924.08</v>
      </c>
      <c r="J6" s="21">
        <v>3901790.85</v>
      </c>
      <c r="K6" s="21">
        <v>2101305.48</v>
      </c>
      <c r="L6" s="21">
        <v>3473901.82</v>
      </c>
      <c r="M6" s="22">
        <v>3971572.65</v>
      </c>
      <c r="N6" s="21">
        <v>3484429.82</v>
      </c>
      <c r="O6" s="21">
        <v>3674638.82</v>
      </c>
      <c r="P6" s="22">
        <v>4414025.79</v>
      </c>
      <c r="Q6" s="22">
        <v>2991594.54</v>
      </c>
      <c r="R6" s="21">
        <v>2590304.3199999998</v>
      </c>
      <c r="S6" s="21">
        <v>4657810.8899999997</v>
      </c>
      <c r="T6" s="21">
        <v>4977110.7899999982</v>
      </c>
      <c r="U6" s="21">
        <v>3348927.8400000003</v>
      </c>
      <c r="V6" s="21">
        <v>5546241.8499999996</v>
      </c>
      <c r="W6" s="21">
        <v>4343353.6899999995</v>
      </c>
      <c r="X6" s="21">
        <v>4663448.7899999991</v>
      </c>
      <c r="Y6" s="21">
        <v>3579807.37</v>
      </c>
      <c r="Z6" s="21">
        <v>5420569.8299999982</v>
      </c>
      <c r="AA6" s="21">
        <v>3574752.5799999991</v>
      </c>
      <c r="AB6" s="21">
        <v>3331489.5699999994</v>
      </c>
      <c r="AC6" s="21">
        <v>4263249.9299999988</v>
      </c>
      <c r="AD6" s="21">
        <v>4115174.5300000017</v>
      </c>
      <c r="AE6" s="21">
        <v>4740998.6900000004</v>
      </c>
      <c r="AF6" s="21">
        <v>5145804.7499999991</v>
      </c>
      <c r="AG6" s="21">
        <v>6107814.71</v>
      </c>
      <c r="AH6" s="21">
        <v>6553231.54</v>
      </c>
      <c r="AI6" s="21">
        <v>5114734.95</v>
      </c>
      <c r="AJ6" s="21">
        <v>4801059.09</v>
      </c>
      <c r="AK6" s="21">
        <v>6475373.9700000007</v>
      </c>
      <c r="AL6" s="21">
        <v>8029360.29</v>
      </c>
      <c r="AM6" s="21">
        <v>1571431.2300000002</v>
      </c>
      <c r="AN6" s="21">
        <v>9564900.9000000004</v>
      </c>
      <c r="AO6" s="21">
        <v>7004423.3000000007</v>
      </c>
      <c r="AP6" s="21">
        <v>197376.2899999998</v>
      </c>
      <c r="AQ6" s="21">
        <v>257011.13999999996</v>
      </c>
      <c r="AR6" s="21">
        <v>211431.85000000024</v>
      </c>
      <c r="AS6" s="21">
        <v>1180808.6699999997</v>
      </c>
      <c r="AT6" s="21">
        <v>-1350523.8200000005</v>
      </c>
      <c r="AU6" s="21">
        <v>85629.37000000001</v>
      </c>
      <c r="AV6" s="21">
        <v>459064.35000000003</v>
      </c>
      <c r="AW6" s="21">
        <v>41006.47</v>
      </c>
      <c r="AX6" s="21">
        <v>159031.65</v>
      </c>
      <c r="AY6" s="21">
        <v>83120.979999999952</v>
      </c>
      <c r="AZ6" s="21">
        <v>139855.28</v>
      </c>
      <c r="BA6" s="21">
        <v>209941.13000000003</v>
      </c>
      <c r="BB6" s="21">
        <v>-1300.0800000000563</v>
      </c>
      <c r="BC6" s="21">
        <v>14255.75</v>
      </c>
      <c r="BD6" s="21">
        <v>253360.02999999997</v>
      </c>
      <c r="BE6" s="21">
        <v>60801.639999999985</v>
      </c>
      <c r="BF6" s="21">
        <v>700403.20000000019</v>
      </c>
      <c r="BG6" s="21">
        <v>126526.49999999997</v>
      </c>
      <c r="BH6" s="21">
        <v>21848.7</v>
      </c>
      <c r="BI6" s="21">
        <v>5996.8600000000006</v>
      </c>
      <c r="BJ6" s="21">
        <v>-279762.15999999992</v>
      </c>
      <c r="BK6" s="21">
        <v>95606.290000000008</v>
      </c>
      <c r="BL6" s="21">
        <v>153442.74</v>
      </c>
      <c r="BM6" s="21">
        <f>225.280000000005</f>
        <v>225.280000000005</v>
      </c>
      <c r="BN6" s="21">
        <v>99299.199999999997</v>
      </c>
      <c r="BO6" s="21">
        <v>19536.79</v>
      </c>
      <c r="BP6" s="21">
        <v>3441.95</v>
      </c>
      <c r="BQ6" s="21">
        <v>-107676.22</v>
      </c>
      <c r="BR6" s="21">
        <v>405</v>
      </c>
      <c r="BS6" s="21">
        <v>0</v>
      </c>
      <c r="BT6" s="21">
        <v>0</v>
      </c>
      <c r="BU6" s="21">
        <v>73760.72</v>
      </c>
      <c r="BV6" s="21">
        <v>0</v>
      </c>
      <c r="BW6" s="21">
        <v>-96364.57</v>
      </c>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row>
    <row r="7" spans="1:99" s="3" customFormat="1" x14ac:dyDescent="0.25">
      <c r="A7" s="295"/>
      <c r="B7" s="5" t="s">
        <v>10</v>
      </c>
      <c r="C7" s="24"/>
      <c r="D7" s="24"/>
      <c r="E7" s="22">
        <v>0</v>
      </c>
      <c r="F7" s="22">
        <v>0</v>
      </c>
      <c r="G7" s="22">
        <v>261356.59</v>
      </c>
      <c r="H7" s="22">
        <v>3948687.99</v>
      </c>
      <c r="I7" s="22">
        <v>5065072.49</v>
      </c>
      <c r="J7" s="22">
        <v>5065949.9800000004</v>
      </c>
      <c r="K7" s="22">
        <v>4872398.21</v>
      </c>
      <c r="L7" s="22">
        <v>3865806.8</v>
      </c>
      <c r="M7" s="21">
        <v>3385376.18</v>
      </c>
      <c r="N7" s="22">
        <v>4206736.6500000004</v>
      </c>
      <c r="O7" s="22">
        <v>5036008.79</v>
      </c>
      <c r="P7" s="21">
        <f>3600039.75-11959.19</f>
        <v>3588080.56</v>
      </c>
      <c r="Q7" s="22">
        <v>2991302.79</v>
      </c>
      <c r="R7" s="22">
        <v>2782459.66</v>
      </c>
      <c r="S7" s="22">
        <v>2731333.13</v>
      </c>
      <c r="T7" s="22">
        <v>3426060.95</v>
      </c>
      <c r="U7" s="22">
        <v>4159412.58</v>
      </c>
      <c r="V7" s="22">
        <v>4243344.03</v>
      </c>
      <c r="W7" s="22">
        <v>3595829.47</v>
      </c>
      <c r="X7" s="22">
        <v>3284010.57</v>
      </c>
      <c r="Y7" s="22">
        <v>2912003.78</v>
      </c>
      <c r="Z7" s="22">
        <v>3426009.82</v>
      </c>
      <c r="AA7" s="22">
        <v>5038749.5</v>
      </c>
      <c r="AB7" s="22">
        <v>6592700.7599999998</v>
      </c>
      <c r="AC7" s="22">
        <v>6048408.1600000001</v>
      </c>
      <c r="AD7" s="22">
        <v>5896451.8300000001</v>
      </c>
      <c r="AE7" s="22">
        <v>5602655.8799999999</v>
      </c>
      <c r="AF7" s="22">
        <v>7075374.6299999999</v>
      </c>
      <c r="AG7" s="22">
        <v>7704127.9100000001</v>
      </c>
      <c r="AH7" s="22">
        <v>7271988.1200000001</v>
      </c>
      <c r="AI7" s="22">
        <v>7138278.0300000003</v>
      </c>
      <c r="AJ7" s="22">
        <v>6192975.21</v>
      </c>
      <c r="AK7" s="22">
        <v>5652712.79</v>
      </c>
      <c r="AL7" s="22">
        <v>6720370.3499999996</v>
      </c>
      <c r="AM7" s="22">
        <v>6281361.5700000003</v>
      </c>
      <c r="AN7" s="22">
        <v>111085.01</v>
      </c>
      <c r="AO7" s="22">
        <v>-36362.01</v>
      </c>
      <c r="AP7" s="22">
        <v>124962.2</v>
      </c>
      <c r="AQ7" s="22">
        <v>216142.69</v>
      </c>
      <c r="AR7" s="22">
        <v>164533.09</v>
      </c>
      <c r="AS7" s="22">
        <v>52414.7</v>
      </c>
      <c r="AT7" s="22">
        <v>41132.15</v>
      </c>
      <c r="AU7" s="22">
        <v>99790.34</v>
      </c>
      <c r="AV7" s="21">
        <v>162041.60999999999</v>
      </c>
      <c r="AW7" s="22">
        <v>143971.22</v>
      </c>
      <c r="AX7" s="22">
        <v>8571.3799999999992</v>
      </c>
      <c r="AY7" s="22">
        <v>-35370.6</v>
      </c>
      <c r="AZ7" s="22">
        <v>118298.99</v>
      </c>
      <c r="BA7" s="22">
        <v>171428.03</v>
      </c>
      <c r="BB7" s="22">
        <v>133296.92000000001</v>
      </c>
      <c r="BC7" s="22">
        <v>117655.75</v>
      </c>
      <c r="BD7" s="22">
        <v>130053.22</v>
      </c>
      <c r="BE7" s="22">
        <v>209735.52</v>
      </c>
      <c r="BF7" s="22">
        <v>197790.51</v>
      </c>
      <c r="BG7" s="22">
        <v>179959.96</v>
      </c>
      <c r="BH7" s="22">
        <v>125626.02</v>
      </c>
      <c r="BI7" s="22">
        <v>131893.51</v>
      </c>
      <c r="BJ7" s="22">
        <v>171081.87</v>
      </c>
      <c r="BK7" s="22">
        <v>221573.25</v>
      </c>
      <c r="BL7" s="22">
        <v>139999.91</v>
      </c>
      <c r="BM7" s="22">
        <v>69598.7</v>
      </c>
      <c r="BN7" s="22">
        <v>79661.600000000006</v>
      </c>
      <c r="BO7" s="22">
        <v>83734.06</v>
      </c>
      <c r="BP7" s="22">
        <v>81721.8</v>
      </c>
      <c r="BQ7" s="22">
        <v>93432.28</v>
      </c>
      <c r="BR7" s="22">
        <v>87748.09</v>
      </c>
      <c r="BS7" s="22">
        <v>92364.89</v>
      </c>
      <c r="BT7" s="22">
        <v>92883.25</v>
      </c>
      <c r="BU7" s="22">
        <v>76286.48</v>
      </c>
      <c r="BV7" s="22">
        <v>85855.96</v>
      </c>
      <c r="BW7" s="22">
        <v>77650.67</v>
      </c>
      <c r="BX7" s="12"/>
      <c r="BY7" s="12"/>
      <c r="BZ7" s="12"/>
      <c r="CA7" s="12"/>
      <c r="CB7" s="12"/>
      <c r="CC7" s="12"/>
      <c r="CD7" s="12"/>
      <c r="CE7" s="12"/>
      <c r="CF7" s="12"/>
      <c r="CG7" s="12"/>
      <c r="CH7" s="12"/>
      <c r="CI7" s="12"/>
      <c r="CJ7" s="12"/>
      <c r="CK7" s="12"/>
      <c r="CL7" s="12"/>
      <c r="CM7" s="12"/>
      <c r="CN7" s="12"/>
      <c r="CO7" s="12"/>
      <c r="CP7" s="12"/>
      <c r="CQ7" s="12"/>
      <c r="CR7" s="12"/>
      <c r="CS7" s="12"/>
      <c r="CT7" s="12"/>
      <c r="CU7" s="12"/>
    </row>
    <row r="8" spans="1:99" s="3" customFormat="1" x14ac:dyDescent="0.25">
      <c r="A8" s="295"/>
      <c r="B8" s="5" t="s">
        <v>11</v>
      </c>
      <c r="C8" s="24"/>
      <c r="D8" s="24"/>
      <c r="E8" s="7">
        <f t="shared" ref="E8:AX8" si="0">IF(OR(E6="",E7=""),"",E6-E7)</f>
        <v>489577.71</v>
      </c>
      <c r="F8" s="7">
        <f t="shared" si="0"/>
        <v>596039.34</v>
      </c>
      <c r="G8" s="7">
        <f t="shared" si="0"/>
        <v>1255895.8699999999</v>
      </c>
      <c r="H8" s="7">
        <f t="shared" si="0"/>
        <v>-2135186.67</v>
      </c>
      <c r="I8" s="7">
        <f>IF(OR(I6="",I7=""),"",I6-I7)</f>
        <v>-2878148.41</v>
      </c>
      <c r="J8" s="8">
        <f t="shared" si="0"/>
        <v>-1164159.1300000004</v>
      </c>
      <c r="K8" s="8">
        <f t="shared" si="0"/>
        <v>-2771092.73</v>
      </c>
      <c r="L8" s="8">
        <f t="shared" si="0"/>
        <v>-391904.98</v>
      </c>
      <c r="M8" s="8">
        <f t="shared" si="0"/>
        <v>586196.46999999974</v>
      </c>
      <c r="N8" s="8">
        <f t="shared" si="0"/>
        <v>-722306.83000000054</v>
      </c>
      <c r="O8" s="8">
        <f t="shared" si="0"/>
        <v>-1361369.9700000002</v>
      </c>
      <c r="P8" s="8">
        <f>IF(OR(P6="",P7=""),"",P6-P7)</f>
        <v>825945.23</v>
      </c>
      <c r="Q8" s="8">
        <f t="shared" si="0"/>
        <v>291.75</v>
      </c>
      <c r="R8" s="8">
        <f t="shared" si="0"/>
        <v>-192155.34000000032</v>
      </c>
      <c r="S8" s="8">
        <f t="shared" si="0"/>
        <v>1926477.7599999998</v>
      </c>
      <c r="T8" s="8">
        <f t="shared" si="0"/>
        <v>1551049.839999998</v>
      </c>
      <c r="U8" s="8">
        <f t="shared" si="0"/>
        <v>-810484.73999999976</v>
      </c>
      <c r="V8" s="8">
        <f t="shared" si="0"/>
        <v>1302897.8199999994</v>
      </c>
      <c r="W8" s="8">
        <f t="shared" si="0"/>
        <v>747524.21999999927</v>
      </c>
      <c r="X8" s="8">
        <f>IF(OR(X6="",X7=""),"",X6-X7)</f>
        <v>1379438.2199999993</v>
      </c>
      <c r="Y8" s="8">
        <f>IF(OR(Y6="",Y7=""),"",Y6-Y7)</f>
        <v>667803.59000000032</v>
      </c>
      <c r="Z8" s="8">
        <f t="shared" si="0"/>
        <v>1994560.0099999984</v>
      </c>
      <c r="AA8" s="8">
        <f t="shared" si="0"/>
        <v>-1463996.9200000009</v>
      </c>
      <c r="AB8" s="8">
        <f t="shared" si="0"/>
        <v>-3261211.1900000004</v>
      </c>
      <c r="AC8" s="8">
        <f t="shared" si="0"/>
        <v>-1785158.2300000014</v>
      </c>
      <c r="AD8" s="8">
        <f t="shared" si="0"/>
        <v>-1781277.2999999984</v>
      </c>
      <c r="AE8" s="8">
        <f t="shared" si="0"/>
        <v>-861657.18999999948</v>
      </c>
      <c r="AF8" s="8">
        <f t="shared" si="0"/>
        <v>-1929569.8800000008</v>
      </c>
      <c r="AG8" s="8">
        <f t="shared" si="0"/>
        <v>-1596313.2000000002</v>
      </c>
      <c r="AH8" s="8">
        <f t="shared" si="0"/>
        <v>-718756.58000000007</v>
      </c>
      <c r="AI8" s="8">
        <f t="shared" si="0"/>
        <v>-2023543.08</v>
      </c>
      <c r="AJ8" s="8">
        <f t="shared" si="0"/>
        <v>-1391916.12</v>
      </c>
      <c r="AK8" s="8">
        <f t="shared" si="0"/>
        <v>822661.18000000063</v>
      </c>
      <c r="AL8" s="8">
        <f t="shared" si="0"/>
        <v>1308989.9400000004</v>
      </c>
      <c r="AM8" s="8">
        <f t="shared" si="0"/>
        <v>-4709930.34</v>
      </c>
      <c r="AN8" s="8">
        <f t="shared" si="0"/>
        <v>9453815.8900000006</v>
      </c>
      <c r="AO8" s="8">
        <f t="shared" si="0"/>
        <v>7040785.3100000005</v>
      </c>
      <c r="AP8" s="8">
        <f t="shared" si="0"/>
        <v>72414.089999999807</v>
      </c>
      <c r="AQ8" s="8">
        <f t="shared" si="0"/>
        <v>40868.449999999953</v>
      </c>
      <c r="AR8" s="8">
        <f t="shared" si="0"/>
        <v>46898.760000000242</v>
      </c>
      <c r="AS8" s="8">
        <f t="shared" si="0"/>
        <v>1128393.9699999997</v>
      </c>
      <c r="AT8" s="8">
        <f t="shared" si="0"/>
        <v>-1391655.9700000004</v>
      </c>
      <c r="AU8" s="8">
        <f t="shared" si="0"/>
        <v>-14160.969999999987</v>
      </c>
      <c r="AV8" s="8">
        <f t="shared" si="0"/>
        <v>297022.74000000005</v>
      </c>
      <c r="AW8" s="8">
        <f t="shared" si="0"/>
        <v>-102964.75</v>
      </c>
      <c r="AX8" s="8">
        <f t="shared" si="0"/>
        <v>150460.26999999999</v>
      </c>
      <c r="AY8" s="8">
        <f>IF(OR(AY6="",AY7=""),"",AY6-AY7)</f>
        <v>118491.57999999996</v>
      </c>
      <c r="AZ8" s="8">
        <f t="shared" ref="AZ8:BH8" si="1">IF(OR(AZ6="",AZ7=""),"",AZ6-AZ7)</f>
        <v>21556.289999999994</v>
      </c>
      <c r="BA8" s="8">
        <f t="shared" si="1"/>
        <v>38513.100000000035</v>
      </c>
      <c r="BB8" s="8">
        <f t="shared" si="1"/>
        <v>-134597.00000000006</v>
      </c>
      <c r="BC8" s="8">
        <f t="shared" si="1"/>
        <v>-103400</v>
      </c>
      <c r="BD8" s="8">
        <f t="shared" si="1"/>
        <v>123306.80999999997</v>
      </c>
      <c r="BE8" s="8">
        <f t="shared" si="1"/>
        <v>-148933.88</v>
      </c>
      <c r="BF8" s="8">
        <f t="shared" si="1"/>
        <v>502612.69000000018</v>
      </c>
      <c r="BG8" s="8">
        <f t="shared" si="1"/>
        <v>-53433.460000000021</v>
      </c>
      <c r="BH8" s="8">
        <f t="shared" si="1"/>
        <v>-103777.32</v>
      </c>
      <c r="BI8" s="8">
        <f t="shared" ref="BI8:BN8" si="2">IF(OR(BI6="",BI7=""),"",BI6-BI7)</f>
        <v>-125896.65000000001</v>
      </c>
      <c r="BJ8" s="8">
        <f t="shared" si="2"/>
        <v>-450844.02999999991</v>
      </c>
      <c r="BK8" s="8">
        <f t="shared" si="2"/>
        <v>-125966.95999999999</v>
      </c>
      <c r="BL8" s="8">
        <f t="shared" si="2"/>
        <v>13442.829999999987</v>
      </c>
      <c r="BM8" s="8">
        <f>IF(OR(BM6="",BM7=""),"",BM6-BM7)</f>
        <v>-69373.42</v>
      </c>
      <c r="BN8" s="8">
        <f t="shared" si="2"/>
        <v>19637.599999999991</v>
      </c>
      <c r="BO8" s="8">
        <f t="shared" ref="BO8:BP8" si="3">IF(OR(BO6="",BO7=""),"",BO6-BO7)</f>
        <v>-64197.27</v>
      </c>
      <c r="BP8" s="8">
        <f t="shared" si="3"/>
        <v>-78279.850000000006</v>
      </c>
      <c r="BQ8" s="8">
        <f t="shared" ref="BQ8:BR8" si="4">IF(OR(BQ6="",BQ7=""),"",BQ6-BQ7)</f>
        <v>-201108.5</v>
      </c>
      <c r="BR8" s="8">
        <f t="shared" si="4"/>
        <v>-87343.09</v>
      </c>
      <c r="BS8" s="8">
        <f t="shared" ref="BS8:BT8" si="5">IF(OR(BS6="",BS7=""),"",BS6-BS7)</f>
        <v>-92364.89</v>
      </c>
      <c r="BT8" s="8">
        <f t="shared" si="5"/>
        <v>-92883.25</v>
      </c>
      <c r="BU8" s="8">
        <f t="shared" ref="BU8:BV8" si="6">IF(OR(BU6="",BU7=""),"",BU6-BU7)</f>
        <v>-2525.7599999999948</v>
      </c>
      <c r="BV8" s="8">
        <f t="shared" si="6"/>
        <v>-85855.96</v>
      </c>
      <c r="BW8" s="8">
        <f t="shared" ref="BW8:BX8" si="7">IF(OR(BW6="",BW7=""),"",BW6-BW7)</f>
        <v>-174015.24</v>
      </c>
      <c r="BX8" s="12" t="str">
        <f t="shared" si="7"/>
        <v/>
      </c>
      <c r="BY8" s="12" t="str">
        <f t="shared" ref="BY8:BZ8" si="8">IF(OR(BY6="",BY7=""),"",BY6-BY7)</f>
        <v/>
      </c>
      <c r="BZ8" s="12" t="str">
        <f t="shared" si="8"/>
        <v/>
      </c>
      <c r="CA8" s="12" t="str">
        <f t="shared" ref="CA8:CB8" si="9">IF(OR(CA6="",CA7=""),"",CA6-CA7)</f>
        <v/>
      </c>
      <c r="CB8" s="12" t="str">
        <f t="shared" si="9"/>
        <v/>
      </c>
      <c r="CC8" s="12" t="str">
        <f t="shared" ref="CC8:CD8" si="10">IF(OR(CC6="",CC7=""),"",CC6-CC7)</f>
        <v/>
      </c>
      <c r="CD8" s="12" t="str">
        <f t="shared" si="10"/>
        <v/>
      </c>
      <c r="CE8" s="12" t="str">
        <f t="shared" ref="CE8:CF8" si="11">IF(OR(CE6="",CE7=""),"",CE6-CE7)</f>
        <v/>
      </c>
      <c r="CF8" s="12" t="str">
        <f t="shared" si="11"/>
        <v/>
      </c>
      <c r="CG8" s="12" t="str">
        <f t="shared" ref="CG8:CH8" si="12">IF(OR(CG6="",CG7=""),"",CG6-CG7)</f>
        <v/>
      </c>
      <c r="CH8" s="12" t="str">
        <f t="shared" si="12"/>
        <v/>
      </c>
      <c r="CI8" s="12" t="str">
        <f t="shared" ref="CI8:CJ8" si="13">IF(OR(CI6="",CI7=""),"",CI6-CI7)</f>
        <v/>
      </c>
      <c r="CJ8" s="12" t="str">
        <f t="shared" si="13"/>
        <v/>
      </c>
      <c r="CK8" s="12" t="str">
        <f t="shared" ref="CK8:CL8" si="14">IF(OR(CK6="",CK7=""),"",CK6-CK7)</f>
        <v/>
      </c>
      <c r="CL8" s="12" t="str">
        <f t="shared" si="14"/>
        <v/>
      </c>
      <c r="CM8" s="12" t="str">
        <f t="shared" ref="CM8:CN8" si="15">IF(OR(CM6="",CM7=""),"",CM6-CM7)</f>
        <v/>
      </c>
      <c r="CN8" s="12" t="str">
        <f t="shared" si="15"/>
        <v/>
      </c>
      <c r="CO8" s="12" t="str">
        <f t="shared" ref="CO8:CP8" si="16">IF(OR(CO6="",CO7=""),"",CO6-CO7)</f>
        <v/>
      </c>
      <c r="CP8" s="12" t="str">
        <f t="shared" si="16"/>
        <v/>
      </c>
      <c r="CQ8" s="12" t="str">
        <f t="shared" ref="CQ8:CR8" si="17">IF(OR(CQ6="",CQ7=""),"",CQ6-CQ7)</f>
        <v/>
      </c>
      <c r="CR8" s="12" t="str">
        <f t="shared" si="17"/>
        <v/>
      </c>
      <c r="CS8" s="12" t="str">
        <f t="shared" ref="CS8:CT8" si="18">IF(OR(CS6="",CS7=""),"",CS6-CS7)</f>
        <v/>
      </c>
      <c r="CT8" s="12" t="str">
        <f t="shared" si="18"/>
        <v/>
      </c>
      <c r="CU8" s="12" t="str">
        <f t="shared" ref="CU8" si="19">IF(OR(CU6="",CU7=""),"",CU6-CU7)</f>
        <v/>
      </c>
    </row>
    <row r="9" spans="1:99" s="3" customFormat="1" x14ac:dyDescent="0.25">
      <c r="A9" s="295"/>
      <c r="B9" s="5" t="s">
        <v>4</v>
      </c>
      <c r="C9" s="24"/>
      <c r="D9" s="24"/>
      <c r="E9" s="23">
        <v>7.31972E-3</v>
      </c>
      <c r="F9" s="23">
        <v>7.4556900000000001E-3</v>
      </c>
      <c r="G9" s="23">
        <v>7.55794E-3</v>
      </c>
      <c r="H9" s="23">
        <v>6.2632199999999999E-3</v>
      </c>
      <c r="I9" s="23">
        <v>6.2904299999999996E-3</v>
      </c>
      <c r="J9" s="23">
        <v>7.6456600000000003E-3</v>
      </c>
      <c r="K9" s="23">
        <v>7.5545970550536697E-3</v>
      </c>
      <c r="L9" s="23">
        <v>7.6017000000000003E-3</v>
      </c>
      <c r="M9" s="23">
        <v>7.6414500000000002E-3</v>
      </c>
      <c r="N9" s="23">
        <v>9.6220400000000001E-3</v>
      </c>
      <c r="O9" s="23">
        <v>8.9999999999999993E-3</v>
      </c>
      <c r="P9" s="23">
        <v>8.9999999999999993E-3</v>
      </c>
      <c r="Q9" s="23">
        <v>1.15E-2</v>
      </c>
      <c r="R9" s="23">
        <v>1.15E-2</v>
      </c>
      <c r="S9" s="23">
        <v>1.15E-2</v>
      </c>
      <c r="T9" s="23">
        <v>1.41E-2</v>
      </c>
      <c r="U9" s="23">
        <v>1.39185E-2</v>
      </c>
      <c r="V9" s="23">
        <v>1.466976E-2</v>
      </c>
      <c r="W9" s="23">
        <v>1.4482760000000001E-2</v>
      </c>
      <c r="X9" s="23">
        <v>1.45083E-2</v>
      </c>
      <c r="Y9" s="23">
        <v>1.4428689E-2</v>
      </c>
      <c r="Z9" s="23">
        <v>1.773541E-2</v>
      </c>
      <c r="AA9" s="23">
        <v>1.715386E-2</v>
      </c>
      <c r="AB9" s="23">
        <v>1.8275659999999999E-2</v>
      </c>
      <c r="AC9" s="23">
        <v>2.0539459999999999E-2</v>
      </c>
      <c r="AD9" s="23">
        <v>2.3111960000000001E-2</v>
      </c>
      <c r="AE9" s="23">
        <v>2.1987949999999999E-2</v>
      </c>
      <c r="AF9" s="23">
        <v>2.2795610000000001E-2</v>
      </c>
      <c r="AG9" s="23">
        <v>2.347169E-2</v>
      </c>
      <c r="AH9" s="23">
        <v>2.3254460000000001E-2</v>
      </c>
      <c r="AI9" s="23">
        <v>2.328962E-2</v>
      </c>
      <c r="AJ9" s="23">
        <v>2.457413E-2</v>
      </c>
      <c r="AK9" s="23">
        <v>2.5271160000000001E-2</v>
      </c>
      <c r="AL9" s="23">
        <v>2.7545790000000001E-2</v>
      </c>
      <c r="AM9" s="23">
        <v>2.8696949999999999E-2</v>
      </c>
      <c r="AN9" s="23">
        <v>2.8403910000000001E-2</v>
      </c>
      <c r="AO9" s="23">
        <v>2.7878150000000001E-2</v>
      </c>
      <c r="AP9" s="23">
        <v>2.6622739999999999E-2</v>
      </c>
      <c r="AQ9" s="23">
        <v>2.677361E-2</v>
      </c>
      <c r="AR9" s="23">
        <v>2.6500570000000001E-2</v>
      </c>
      <c r="AS9" s="23">
        <v>2.594869E-2</v>
      </c>
      <c r="AT9" s="23">
        <v>2.3511899999999999E-2</v>
      </c>
      <c r="AU9" s="23">
        <v>2.21687E-2</v>
      </c>
      <c r="AV9" s="23">
        <v>2.113932E-2</v>
      </c>
      <c r="AW9" s="23">
        <v>1.8159890000000001E-2</v>
      </c>
      <c r="AX9" s="23">
        <v>1.9151990000000001E-2</v>
      </c>
      <c r="AY9" s="23">
        <v>1.8890779999999999E-2</v>
      </c>
      <c r="AZ9" s="23">
        <v>1.8035829999999999E-2</v>
      </c>
      <c r="BA9" s="23">
        <v>1.888592E-2</v>
      </c>
      <c r="BB9" s="23">
        <v>9.3845999999999999E-3</v>
      </c>
      <c r="BC9" s="23">
        <v>1.2906700000000001E-3</v>
      </c>
      <c r="BD9" s="23">
        <v>1.2563100000000001E-3</v>
      </c>
      <c r="BE9" s="23">
        <v>1.9366299999999999E-3</v>
      </c>
      <c r="BF9" s="23">
        <v>1.3658500000000001E-3</v>
      </c>
      <c r="BG9" s="23">
        <v>1.23916E-3</v>
      </c>
      <c r="BH9" s="23">
        <v>2E-3</v>
      </c>
      <c r="BI9" s="23">
        <v>2.5244400000000002E-3</v>
      </c>
      <c r="BJ9" s="23">
        <v>2.8469900000000002E-3</v>
      </c>
      <c r="BK9" s="23">
        <v>2.0613900000000002E-3</v>
      </c>
      <c r="BL9" s="23">
        <v>2.3221700000000001E-3</v>
      </c>
      <c r="BM9" s="23">
        <v>2.1367399999999998E-3</v>
      </c>
      <c r="BN9" s="23">
        <v>2.2512299999999999E-3</v>
      </c>
      <c r="BO9" s="23">
        <v>2.2427200000000001E-3</v>
      </c>
      <c r="BP9" s="23">
        <v>2.01659E-3</v>
      </c>
      <c r="BQ9" s="23">
        <v>1.3954900000000001E-3</v>
      </c>
      <c r="BR9" s="23">
        <v>2.0509899999999999E-3</v>
      </c>
      <c r="BS9" s="23">
        <v>1.9323299999999999E-3</v>
      </c>
      <c r="BT9" s="23">
        <v>1.5E-3</v>
      </c>
      <c r="BU9" s="23">
        <v>1.5320900000000001E-3</v>
      </c>
      <c r="BV9" s="23">
        <v>2.6046400000000001E-3</v>
      </c>
      <c r="BW9" s="23">
        <v>2.3444999999999998E-3</v>
      </c>
      <c r="BX9" s="23">
        <v>2.9584899999999998E-3</v>
      </c>
      <c r="BY9" s="23">
        <v>6.8829599999999996E-3</v>
      </c>
      <c r="BZ9" s="23">
        <v>6.0041599999999997E-3</v>
      </c>
      <c r="CA9" s="23">
        <v>9.4970499999999999E-3</v>
      </c>
      <c r="CB9" s="23">
        <v>1.4858659999999999E-2</v>
      </c>
      <c r="CC9" s="23">
        <v>2.0566899999999999E-2</v>
      </c>
      <c r="CD9" s="23">
        <v>2.564054E-2</v>
      </c>
      <c r="CE9" s="23">
        <v>2.8416960000000002E-2</v>
      </c>
      <c r="CF9" s="23">
        <v>3.4701200000000001E-2</v>
      </c>
      <c r="CG9" s="23">
        <v>4.286098E-2</v>
      </c>
      <c r="CH9" s="23">
        <v>4.617603E-2</v>
      </c>
      <c r="CI9" s="23">
        <v>4.7842519999999999E-2</v>
      </c>
      <c r="CJ9" s="23">
        <v>4.847945E-2</v>
      </c>
      <c r="CK9" s="23">
        <v>4.9894139999999997E-2</v>
      </c>
      <c r="CL9" s="23">
        <v>5.2487209999999999E-2</v>
      </c>
      <c r="CM9" s="23">
        <v>5.3267839534246943E-2</v>
      </c>
      <c r="CN9" s="23">
        <v>5.3948219999999998E-2</v>
      </c>
      <c r="CO9" s="23">
        <v>5.4426639999999998E-2</v>
      </c>
      <c r="CP9" s="23">
        <v>5.5204789999999997E-2</v>
      </c>
      <c r="CQ9" s="23">
        <v>5.5351270000000001E-2</v>
      </c>
      <c r="CR9" s="23">
        <v>5.5174559999999997E-2</v>
      </c>
      <c r="CS9" s="23">
        <v>5.5580579999999997E-2</v>
      </c>
      <c r="CT9" s="23">
        <v>5.5475749999999997E-2</v>
      </c>
      <c r="CU9" s="23">
        <v>5.3783249999999998E-2</v>
      </c>
    </row>
    <row r="10" spans="1:99" s="3" customFormat="1" x14ac:dyDescent="0.25">
      <c r="A10" s="295"/>
      <c r="B10" s="5" t="s">
        <v>5</v>
      </c>
      <c r="C10" s="24"/>
      <c r="D10" s="24"/>
      <c r="E10" s="8">
        <f>IF(OR(E9="",E8=""),"",(E9*E8)/12)</f>
        <v>298.63097962010005</v>
      </c>
      <c r="F10" s="8">
        <f>IF(OR(F9="",F8="",E13=""),"",((E13+F8)*F9)/12)</f>
        <v>674.68755696024539</v>
      </c>
      <c r="G10" s="8">
        <f>IF(OR(G9="",G8="",F13=""),"",((F13+G8)*G9)/12)</f>
        <v>1475.3642034737634</v>
      </c>
      <c r="H10" s="8">
        <f>IF(OR(H9="",H8="",G13=""),"",((G13+H8)*H9)/12)</f>
        <v>108.96694451968013</v>
      </c>
      <c r="I10" s="8">
        <f t="shared" ref="I10:AL10" si="20">IF(OR(I9="",I8="",H13=""),"",((H13+I8)*I9)/12)</f>
        <v>-1399.2351294686221</v>
      </c>
      <c r="J10" s="8">
        <f t="shared" si="20"/>
        <v>-2443.3126554895016</v>
      </c>
      <c r="K10" s="8">
        <f t="shared" si="20"/>
        <v>-4160.2907351182357</v>
      </c>
      <c r="L10" s="8">
        <f>IF(OR(L9="",L8="",K13=""),"",((K13+L8)*L9)/12)</f>
        <v>-4437.1276130225706</v>
      </c>
      <c r="M10" s="8">
        <f t="shared" si="20"/>
        <v>-4089.8726909078409</v>
      </c>
      <c r="N10" s="8">
        <f>IF(OR(N9="",N8="",M13=""),"",((M13+N8)*N9)/12)</f>
        <v>-5732.3796823568009</v>
      </c>
      <c r="O10" s="8">
        <f>IF(OR(O9="",O8="",N13=""),"",((N13+O8)*O9)/12)</f>
        <v>-6387.1229241163428</v>
      </c>
      <c r="P10" s="8">
        <f>IF(OR(P9="",P8="",O13=""),"",((O13+P5+P8)*P9)/12)</f>
        <v>-3749.9100388094298</v>
      </c>
      <c r="Q10" s="8">
        <f t="shared" si="20"/>
        <v>-4794.8657862936871</v>
      </c>
      <c r="R10" s="8">
        <f t="shared" si="20"/>
        <v>-4983.609733505551</v>
      </c>
      <c r="S10" s="8">
        <f t="shared" si="20"/>
        <v>-3142.1778395001616</v>
      </c>
      <c r="T10" s="8">
        <f t="shared" si="20"/>
        <v>-2033.7917610442216</v>
      </c>
      <c r="U10" s="8">
        <f t="shared" si="20"/>
        <v>-2950.032033167759</v>
      </c>
      <c r="V10" s="8">
        <f t="shared" si="20"/>
        <v>-1520.1017399300081</v>
      </c>
      <c r="W10" s="8">
        <f t="shared" si="20"/>
        <v>-600.37464592803713</v>
      </c>
      <c r="X10" s="8">
        <f t="shared" si="20"/>
        <v>1065.6160337585422</v>
      </c>
      <c r="Y10" s="8">
        <f>IF(OR(Y9="",Y8="",X13=""),"",((X13+Y8)*Y9)/12)</f>
        <v>1864.0108541734644</v>
      </c>
      <c r="Z10" s="8">
        <f t="shared" si="20"/>
        <v>5237.0917957096526</v>
      </c>
      <c r="AA10" s="8">
        <f t="shared" si="20"/>
        <v>2980.0856561618343</v>
      </c>
      <c r="AB10" s="8">
        <f t="shared" si="20"/>
        <v>-1787.2212454908315</v>
      </c>
      <c r="AC10" s="8">
        <f t="shared" si="20"/>
        <v>-5067.1783055076858</v>
      </c>
      <c r="AD10" s="8">
        <f t="shared" si="20"/>
        <v>-9142.3192797550983</v>
      </c>
      <c r="AE10" s="8">
        <f t="shared" si="20"/>
        <v>-10293.28981248618</v>
      </c>
      <c r="AF10" s="8">
        <f t="shared" si="20"/>
        <v>-14356.412644169563</v>
      </c>
      <c r="AG10" s="8">
        <f t="shared" si="20"/>
        <v>-17932.628195218407</v>
      </c>
      <c r="AH10" s="8">
        <f t="shared" si="20"/>
        <v>-19194.271240063452</v>
      </c>
      <c r="AI10" s="8">
        <f t="shared" si="20"/>
        <v>-23187.840420324708</v>
      </c>
      <c r="AJ10" s="8">
        <f t="shared" si="20"/>
        <v>-27364.649284877389</v>
      </c>
      <c r="AK10" s="8">
        <f t="shared" si="20"/>
        <v>-26465.991815715159</v>
      </c>
      <c r="AL10" s="8">
        <f t="shared" si="20"/>
        <v>-25904.156066711101</v>
      </c>
      <c r="AM10" s="8">
        <f>IF(OR(AM9="",AM8="",AL13=""),"",((AL13+AM8)*AM9)/12)</f>
        <v>-38312.044718958496</v>
      </c>
      <c r="AN10" s="8">
        <f>IF(OR(AN9="",AN8="",AM13=""),"",((AM13+AN8)*AN9)/12)</f>
        <v>-15634.392826822654</v>
      </c>
      <c r="AO10" s="8">
        <f t="shared" ref="AO10:AX10" si="21">IF(OR(AO9="",AO8="",AN13=""),"",((AN13+AO8)*AO9)/12)</f>
        <v>975.68603367557773</v>
      </c>
      <c r="AP10" s="8">
        <f>IF(OR(AP9="",AP8="",AO13=""),"",((AO13+AP8)*AP9)/12)</f>
        <v>1094.5686438206917</v>
      </c>
      <c r="AQ10" s="8">
        <f>IF(OR(AQ9="",AQ8="",AP13=""),"",((AP13+AQ8)*AQ9)/12)</f>
        <v>1194.3966450653857</v>
      </c>
      <c r="AR10" s="8">
        <f t="shared" si="21"/>
        <v>1288.4240718537685</v>
      </c>
      <c r="AS10" s="8">
        <f t="shared" si="21"/>
        <v>3704.4072203651453</v>
      </c>
      <c r="AT10" s="8">
        <f t="shared" si="21"/>
        <v>637.0854914873712</v>
      </c>
      <c r="AU10" s="8">
        <f t="shared" si="21"/>
        <v>575.7058300414684</v>
      </c>
      <c r="AV10" s="8">
        <f t="shared" si="21"/>
        <v>1073.2259404553306</v>
      </c>
      <c r="AW10" s="8">
        <f t="shared" si="21"/>
        <v>767.76781699004562</v>
      </c>
      <c r="AX10" s="8">
        <f t="shared" si="21"/>
        <v>1051.0718609690841</v>
      </c>
      <c r="AY10" s="8">
        <f t="shared" ref="AY10" si="22">IF(OR(AY9="",AY8="",AX13=""),"",((AX13+AY8)*AY9)/12)</f>
        <v>1224.9243389959495</v>
      </c>
      <c r="AZ10" s="8">
        <f t="shared" ref="AZ10" si="23">IF(OR(AZ9="",AZ8="",AY13=""),"",((AY13+AZ8)*AZ9)/12)</f>
        <v>1203.7271341543144</v>
      </c>
      <c r="BA10" s="8">
        <f t="shared" ref="BA10" si="24">IF(OR(BA9="",BA8="",AZ13=""),"",((AZ13+BA8)*BA9)/12)</f>
        <v>1322.9702890043484</v>
      </c>
      <c r="BB10" s="8">
        <f>IF(OR(BB9="",BB8="",BA13=""),"",((BA13+BB8)*BB9)/12)</f>
        <v>553.17003574276748</v>
      </c>
      <c r="BC10" s="8">
        <f t="shared" ref="BC10" si="25">IF(OR(BC9="",BC8="",BB13=""),"",((BB13+BC8)*BC9)/12)</f>
        <v>65.016049939984811</v>
      </c>
      <c r="BD10" s="8">
        <f t="shared" ref="BD10" si="26">IF(OR(BD9="",BD8="",BC13=""),"",((BC13+BD8)*BD9)/12)</f>
        <v>76.201308475249661</v>
      </c>
      <c r="BE10" s="8">
        <f t="shared" ref="BE10" si="27">IF(OR(BE9="",BE8="",BD13=""),"",((BD13+BE8)*BE9)/12)</f>
        <v>93.442503015415454</v>
      </c>
      <c r="BF10" s="8">
        <f t="shared" ref="BF10" si="28">IF(OR(BF9="",BF8="",BE13=""),"",((BE13+BF8)*BF9)/12)</f>
        <v>123.12076784028865</v>
      </c>
      <c r="BG10" s="8">
        <f t="shared" ref="BG10" si="29">IF(OR(BG9="",BG8="",BF13=""),"",((BF13+BG8)*BG9)/12)</f>
        <v>106.19564511356218</v>
      </c>
      <c r="BH10" s="8">
        <f t="shared" ref="BH10" si="30">IF(OR(BH9="",BH8="",BG13=""),"",((BG13+BH8)*BH9)/12)</f>
        <v>154.12088712073029</v>
      </c>
      <c r="BI10" s="8">
        <f t="shared" ref="BI10" si="31">IF(OR(BI9="",BI8="",BH13=""),"",((BH13+BI8)*BI9)/12)</f>
        <v>168.08201029205179</v>
      </c>
      <c r="BJ10" s="8">
        <f t="shared" ref="BJ10:BL10" si="32">IF(OR(BJ9="",BJ8="",BI13=""),"",((BI13+BJ8)*BJ9)/12)</f>
        <v>82.635508868066111</v>
      </c>
      <c r="BK10" s="8">
        <f t="shared" si="32"/>
        <v>38.208296736128084</v>
      </c>
      <c r="BL10" s="8">
        <f t="shared" si="32"/>
        <v>45.650680716293579</v>
      </c>
      <c r="BM10" s="8">
        <f>IF(OR(BM9="",BM8="",BL13=""),"",((BL13+BM5+BM8)*BM9)/12)+'MEEIA 2 adjs'!BY11</f>
        <v>-37.536109937093315</v>
      </c>
      <c r="BN10" s="8">
        <f t="shared" ref="BN10:CU10" si="33">IF(OR(BN9="",BN8="",BM13=""),"",((BM13+BN5+BN8)*BN9)/12)</f>
        <v>34.312848816743816</v>
      </c>
      <c r="BO10" s="8">
        <f t="shared" si="33"/>
        <v>22.19151196592497</v>
      </c>
      <c r="BP10" s="8">
        <f t="shared" si="33"/>
        <v>6.8028417328419382</v>
      </c>
      <c r="BQ10" s="8">
        <f t="shared" si="33"/>
        <v>-18.67868467833663</v>
      </c>
      <c r="BR10" s="8">
        <f t="shared" si="33"/>
        <v>-42.384085643964262</v>
      </c>
      <c r="BS10" s="8">
        <f t="shared" si="33"/>
        <v>-54.812067243452852</v>
      </c>
      <c r="BT10" s="8">
        <f t="shared" si="33"/>
        <v>-54.165942954608617</v>
      </c>
      <c r="BU10" s="8">
        <f t="shared" si="33"/>
        <v>-55.654122922379315</v>
      </c>
      <c r="BV10" s="8">
        <f t="shared" si="33"/>
        <v>-113.26257151462666</v>
      </c>
      <c r="BW10" s="8">
        <f t="shared" si="33"/>
        <v>-135.97075966833361</v>
      </c>
      <c r="BX10" s="12" t="str">
        <f t="shared" si="33"/>
        <v/>
      </c>
      <c r="BY10" s="12" t="str">
        <f t="shared" si="33"/>
        <v/>
      </c>
      <c r="BZ10" s="12" t="str">
        <f t="shared" si="33"/>
        <v/>
      </c>
      <c r="CA10" s="12" t="str">
        <f t="shared" si="33"/>
        <v/>
      </c>
      <c r="CB10" s="12" t="str">
        <f t="shared" si="33"/>
        <v/>
      </c>
      <c r="CC10" s="12" t="str">
        <f t="shared" si="33"/>
        <v/>
      </c>
      <c r="CD10" s="12" t="str">
        <f t="shared" si="33"/>
        <v/>
      </c>
      <c r="CE10" s="12" t="str">
        <f t="shared" si="33"/>
        <v/>
      </c>
      <c r="CF10" s="12" t="str">
        <f t="shared" si="33"/>
        <v/>
      </c>
      <c r="CG10" s="12" t="str">
        <f t="shared" si="33"/>
        <v/>
      </c>
      <c r="CH10" s="12" t="str">
        <f t="shared" si="33"/>
        <v/>
      </c>
      <c r="CI10" s="12" t="str">
        <f t="shared" si="33"/>
        <v/>
      </c>
      <c r="CJ10" s="12" t="str">
        <f t="shared" si="33"/>
        <v/>
      </c>
      <c r="CK10" s="12" t="str">
        <f t="shared" si="33"/>
        <v/>
      </c>
      <c r="CL10" s="12" t="str">
        <f t="shared" si="33"/>
        <v/>
      </c>
      <c r="CM10" s="12" t="str">
        <f t="shared" si="33"/>
        <v/>
      </c>
      <c r="CN10" s="12" t="str">
        <f t="shared" si="33"/>
        <v/>
      </c>
      <c r="CO10" s="12" t="str">
        <f t="shared" si="33"/>
        <v/>
      </c>
      <c r="CP10" s="12" t="str">
        <f t="shared" si="33"/>
        <v/>
      </c>
      <c r="CQ10" s="12" t="str">
        <f t="shared" si="33"/>
        <v/>
      </c>
      <c r="CR10" s="12" t="str">
        <f t="shared" si="33"/>
        <v/>
      </c>
      <c r="CS10" s="12" t="str">
        <f t="shared" si="33"/>
        <v/>
      </c>
      <c r="CT10" s="12" t="str">
        <f t="shared" si="33"/>
        <v/>
      </c>
      <c r="CU10" s="12" t="str">
        <f t="shared" si="33"/>
        <v/>
      </c>
    </row>
    <row r="11" spans="1:99" s="3" customFormat="1" x14ac:dyDescent="0.25">
      <c r="A11" s="295"/>
      <c r="B11" s="6" t="s">
        <v>6</v>
      </c>
      <c r="C11" s="28"/>
      <c r="D11" s="28"/>
      <c r="E11" s="8">
        <f>E10</f>
        <v>298.63097962010005</v>
      </c>
      <c r="F11" s="8">
        <f>IF(OR(E11="",F10=""),"",E11+F10)</f>
        <v>973.31853658034538</v>
      </c>
      <c r="G11" s="8">
        <f t="shared" ref="G11:AX11" si="34">IF(OR(F11="",G10=""),"",F11+G10)</f>
        <v>2448.6827400541088</v>
      </c>
      <c r="H11" s="8">
        <f t="shared" si="34"/>
        <v>2557.6496845737888</v>
      </c>
      <c r="I11" s="8">
        <f t="shared" si="34"/>
        <v>1158.4145551051668</v>
      </c>
      <c r="J11" s="8">
        <f t="shared" si="34"/>
        <v>-1284.8981003843348</v>
      </c>
      <c r="K11" s="8">
        <f t="shared" si="34"/>
        <v>-5445.1888355025703</v>
      </c>
      <c r="L11" s="8">
        <f t="shared" si="34"/>
        <v>-9882.31644852514</v>
      </c>
      <c r="M11" s="8">
        <f t="shared" si="34"/>
        <v>-13972.189139432981</v>
      </c>
      <c r="N11" s="8">
        <f t="shared" si="34"/>
        <v>-19704.568821789784</v>
      </c>
      <c r="O11" s="8">
        <f t="shared" si="34"/>
        <v>-26091.691745906126</v>
      </c>
      <c r="P11" s="8">
        <f>IF(OR(O11="",P10=""),"",O11+P10)</f>
        <v>-29841.601784715556</v>
      </c>
      <c r="Q11" s="8">
        <f t="shared" si="34"/>
        <v>-34636.467571009242</v>
      </c>
      <c r="R11" s="8">
        <f t="shared" si="34"/>
        <v>-39620.077304514794</v>
      </c>
      <c r="S11" s="8">
        <f t="shared" si="34"/>
        <v>-42762.255144014955</v>
      </c>
      <c r="T11" s="8">
        <f t="shared" si="34"/>
        <v>-44796.046905059178</v>
      </c>
      <c r="U11" s="8">
        <f t="shared" si="34"/>
        <v>-47746.078938226936</v>
      </c>
      <c r="V11" s="8">
        <f t="shared" si="34"/>
        <v>-49266.180678156947</v>
      </c>
      <c r="W11" s="8">
        <f t="shared" si="34"/>
        <v>-49866.555324084984</v>
      </c>
      <c r="X11" s="8">
        <f t="shared" si="34"/>
        <v>-48800.939290326445</v>
      </c>
      <c r="Y11" s="8">
        <f>IF(OR(X11="",Y10=""),"",X11+Y10+Y5)</f>
        <v>-50133.026498387291</v>
      </c>
      <c r="Z11" s="8">
        <f t="shared" si="34"/>
        <v>-44895.934702677638</v>
      </c>
      <c r="AA11" s="8">
        <f t="shared" si="34"/>
        <v>-41915.849046515803</v>
      </c>
      <c r="AB11" s="8">
        <f t="shared" si="34"/>
        <v>-43703.070292006632</v>
      </c>
      <c r="AC11" s="8">
        <f t="shared" si="34"/>
        <v>-48770.248597514321</v>
      </c>
      <c r="AD11" s="8">
        <f t="shared" si="34"/>
        <v>-57912.567877269423</v>
      </c>
      <c r="AE11" s="8">
        <f t="shared" si="34"/>
        <v>-68205.857689755605</v>
      </c>
      <c r="AF11" s="8">
        <f t="shared" si="34"/>
        <v>-82562.270333925175</v>
      </c>
      <c r="AG11" s="8">
        <f t="shared" si="34"/>
        <v>-100494.89852914358</v>
      </c>
      <c r="AH11" s="8">
        <f t="shared" si="34"/>
        <v>-119689.16976920703</v>
      </c>
      <c r="AI11" s="8">
        <f t="shared" si="34"/>
        <v>-142877.01018953175</v>
      </c>
      <c r="AJ11" s="8">
        <f t="shared" si="34"/>
        <v>-170241.65947440913</v>
      </c>
      <c r="AK11" s="8">
        <f t="shared" si="34"/>
        <v>-196707.65129012428</v>
      </c>
      <c r="AL11" s="8">
        <f t="shared" si="34"/>
        <v>-222611.80735683537</v>
      </c>
      <c r="AM11" s="8">
        <f t="shared" si="34"/>
        <v>-260923.85207579387</v>
      </c>
      <c r="AN11" s="8">
        <f>IF(OR(AM11="",AN10=""),"",AM11+AN10)</f>
        <v>-276558.24490261654</v>
      </c>
      <c r="AO11" s="8">
        <f t="shared" si="34"/>
        <v>-275582.55886894098</v>
      </c>
      <c r="AP11" s="8">
        <f t="shared" si="34"/>
        <v>-274487.99022512027</v>
      </c>
      <c r="AQ11" s="8">
        <f>IF(OR(AP11="",AQ10=""),"",AP11+AQ10)</f>
        <v>-273293.59358005488</v>
      </c>
      <c r="AR11" s="8">
        <f t="shared" si="34"/>
        <v>-272005.16950820113</v>
      </c>
      <c r="AS11" s="8">
        <f t="shared" si="34"/>
        <v>-268300.762287836</v>
      </c>
      <c r="AT11" s="8">
        <f t="shared" si="34"/>
        <v>-267663.67679634865</v>
      </c>
      <c r="AU11" s="8">
        <f t="shared" si="34"/>
        <v>-267087.97096630716</v>
      </c>
      <c r="AV11" s="8">
        <f t="shared" si="34"/>
        <v>-266014.74502585182</v>
      </c>
      <c r="AW11" s="8">
        <f t="shared" si="34"/>
        <v>-265246.97720886179</v>
      </c>
      <c r="AX11" s="8">
        <f t="shared" si="34"/>
        <v>-264195.90534789272</v>
      </c>
      <c r="AY11" s="8">
        <f t="shared" ref="AY11" si="35">IF(OR(AX11="",AY10=""),"",AX11+AY10)</f>
        <v>-262970.98100889678</v>
      </c>
      <c r="AZ11" s="8">
        <f t="shared" ref="AZ11" si="36">IF(OR(AY11="",AZ10=""),"",AY11+AZ10)</f>
        <v>-261767.25387474246</v>
      </c>
      <c r="BA11" s="8">
        <f t="shared" ref="BA11" si="37">IF(OR(AZ11="",BA10=""),"",AZ11+BA10)</f>
        <v>-260444.2835857381</v>
      </c>
      <c r="BB11" s="8">
        <f t="shared" ref="BB11" si="38">IF(OR(BA11="",BB10=""),"",BA11+BB10)</f>
        <v>-259891.11354999532</v>
      </c>
      <c r="BC11" s="8">
        <f t="shared" ref="BC11" si="39">IF(OR(BB11="",BC10=""),"",BB11+BC10)</f>
        <v>-259826.09750005533</v>
      </c>
      <c r="BD11" s="8">
        <f t="shared" ref="BD11" si="40">IF(OR(BC11="",BD10=""),"",BC11+BD10)</f>
        <v>-259749.89619158008</v>
      </c>
      <c r="BE11" s="8">
        <f t="shared" ref="BE11" si="41">IF(OR(BD11="",BE10=""),"",BD11+BE10)</f>
        <v>-259656.45368856465</v>
      </c>
      <c r="BF11" s="8">
        <f t="shared" ref="BF11" si="42">IF(OR(BE11="",BF10=""),"",BE11+BF10)</f>
        <v>-259533.33292072435</v>
      </c>
      <c r="BG11" s="8">
        <f t="shared" ref="BG11" si="43">IF(OR(BF11="",BG10=""),"",BF11+BG10)</f>
        <v>-259427.13727561079</v>
      </c>
      <c r="BH11" s="8">
        <f t="shared" ref="BH11" si="44">IF(OR(BG11="",BH10=""),"",BG11+BH10)</f>
        <v>-259273.01638849007</v>
      </c>
      <c r="BI11" s="8">
        <f t="shared" ref="BI11" si="45">IF(OR(BH11="",BI10=""),"",BH11+BI10)</f>
        <v>-259104.93437819803</v>
      </c>
      <c r="BJ11" s="8">
        <f t="shared" ref="BJ11:CU11" si="46">IF(OR(BI11="",BJ10=""),"",BI11+BJ10)</f>
        <v>-259022.29886932997</v>
      </c>
      <c r="BK11" s="8">
        <f t="shared" si="46"/>
        <v>-258984.09057259385</v>
      </c>
      <c r="BL11" s="8">
        <f t="shared" si="46"/>
        <v>-258938.43989187756</v>
      </c>
      <c r="BM11" s="8">
        <f>IF(OR(BL11="",BM10=""),"",BL11+BM10)</f>
        <v>-258975.97600181465</v>
      </c>
      <c r="BN11" s="8">
        <f t="shared" si="46"/>
        <v>-258941.66315299791</v>
      </c>
      <c r="BO11" s="8">
        <f t="shared" si="46"/>
        <v>-258919.47164103197</v>
      </c>
      <c r="BP11" s="8">
        <f t="shared" si="46"/>
        <v>-258912.66879929914</v>
      </c>
      <c r="BQ11" s="8">
        <f t="shared" si="46"/>
        <v>-258931.34748397747</v>
      </c>
      <c r="BR11" s="8">
        <f>IF(OR(BQ11="",BR10=""),"",BQ11+BR10)</f>
        <v>-258973.73156962145</v>
      </c>
      <c r="BS11" s="8">
        <f t="shared" si="46"/>
        <v>-259028.5436368649</v>
      </c>
      <c r="BT11" s="8">
        <f t="shared" si="46"/>
        <v>-259082.70957981949</v>
      </c>
      <c r="BU11" s="8">
        <f t="shared" si="46"/>
        <v>-259138.36370274186</v>
      </c>
      <c r="BV11" s="8">
        <f t="shared" si="46"/>
        <v>-259251.62627425647</v>
      </c>
      <c r="BW11" s="8">
        <f t="shared" si="46"/>
        <v>-259387.5970339248</v>
      </c>
      <c r="BX11" s="12" t="str">
        <f t="shared" si="46"/>
        <v/>
      </c>
      <c r="BY11" s="12" t="str">
        <f t="shared" si="46"/>
        <v/>
      </c>
      <c r="BZ11" s="12" t="str">
        <f t="shared" si="46"/>
        <v/>
      </c>
      <c r="CA11" s="12" t="str">
        <f t="shared" si="46"/>
        <v/>
      </c>
      <c r="CB11" s="12" t="str">
        <f t="shared" si="46"/>
        <v/>
      </c>
      <c r="CC11" s="12" t="str">
        <f t="shared" si="46"/>
        <v/>
      </c>
      <c r="CD11" s="12" t="str">
        <f t="shared" si="46"/>
        <v/>
      </c>
      <c r="CE11" s="12" t="str">
        <f t="shared" si="46"/>
        <v/>
      </c>
      <c r="CF11" s="12" t="str">
        <f t="shared" si="46"/>
        <v/>
      </c>
      <c r="CG11" s="12" t="str">
        <f t="shared" si="46"/>
        <v/>
      </c>
      <c r="CH11" s="12" t="str">
        <f t="shared" si="46"/>
        <v/>
      </c>
      <c r="CI11" s="12" t="str">
        <f t="shared" si="46"/>
        <v/>
      </c>
      <c r="CJ11" s="12" t="str">
        <f t="shared" si="46"/>
        <v/>
      </c>
      <c r="CK11" s="12" t="str">
        <f t="shared" si="46"/>
        <v/>
      </c>
      <c r="CL11" s="12" t="str">
        <f t="shared" si="46"/>
        <v/>
      </c>
      <c r="CM11" s="12" t="str">
        <f t="shared" si="46"/>
        <v/>
      </c>
      <c r="CN11" s="12" t="str">
        <f t="shared" si="46"/>
        <v/>
      </c>
      <c r="CO11" s="12" t="str">
        <f t="shared" si="46"/>
        <v/>
      </c>
      <c r="CP11" s="12" t="str">
        <f t="shared" si="46"/>
        <v/>
      </c>
      <c r="CQ11" s="12" t="str">
        <f t="shared" si="46"/>
        <v/>
      </c>
      <c r="CR11" s="12" t="str">
        <f t="shared" si="46"/>
        <v/>
      </c>
      <c r="CS11" s="12" t="str">
        <f t="shared" si="46"/>
        <v/>
      </c>
      <c r="CT11" s="12" t="str">
        <f t="shared" si="46"/>
        <v/>
      </c>
      <c r="CU11" s="12" t="str">
        <f t="shared" si="46"/>
        <v/>
      </c>
    </row>
    <row r="12" spans="1:99" s="3" customFormat="1" x14ac:dyDescent="0.25">
      <c r="A12" s="295"/>
      <c r="B12" s="5" t="s">
        <v>12</v>
      </c>
      <c r="C12" s="24"/>
      <c r="D12" s="24"/>
      <c r="E12" s="8">
        <f>IF(OR(E10="",E8=""),"",E8+E10)</f>
        <v>489876.34097962012</v>
      </c>
      <c r="F12" s="8">
        <f>IF(OR(F10="",F8=""),"",F8+F10)</f>
        <v>596714.02755696024</v>
      </c>
      <c r="G12" s="8">
        <f t="shared" ref="G12:I12" si="47">IF(OR(G10="",G8=""),"",G8+G10)</f>
        <v>1257371.2342034737</v>
      </c>
      <c r="H12" s="8">
        <f>IF(OR(H10="",H8=""),"",H8+H10)</f>
        <v>-2135077.70305548</v>
      </c>
      <c r="I12" s="8">
        <f t="shared" si="47"/>
        <v>-2879547.6451294688</v>
      </c>
      <c r="J12" s="8">
        <f>IF(OR(J10="",J8=""),"",J8+J10)</f>
        <v>-1166602.4426554898</v>
      </c>
      <c r="K12" s="8">
        <f t="shared" ref="K12:N12" si="48">IF(OR(K10="",K8=""),"",K8+K10)</f>
        <v>-2775253.0207351181</v>
      </c>
      <c r="L12" s="8">
        <f>IF(OR(L10="",L8=""),"",L8+L10)</f>
        <v>-396342.10761302256</v>
      </c>
      <c r="M12" s="8">
        <f t="shared" si="48"/>
        <v>582106.59730909194</v>
      </c>
      <c r="N12" s="8">
        <f t="shared" si="48"/>
        <v>-728039.20968235738</v>
      </c>
      <c r="O12" s="8">
        <f>IF(OR(O10="",O8=""),"",O8+O10)</f>
        <v>-1367757.0929241166</v>
      </c>
      <c r="P12" s="8">
        <f>IF(OR(P10="",P8=""),"",P8+P10)</f>
        <v>822195.31996119057</v>
      </c>
      <c r="Q12" s="8">
        <f t="shared" ref="Q12:X12" si="49">IF(OR(Q10="",Q8=""),"",Q8+Q10)</f>
        <v>-4503.1157862936871</v>
      </c>
      <c r="R12" s="8">
        <f t="shared" si="49"/>
        <v>-197138.94973350587</v>
      </c>
      <c r="S12" s="8">
        <f t="shared" si="49"/>
        <v>1923335.5821604996</v>
      </c>
      <c r="T12" s="8">
        <f t="shared" si="49"/>
        <v>1549016.0482389538</v>
      </c>
      <c r="U12" s="8">
        <f>IF(OR(U10="",U8=""),"",U8+U10)</f>
        <v>-813434.77203316754</v>
      </c>
      <c r="V12" s="8">
        <f t="shared" si="49"/>
        <v>1301377.7182600694</v>
      </c>
      <c r="W12" s="8">
        <f>IF(OR(W10="",W8=""),"",W8+W10)</f>
        <v>746923.84535407124</v>
      </c>
      <c r="X12" s="8">
        <f t="shared" si="49"/>
        <v>1380503.8360337578</v>
      </c>
      <c r="Y12" s="8">
        <f>IF(OR(Y10="",Y8=""),"",Y8+Y10)</f>
        <v>669667.60085417377</v>
      </c>
      <c r="Z12" s="8">
        <f>IF(OR(Z10="",Z8=""),"",Z8+Z10)</f>
        <v>1999797.1017957081</v>
      </c>
      <c r="AA12" s="8">
        <f t="shared" ref="AA12:AX12" si="50">IF(OR(AA10="",AA8=""),"",AA8+AA10)</f>
        <v>-1461016.834343839</v>
      </c>
      <c r="AB12" s="8">
        <f t="shared" si="50"/>
        <v>-3262998.4112454914</v>
      </c>
      <c r="AC12" s="8">
        <f t="shared" si="50"/>
        <v>-1790225.408305509</v>
      </c>
      <c r="AD12" s="8">
        <f t="shared" si="50"/>
        <v>-1790419.6192797534</v>
      </c>
      <c r="AE12" s="8">
        <f t="shared" si="50"/>
        <v>-871950.47981248563</v>
      </c>
      <c r="AF12" s="8">
        <f t="shared" si="50"/>
        <v>-1943926.2926441703</v>
      </c>
      <c r="AG12" s="8">
        <f t="shared" si="50"/>
        <v>-1614245.8281952187</v>
      </c>
      <c r="AH12" s="8">
        <f t="shared" si="50"/>
        <v>-737950.85124006355</v>
      </c>
      <c r="AI12" s="8">
        <f t="shared" si="50"/>
        <v>-2046730.9204203249</v>
      </c>
      <c r="AJ12" s="8">
        <f t="shared" si="50"/>
        <v>-1419280.7692848775</v>
      </c>
      <c r="AK12" s="8">
        <f t="shared" si="50"/>
        <v>796195.18818428542</v>
      </c>
      <c r="AL12" s="8">
        <f t="shared" si="50"/>
        <v>1283085.7839332893</v>
      </c>
      <c r="AM12" s="8">
        <f t="shared" si="50"/>
        <v>-4748242.3847189583</v>
      </c>
      <c r="AN12" s="8">
        <f>IF(OR(AN10="",AN8=""),"",AN8+AN10)</f>
        <v>9438181.4971731771</v>
      </c>
      <c r="AO12" s="8">
        <f t="shared" si="50"/>
        <v>7041760.996033676</v>
      </c>
      <c r="AP12" s="8">
        <f t="shared" si="50"/>
        <v>73508.658643820498</v>
      </c>
      <c r="AQ12" s="8">
        <f t="shared" si="50"/>
        <v>42062.846645065336</v>
      </c>
      <c r="AR12" s="8">
        <f t="shared" si="50"/>
        <v>48187.184071854012</v>
      </c>
      <c r="AS12" s="8">
        <f t="shared" si="50"/>
        <v>1132098.377220365</v>
      </c>
      <c r="AT12" s="8">
        <f t="shared" si="50"/>
        <v>-1391018.8845085131</v>
      </c>
      <c r="AU12" s="8">
        <f t="shared" si="50"/>
        <v>-13585.264169958518</v>
      </c>
      <c r="AV12" s="8">
        <f t="shared" si="50"/>
        <v>298095.96594045538</v>
      </c>
      <c r="AW12" s="8">
        <f t="shared" si="50"/>
        <v>-102196.98218300995</v>
      </c>
      <c r="AX12" s="8">
        <f t="shared" si="50"/>
        <v>151511.34186096909</v>
      </c>
      <c r="AY12" s="8">
        <f t="shared" ref="AY12:BI12" si="51">IF(OR(AY10="",AY8=""),"",AY8+AY10)</f>
        <v>119716.5043389959</v>
      </c>
      <c r="AZ12" s="8">
        <f t="shared" si="51"/>
        <v>22760.017134154306</v>
      </c>
      <c r="BA12" s="8">
        <f t="shared" si="51"/>
        <v>39836.070289004383</v>
      </c>
      <c r="BB12" s="8">
        <f t="shared" si="51"/>
        <v>-134043.82996425728</v>
      </c>
      <c r="BC12" s="8">
        <f t="shared" si="51"/>
        <v>-103334.98395006002</v>
      </c>
      <c r="BD12" s="8">
        <f t="shared" si="51"/>
        <v>123383.01130847522</v>
      </c>
      <c r="BE12" s="8">
        <f t="shared" si="51"/>
        <v>-148840.43749698458</v>
      </c>
      <c r="BF12" s="8">
        <f t="shared" si="51"/>
        <v>502735.81076784048</v>
      </c>
      <c r="BG12" s="8">
        <f t="shared" si="51"/>
        <v>-53327.264354886458</v>
      </c>
      <c r="BH12" s="8">
        <f t="shared" si="51"/>
        <v>-103623.19911287927</v>
      </c>
      <c r="BI12" s="8">
        <f t="shared" si="51"/>
        <v>-125728.56798970795</v>
      </c>
      <c r="BJ12" s="8">
        <f t="shared" ref="BJ12:BO12" si="52">IF(OR(BJ10="",BJ8=""),"",BJ8+BJ10)</f>
        <v>-450761.39449113182</v>
      </c>
      <c r="BK12" s="8">
        <f t="shared" si="52"/>
        <v>-125928.75170326386</v>
      </c>
      <c r="BL12" s="8">
        <f t="shared" si="52"/>
        <v>13488.48068071628</v>
      </c>
      <c r="BM12" s="8">
        <f>IF(OR(BM10="",BM8=""),"",BM8+BM10)+'MEEIA 2 adjs'!BM1</f>
        <v>-72684.936109933813</v>
      </c>
      <c r="BN12" s="8">
        <f t="shared" si="52"/>
        <v>19671.912848816733</v>
      </c>
      <c r="BO12" s="8">
        <f t="shared" si="52"/>
        <v>-64175.078488034073</v>
      </c>
      <c r="BP12" s="8">
        <f t="shared" ref="BP12:BQ12" si="53">IF(OR(BP10="",BP8=""),"",BP8+BP10)</f>
        <v>-78273.04715826716</v>
      </c>
      <c r="BQ12" s="8">
        <f t="shared" si="53"/>
        <v>-201127.17868467834</v>
      </c>
      <c r="BR12" s="8">
        <f t="shared" ref="BR12:BS12" si="54">IF(OR(BR10="",BR8=""),"",BR8+BR10)</f>
        <v>-87385.47408564396</v>
      </c>
      <c r="BS12" s="8">
        <f t="shared" si="54"/>
        <v>-92419.702067243459</v>
      </c>
      <c r="BT12" s="8">
        <f t="shared" ref="BT12:BU12" si="55">IF(OR(BT10="",BT8=""),"",BT8+BT10)</f>
        <v>-92937.415942954613</v>
      </c>
      <c r="BU12" s="8">
        <f t="shared" si="55"/>
        <v>-2581.4141229223742</v>
      </c>
      <c r="BV12" s="8">
        <f t="shared" ref="BV12:BW12" si="56">IF(OR(BV10="",BV8=""),"",BV8+BV10)</f>
        <v>-85969.222571514634</v>
      </c>
      <c r="BW12" s="8">
        <f t="shared" si="56"/>
        <v>-174151.21075966832</v>
      </c>
      <c r="BX12" s="12" t="str">
        <f t="shared" ref="BX12:BY12" si="57">IF(OR(BX10="",BX8=""),"",BX8+BX10)</f>
        <v/>
      </c>
      <c r="BY12" s="12" t="str">
        <f t="shared" si="57"/>
        <v/>
      </c>
      <c r="BZ12" s="12" t="str">
        <f t="shared" ref="BZ12:CA12" si="58">IF(OR(BZ10="",BZ8=""),"",BZ8+BZ10)</f>
        <v/>
      </c>
      <c r="CA12" s="12" t="str">
        <f t="shared" si="58"/>
        <v/>
      </c>
      <c r="CB12" s="12" t="str">
        <f t="shared" ref="CB12:CC12" si="59">IF(OR(CB10="",CB8=""),"",CB8+CB10)</f>
        <v/>
      </c>
      <c r="CC12" s="12" t="str">
        <f t="shared" si="59"/>
        <v/>
      </c>
      <c r="CD12" s="12" t="str">
        <f t="shared" ref="CD12:CE12" si="60">IF(OR(CD10="",CD8=""),"",CD8+CD10)</f>
        <v/>
      </c>
      <c r="CE12" s="12" t="str">
        <f t="shared" si="60"/>
        <v/>
      </c>
      <c r="CF12" s="12" t="str">
        <f t="shared" ref="CF12:CG12" si="61">IF(OR(CF10="",CF8=""),"",CF8+CF10)</f>
        <v/>
      </c>
      <c r="CG12" s="12" t="str">
        <f t="shared" si="61"/>
        <v/>
      </c>
      <c r="CH12" s="12" t="str">
        <f t="shared" ref="CH12:CI12" si="62">IF(OR(CH10="",CH8=""),"",CH8+CH10)</f>
        <v/>
      </c>
      <c r="CI12" s="12" t="str">
        <f t="shared" si="62"/>
        <v/>
      </c>
      <c r="CJ12" s="12" t="str">
        <f t="shared" ref="CJ12:CK12" si="63">IF(OR(CJ10="",CJ8=""),"",CJ8+CJ10)</f>
        <v/>
      </c>
      <c r="CK12" s="12" t="str">
        <f t="shared" si="63"/>
        <v/>
      </c>
      <c r="CL12" s="12" t="str">
        <f t="shared" ref="CL12:CM12" si="64">IF(OR(CL10="",CL8=""),"",CL8+CL10)</f>
        <v/>
      </c>
      <c r="CM12" s="12" t="str">
        <f t="shared" si="64"/>
        <v/>
      </c>
      <c r="CN12" s="12" t="str">
        <f t="shared" ref="CN12:CO12" si="65">IF(OR(CN10="",CN8=""),"",CN8+CN10)</f>
        <v/>
      </c>
      <c r="CO12" s="12" t="str">
        <f t="shared" si="65"/>
        <v/>
      </c>
      <c r="CP12" s="12" t="str">
        <f t="shared" ref="CP12:CQ12" si="66">IF(OR(CP10="",CP8=""),"",CP8+CP10)</f>
        <v/>
      </c>
      <c r="CQ12" s="12" t="str">
        <f t="shared" si="66"/>
        <v/>
      </c>
      <c r="CR12" s="12" t="str">
        <f t="shared" ref="CR12:CS12" si="67">IF(OR(CR10="",CR8=""),"",CR8+CR10)</f>
        <v/>
      </c>
      <c r="CS12" s="12" t="str">
        <f t="shared" si="67"/>
        <v/>
      </c>
      <c r="CT12" s="12" t="str">
        <f t="shared" ref="CT12:CU12" si="68">IF(OR(CT10="",CT8=""),"",CT8+CT10)</f>
        <v/>
      </c>
      <c r="CU12" s="12" t="str">
        <f t="shared" si="68"/>
        <v/>
      </c>
    </row>
    <row r="13" spans="1:99" s="3" customFormat="1" x14ac:dyDescent="0.25">
      <c r="A13" s="295"/>
      <c r="B13" s="9" t="s">
        <v>3</v>
      </c>
      <c r="C13" s="26"/>
      <c r="D13" s="26"/>
      <c r="E13" s="8">
        <f>E12</f>
        <v>489876.34097962012</v>
      </c>
      <c r="F13" s="8">
        <f>IF(OR(F12="",E13=""),"",F12+E13)</f>
        <v>1086590.3685365804</v>
      </c>
      <c r="G13" s="8">
        <f t="shared" ref="G13:AM13" si="69">IF(OR(G12="",F13=""),"",G12+F13)</f>
        <v>2343961.602740054</v>
      </c>
      <c r="H13" s="8">
        <f t="shared" si="69"/>
        <v>208883.89968457399</v>
      </c>
      <c r="I13" s="8">
        <f t="shared" si="69"/>
        <v>-2670663.7454448948</v>
      </c>
      <c r="J13" s="8">
        <f t="shared" si="69"/>
        <v>-3837266.1881003845</v>
      </c>
      <c r="K13" s="8">
        <f t="shared" si="69"/>
        <v>-6612519.2088355031</v>
      </c>
      <c r="L13" s="8">
        <f>IF(OR(L12="",K13=""),"",L12+K13)</f>
        <v>-7008861.3164485255</v>
      </c>
      <c r="M13" s="8">
        <f t="shared" si="69"/>
        <v>-6426754.7191394335</v>
      </c>
      <c r="N13" s="8">
        <f t="shared" si="69"/>
        <v>-7154793.928821791</v>
      </c>
      <c r="O13" s="8">
        <f>IF(OR(O12="",N13=""),"",O12+N13)</f>
        <v>-8522551.0217459071</v>
      </c>
      <c r="P13" s="8">
        <f>IF(OR(P12="",O13=""),"",P12+O13+P5)</f>
        <v>-5003629.9617847167</v>
      </c>
      <c r="Q13" s="8">
        <f t="shared" si="69"/>
        <v>-5008133.0775710102</v>
      </c>
      <c r="R13" s="8">
        <f t="shared" si="69"/>
        <v>-5205272.0273045162</v>
      </c>
      <c r="S13" s="8">
        <f t="shared" si="69"/>
        <v>-3281936.4451440163</v>
      </c>
      <c r="T13" s="8">
        <f t="shared" si="69"/>
        <v>-1732920.3969050625</v>
      </c>
      <c r="U13" s="8">
        <f t="shared" si="69"/>
        <v>-2546355.1689382298</v>
      </c>
      <c r="V13" s="8">
        <f t="shared" si="69"/>
        <v>-1244977.4506781604</v>
      </c>
      <c r="W13" s="8">
        <f>IF(OR(W12="",V13=""),"",W12+V13)</f>
        <v>-498053.60532408918</v>
      </c>
      <c r="X13" s="8">
        <f t="shared" si="69"/>
        <v>882450.2307096686</v>
      </c>
      <c r="Y13" s="8">
        <f>IF(OR(Y12="",X13=""),"",Y12+X13+Y5)</f>
        <v>1548921.7335016083</v>
      </c>
      <c r="Z13" s="8">
        <f t="shared" si="69"/>
        <v>3548718.8352973163</v>
      </c>
      <c r="AA13" s="8">
        <f t="shared" si="69"/>
        <v>2087702.0009534773</v>
      </c>
      <c r="AB13" s="8">
        <f t="shared" si="69"/>
        <v>-1175296.410292014</v>
      </c>
      <c r="AC13" s="8">
        <f t="shared" si="69"/>
        <v>-2965521.818597523</v>
      </c>
      <c r="AD13" s="8">
        <f t="shared" si="69"/>
        <v>-4755941.4378772769</v>
      </c>
      <c r="AE13" s="8">
        <f t="shared" si="69"/>
        <v>-5627891.917689763</v>
      </c>
      <c r="AF13" s="8">
        <f t="shared" si="69"/>
        <v>-7571818.2103339331</v>
      </c>
      <c r="AG13" s="8">
        <f t="shared" si="69"/>
        <v>-9186064.0385291521</v>
      </c>
      <c r="AH13" s="8">
        <f t="shared" si="69"/>
        <v>-9924014.8897692151</v>
      </c>
      <c r="AI13" s="8">
        <f t="shared" si="69"/>
        <v>-11970745.81018954</v>
      </c>
      <c r="AJ13" s="8">
        <f t="shared" si="69"/>
        <v>-13390026.579474417</v>
      </c>
      <c r="AK13" s="8">
        <f t="shared" si="69"/>
        <v>-12593831.391290132</v>
      </c>
      <c r="AL13" s="8">
        <f t="shared" si="69"/>
        <v>-11310745.607356843</v>
      </c>
      <c r="AM13" s="8">
        <f t="shared" si="69"/>
        <v>-16058987.992075801</v>
      </c>
      <c r="AN13" s="8">
        <f>IF(OR(AN12="",AM13=""),"",AN12+AM13)</f>
        <v>-6620806.4949026238</v>
      </c>
      <c r="AO13" s="8">
        <f t="shared" ref="AO13:AX13" si="70">IF(OR(AO12="",AN13=""),"",AO12+AN13)</f>
        <v>420954.50113105215</v>
      </c>
      <c r="AP13" s="8">
        <f t="shared" si="70"/>
        <v>494463.15977487265</v>
      </c>
      <c r="AQ13" s="8">
        <f t="shared" si="70"/>
        <v>536526.00641993794</v>
      </c>
      <c r="AR13" s="8">
        <f t="shared" si="70"/>
        <v>584713.19049179193</v>
      </c>
      <c r="AS13" s="8">
        <f t="shared" si="70"/>
        <v>1716811.567712157</v>
      </c>
      <c r="AT13" s="8">
        <f t="shared" si="70"/>
        <v>325792.68320364389</v>
      </c>
      <c r="AU13" s="8">
        <f t="shared" si="70"/>
        <v>312207.41903368535</v>
      </c>
      <c r="AV13" s="8">
        <f t="shared" si="70"/>
        <v>610303.38497414067</v>
      </c>
      <c r="AW13" s="8">
        <f t="shared" si="70"/>
        <v>508106.40279113071</v>
      </c>
      <c r="AX13" s="8">
        <f t="shared" si="70"/>
        <v>659617.74465209979</v>
      </c>
      <c r="AY13" s="8">
        <f t="shared" ref="AY13" si="71">IF(OR(AY12="",AX13=""),"",AY12+AX13)</f>
        <v>779334.24899109569</v>
      </c>
      <c r="AZ13" s="8">
        <f t="shared" ref="AZ13" si="72">IF(OR(AZ12="",AY13=""),"",AZ12+AY13)</f>
        <v>802094.26612525003</v>
      </c>
      <c r="BA13" s="8">
        <f t="shared" ref="BA13" si="73">IF(OR(BA12="",AZ13=""),"",BA12+AZ13)</f>
        <v>841930.33641425439</v>
      </c>
      <c r="BB13" s="8">
        <f t="shared" ref="BB13" si="74">IF(OR(BB12="",BA13=""),"",BB12+BA13)</f>
        <v>707886.50644999708</v>
      </c>
      <c r="BC13" s="8">
        <f t="shared" ref="BC13" si="75">IF(OR(BC12="",BB13=""),"",BC12+BB13)</f>
        <v>604551.5224999371</v>
      </c>
      <c r="BD13" s="8">
        <f t="shared" ref="BD13" si="76">IF(OR(BD12="",BC13=""),"",BD12+BC13)</f>
        <v>727934.53380841226</v>
      </c>
      <c r="BE13" s="8">
        <f t="shared" ref="BE13" si="77">IF(OR(BE12="",BD13=""),"",BE12+BD13)</f>
        <v>579094.09631142765</v>
      </c>
      <c r="BF13" s="8">
        <f t="shared" ref="BF13" si="78">IF(OR(BF12="",BE13=""),"",BF12+BE13)</f>
        <v>1081829.9070792682</v>
      </c>
      <c r="BG13" s="8">
        <f t="shared" ref="BG13" si="79">IF(OR(BG12="",BF13=""),"",BG12+BF13)</f>
        <v>1028502.6427243818</v>
      </c>
      <c r="BH13" s="8">
        <f t="shared" ref="BH13" si="80">IF(OR(BH12="",BG13=""),"",BH12+BG13)</f>
        <v>924879.44361150253</v>
      </c>
      <c r="BI13" s="8">
        <f t="shared" ref="BI13" si="81">IF(OR(BI12="",BH13=""),"",BI12+BH13)</f>
        <v>799150.87562179461</v>
      </c>
      <c r="BJ13" s="8">
        <f t="shared" ref="BJ13:BL13" si="82">IF(OR(BJ12="",BI13=""),"",BJ12+BI13)</f>
        <v>348389.48113066278</v>
      </c>
      <c r="BK13" s="8">
        <f t="shared" si="82"/>
        <v>222460.72942739894</v>
      </c>
      <c r="BL13" s="8">
        <f t="shared" si="82"/>
        <v>235949.21010811522</v>
      </c>
      <c r="BM13" s="8">
        <f>IF(OR(BM12="",BL13=""),"",BM12+BL13)</f>
        <v>163264.27399818139</v>
      </c>
      <c r="BN13" s="8">
        <f t="shared" ref="BN13:CU13" si="83">IF(OR(BN12="",BM13=""),"",BN12+BM13+BN5)</f>
        <v>182936.18684699811</v>
      </c>
      <c r="BO13" s="8">
        <f t="shared" si="83"/>
        <v>118761.10835896403</v>
      </c>
      <c r="BP13" s="8">
        <f t="shared" si="83"/>
        <v>40488.061200696873</v>
      </c>
      <c r="BQ13" s="8">
        <f t="shared" si="83"/>
        <v>-160639.11748398148</v>
      </c>
      <c r="BR13" s="8">
        <f t="shared" si="83"/>
        <v>-248024.59156962542</v>
      </c>
      <c r="BS13" s="8">
        <f t="shared" si="83"/>
        <v>-340444.29363686888</v>
      </c>
      <c r="BT13" s="8">
        <f t="shared" si="83"/>
        <v>-433381.70957982348</v>
      </c>
      <c r="BU13" s="8">
        <f t="shared" si="83"/>
        <v>-435963.12370274583</v>
      </c>
      <c r="BV13" s="8">
        <f t="shared" si="83"/>
        <v>-521932.34627426043</v>
      </c>
      <c r="BW13" s="8">
        <f t="shared" si="83"/>
        <v>-696083.55703392881</v>
      </c>
      <c r="BX13" s="12" t="str">
        <f t="shared" si="83"/>
        <v/>
      </c>
      <c r="BY13" s="12" t="str">
        <f t="shared" si="83"/>
        <v/>
      </c>
      <c r="BZ13" s="12" t="str">
        <f t="shared" si="83"/>
        <v/>
      </c>
      <c r="CA13" s="12" t="str">
        <f t="shared" si="83"/>
        <v/>
      </c>
      <c r="CB13" s="12" t="str">
        <f t="shared" si="83"/>
        <v/>
      </c>
      <c r="CC13" s="12" t="str">
        <f t="shared" si="83"/>
        <v/>
      </c>
      <c r="CD13" s="12" t="str">
        <f t="shared" si="83"/>
        <v/>
      </c>
      <c r="CE13" s="12" t="str">
        <f t="shared" si="83"/>
        <v/>
      </c>
      <c r="CF13" s="12" t="str">
        <f t="shared" si="83"/>
        <v/>
      </c>
      <c r="CG13" s="12" t="str">
        <f t="shared" si="83"/>
        <v/>
      </c>
      <c r="CH13" s="12" t="str">
        <f t="shared" si="83"/>
        <v/>
      </c>
      <c r="CI13" s="12" t="str">
        <f t="shared" si="83"/>
        <v/>
      </c>
      <c r="CJ13" s="12" t="str">
        <f t="shared" si="83"/>
        <v/>
      </c>
      <c r="CK13" s="12" t="str">
        <f t="shared" si="83"/>
        <v/>
      </c>
      <c r="CL13" s="12" t="str">
        <f t="shared" si="83"/>
        <v/>
      </c>
      <c r="CM13" s="12" t="str">
        <f t="shared" si="83"/>
        <v/>
      </c>
      <c r="CN13" s="12" t="str">
        <f t="shared" si="83"/>
        <v/>
      </c>
      <c r="CO13" s="12" t="str">
        <f t="shared" si="83"/>
        <v/>
      </c>
      <c r="CP13" s="12" t="str">
        <f t="shared" si="83"/>
        <v/>
      </c>
      <c r="CQ13" s="12" t="str">
        <f t="shared" si="83"/>
        <v/>
      </c>
      <c r="CR13" s="12" t="str">
        <f t="shared" si="83"/>
        <v/>
      </c>
      <c r="CS13" s="12" t="str">
        <f t="shared" si="83"/>
        <v/>
      </c>
      <c r="CT13" s="12" t="str">
        <f t="shared" si="83"/>
        <v/>
      </c>
      <c r="CU13" s="12" t="str">
        <f t="shared" si="83"/>
        <v/>
      </c>
    </row>
    <row r="14" spans="1:99" s="4" customFormat="1" ht="8.25" customHeight="1" x14ac:dyDescent="0.25">
      <c r="A14" s="40"/>
      <c r="B14" s="11"/>
      <c r="C14" s="11"/>
      <c r="D14" s="11"/>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row>
    <row r="15" spans="1:99" s="4" customFormat="1" ht="15" customHeight="1" x14ac:dyDescent="0.25">
      <c r="A15" s="292" t="s">
        <v>25</v>
      </c>
      <c r="B15" s="15"/>
      <c r="C15" s="30"/>
      <c r="D15" s="30"/>
      <c r="E15" s="7"/>
      <c r="F15" s="7"/>
      <c r="G15" s="7"/>
      <c r="H15" s="7"/>
      <c r="I15" s="7"/>
      <c r="J15" s="7"/>
      <c r="K15" s="7"/>
      <c r="L15" s="7"/>
      <c r="M15" s="7"/>
      <c r="N15" s="7"/>
      <c r="O15" s="7"/>
      <c r="P15" s="68">
        <f>+SUM(P26,P36,P46,P56,P66)</f>
        <v>13541921.743700374</v>
      </c>
      <c r="Q15" s="7"/>
      <c r="R15" s="7"/>
      <c r="S15" s="7"/>
      <c r="T15" s="7"/>
      <c r="U15" s="7"/>
      <c r="V15" s="7"/>
      <c r="W15" s="7"/>
      <c r="X15" s="7"/>
      <c r="Y15" s="7"/>
      <c r="Z15" s="7"/>
      <c r="AA15" s="7"/>
      <c r="AB15" s="7"/>
      <c r="AC15" s="7"/>
      <c r="AD15" s="7"/>
      <c r="AE15" s="7"/>
      <c r="AF15" s="7"/>
      <c r="AG15" s="7"/>
      <c r="AH15" s="7"/>
      <c r="AI15" s="7"/>
      <c r="AJ15" s="7"/>
      <c r="AK15" s="7"/>
      <c r="AL15" s="7"/>
      <c r="AM15" s="7"/>
      <c r="AN15" s="7"/>
      <c r="AO15" s="7"/>
      <c r="AP15" s="67"/>
      <c r="AQ15" s="67"/>
      <c r="AR15" s="67"/>
      <c r="AS15" s="68">
        <f>+'MEEIA 2 adjs'!AT37</f>
        <v>-9652.3205640208907</v>
      </c>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117">
        <f>CI26+CI36+CI46+CI56+CI66</f>
        <v>461.98306154853339</v>
      </c>
      <c r="CJ15" s="67"/>
      <c r="CK15" s="67"/>
      <c r="CL15" s="67"/>
      <c r="CM15" s="67"/>
      <c r="CN15" s="67"/>
      <c r="CO15" s="67"/>
      <c r="CP15" s="67"/>
      <c r="CQ15" s="67"/>
      <c r="CR15" s="67"/>
      <c r="CS15" s="67"/>
      <c r="CT15" s="67"/>
      <c r="CU15" s="67"/>
    </row>
    <row r="16" spans="1:99" s="2" customFormat="1" ht="15" customHeight="1" x14ac:dyDescent="0.25">
      <c r="A16" s="292"/>
      <c r="B16" s="15" t="s">
        <v>28</v>
      </c>
      <c r="C16" s="30"/>
      <c r="D16" s="30"/>
      <c r="E16" s="19">
        <f t="shared" ref="E16:AX16" si="84">IF(E67="","",SUM(E67,E57,E47,E37,E27))</f>
        <v>0</v>
      </c>
      <c r="F16" s="19">
        <f t="shared" si="84"/>
        <v>1328.78</v>
      </c>
      <c r="G16" s="19">
        <f t="shared" si="84"/>
        <v>9526.5299999999988</v>
      </c>
      <c r="H16" s="19">
        <f t="shared" si="84"/>
        <v>131900.43</v>
      </c>
      <c r="I16" s="19">
        <f t="shared" si="84"/>
        <v>295999.55000000005</v>
      </c>
      <c r="J16" s="19">
        <f t="shared" si="84"/>
        <v>425553.79999999993</v>
      </c>
      <c r="K16" s="19">
        <f t="shared" si="84"/>
        <v>758519.65</v>
      </c>
      <c r="L16" s="19">
        <f t="shared" si="84"/>
        <v>199350.73000000013</v>
      </c>
      <c r="M16" s="19">
        <f t="shared" si="84"/>
        <v>279108.34999999986</v>
      </c>
      <c r="N16" s="19">
        <f t="shared" si="84"/>
        <v>438307.65</v>
      </c>
      <c r="O16" s="19">
        <f t="shared" si="84"/>
        <v>509660.87999999995</v>
      </c>
      <c r="P16" s="19">
        <f t="shared" si="84"/>
        <v>486201.49000000022</v>
      </c>
      <c r="Q16" s="19">
        <f t="shared" si="84"/>
        <v>514839.35999999993</v>
      </c>
      <c r="R16" s="19">
        <f t="shared" si="84"/>
        <v>312695.84999999969</v>
      </c>
      <c r="S16" s="19">
        <f t="shared" si="84"/>
        <v>392474.24999999977</v>
      </c>
      <c r="T16" s="19">
        <f t="shared" si="84"/>
        <v>1348848.3600000003</v>
      </c>
      <c r="U16" s="19">
        <f t="shared" si="84"/>
        <v>1958770.0699999998</v>
      </c>
      <c r="V16" s="19">
        <f t="shared" si="84"/>
        <v>2119352.19</v>
      </c>
      <c r="W16" s="19">
        <f t="shared" si="84"/>
        <v>1653005.4399999997</v>
      </c>
      <c r="X16" s="19">
        <f>IF(X67="","",SUM(X67,X57,X47,X37,X27))</f>
        <v>750637.88000000059</v>
      </c>
      <c r="Y16" s="19">
        <f t="shared" si="84"/>
        <v>825052.10999999894</v>
      </c>
      <c r="Z16" s="19">
        <f t="shared" si="84"/>
        <v>1097101.9800000007</v>
      </c>
      <c r="AA16" s="19">
        <f t="shared" si="84"/>
        <v>1233427.4099999992</v>
      </c>
      <c r="AB16" s="19">
        <f t="shared" si="84"/>
        <v>1062738.5799999998</v>
      </c>
      <c r="AC16" s="19">
        <f t="shared" si="84"/>
        <v>1116457.6900000016</v>
      </c>
      <c r="AD16" s="19">
        <f t="shared" si="84"/>
        <v>959793.47999999963</v>
      </c>
      <c r="AE16" s="19">
        <f t="shared" si="84"/>
        <v>1424231.0999999994</v>
      </c>
      <c r="AF16" s="19">
        <f t="shared" si="84"/>
        <v>3804569.2400000021</v>
      </c>
      <c r="AG16" s="19">
        <f t="shared" si="84"/>
        <v>5112749.5900000017</v>
      </c>
      <c r="AH16" s="19">
        <f t="shared" si="84"/>
        <v>4713867.5500000026</v>
      </c>
      <c r="AI16" s="19">
        <f t="shared" si="84"/>
        <v>3598339.959999999</v>
      </c>
      <c r="AJ16" s="19">
        <f t="shared" si="84"/>
        <v>1714525.5399999977</v>
      </c>
      <c r="AK16" s="19">
        <f t="shared" si="84"/>
        <v>1571421.2499999984</v>
      </c>
      <c r="AL16" s="19">
        <f t="shared" si="84"/>
        <v>1919519.9299999997</v>
      </c>
      <c r="AM16" s="19">
        <f t="shared" si="84"/>
        <v>2060434.7699999972</v>
      </c>
      <c r="AN16" s="19">
        <f t="shared" si="84"/>
        <v>1799627.3200000026</v>
      </c>
      <c r="AO16" s="19">
        <f t="shared" si="84"/>
        <v>2312591.7700000047</v>
      </c>
      <c r="AP16" s="19">
        <f t="shared" si="84"/>
        <v>2109913.9999999995</v>
      </c>
      <c r="AQ16" s="19">
        <f t="shared" si="84"/>
        <v>1887985.9599999981</v>
      </c>
      <c r="AR16" s="19">
        <f t="shared" si="84"/>
        <v>6123794.6400000015</v>
      </c>
      <c r="AS16" s="19">
        <f t="shared" si="84"/>
        <v>7375311.7899999972</v>
      </c>
      <c r="AT16" s="19">
        <f t="shared" si="84"/>
        <v>6969272.2200000016</v>
      </c>
      <c r="AU16" s="19">
        <f t="shared" si="84"/>
        <v>5125287.4899999984</v>
      </c>
      <c r="AV16" s="19">
        <f t="shared" si="84"/>
        <v>2223308.9999999981</v>
      </c>
      <c r="AW16" s="19">
        <f t="shared" si="84"/>
        <v>2078395.7300000028</v>
      </c>
      <c r="AX16" s="19">
        <f t="shared" si="84"/>
        <v>2228734.6799999988</v>
      </c>
      <c r="AY16" s="19">
        <f t="shared" ref="AY16:BI16" si="85">IF(AY67="","",SUM(AY67,AY57,AY47,AY37,AY27))</f>
        <v>2369847.9499999993</v>
      </c>
      <c r="AZ16" s="19">
        <f t="shared" si="85"/>
        <v>217555.38999999897</v>
      </c>
      <c r="BA16" s="19">
        <f t="shared" si="85"/>
        <v>1940172.8499999971</v>
      </c>
      <c r="BB16" s="19">
        <f>IF(BB67="","",SUM(BB67,BB57,BB47,BB37,BB27))</f>
        <v>2286.3100000023842</v>
      </c>
      <c r="BC16" s="19">
        <f t="shared" si="85"/>
        <v>33.38999999733619</v>
      </c>
      <c r="BD16" s="19">
        <f t="shared" si="85"/>
        <v>12223.310000002384</v>
      </c>
      <c r="BE16" s="19">
        <f t="shared" si="85"/>
        <v>22853.179999999702</v>
      </c>
      <c r="BF16" s="19">
        <f t="shared" si="85"/>
        <v>37353.849999999627</v>
      </c>
      <c r="BG16" s="19">
        <f t="shared" si="85"/>
        <v>34409.610000001267</v>
      </c>
      <c r="BH16" s="19">
        <f t="shared" si="85"/>
        <v>13496.160000000149</v>
      </c>
      <c r="BI16" s="19">
        <f t="shared" si="85"/>
        <v>12870.069999998435</v>
      </c>
      <c r="BJ16" s="19">
        <f>IF(BJ67="","",SUM(BJ67,BJ57,BJ47,BJ37,BJ27))</f>
        <v>17714.029999999329</v>
      </c>
      <c r="BK16" s="19">
        <f t="shared" ref="BK16:BL16" si="86">IF(BK67="","",SUM(BK67,BK57,BK47,BK37,BK27))</f>
        <v>20826.88000000082</v>
      </c>
      <c r="BL16" s="19">
        <f t="shared" si="86"/>
        <v>19099.220000000671</v>
      </c>
      <c r="BM16" s="19">
        <f t="shared" ref="BM16:BN16" si="87">IF(BM67="","",SUM(BM67,BM57,BM47,BM37,BM27))</f>
        <v>21421.460000000894</v>
      </c>
      <c r="BN16" s="19">
        <f t="shared" si="87"/>
        <v>19168.38000000082</v>
      </c>
      <c r="BO16" s="19">
        <f t="shared" ref="BO16:BP16" si="88">IF(BO67="","",SUM(BO67,BO57,BO47,BO37,BO27))</f>
        <v>25465.089999996126</v>
      </c>
      <c r="BP16" s="19">
        <f t="shared" si="88"/>
        <v>70360.550000002608</v>
      </c>
      <c r="BQ16" s="19">
        <f t="shared" ref="BQ16:BR16" si="89">IF(BQ67="","",SUM(BQ67,BQ57,BQ47,BQ37,BQ27))</f>
        <v>91202.140000000596</v>
      </c>
      <c r="BR16" s="19">
        <f t="shared" si="89"/>
        <v>84499.239999998827</v>
      </c>
      <c r="BS16" s="19">
        <f t="shared" ref="BS16:BT16" si="90">IF(BS67="","",SUM(BS67,BS57,BS47,BS37,BS27))</f>
        <v>53951.849999999627</v>
      </c>
      <c r="BT16" s="19">
        <f t="shared" si="90"/>
        <v>21911.110000000801</v>
      </c>
      <c r="BU16" s="19">
        <f t="shared" ref="BU16:BV16" si="91">IF(BU67="","",SUM(BU67,BU57,BU47,BU37,BU27))</f>
        <v>20626.079999999609</v>
      </c>
      <c r="BV16" s="19">
        <f t="shared" si="91"/>
        <v>24775.299999998882</v>
      </c>
      <c r="BW16" s="19">
        <f t="shared" ref="BW16:BX16" si="92">IF(BW67="","",SUM(BW67,BW57,BW47,BW37,BW27))</f>
        <v>25830.020000001416</v>
      </c>
      <c r="BX16" s="19">
        <f t="shared" si="92"/>
        <v>21223.889999997336</v>
      </c>
      <c r="BY16" s="19">
        <f t="shared" ref="BY16:BZ16" si="93">IF(BY67="","",SUM(BY67,BY57,BY47,BY37,BY27))</f>
        <v>0</v>
      </c>
      <c r="BZ16" s="19">
        <f t="shared" si="93"/>
        <v>0</v>
      </c>
      <c r="CA16" s="19">
        <f t="shared" ref="CA16:CB16" si="94">IF(CA67="","",SUM(CA67,CA57,CA47,CA37,CA27))</f>
        <v>0</v>
      </c>
      <c r="CB16" s="19">
        <f t="shared" si="94"/>
        <v>0</v>
      </c>
      <c r="CC16" s="19">
        <f t="shared" ref="CC16:CD16" si="95">IF(CC67="","",SUM(CC67,CC57,CC47,CC37,CC27))</f>
        <v>0</v>
      </c>
      <c r="CD16" s="19">
        <f t="shared" si="95"/>
        <v>0</v>
      </c>
      <c r="CE16" s="19">
        <f t="shared" ref="CE16:CF16" si="96">IF(CE67="","",SUM(CE67,CE57,CE47,CE37,CE27))</f>
        <v>0</v>
      </c>
      <c r="CF16" s="19">
        <f t="shared" si="96"/>
        <v>0</v>
      </c>
      <c r="CG16" s="19">
        <f t="shared" ref="CG16:CH16" si="97">IF(CG67="","",SUM(CG67,CG57,CG47,CG37,CG27))</f>
        <v>0</v>
      </c>
      <c r="CH16" s="19">
        <f t="shared" si="97"/>
        <v>0</v>
      </c>
      <c r="CI16" s="19">
        <f t="shared" ref="CI16:CJ16" si="98">IF(CI67="","",SUM(CI67,CI57,CI47,CI37,CI27))</f>
        <v>0</v>
      </c>
      <c r="CJ16" s="19">
        <f t="shared" si="98"/>
        <v>0</v>
      </c>
      <c r="CK16" s="19">
        <f t="shared" ref="CK16:CL16" si="99">IF(CK67="","",SUM(CK67,CK57,CK47,CK37,CK27))</f>
        <v>0</v>
      </c>
      <c r="CL16" s="19">
        <f t="shared" si="99"/>
        <v>0</v>
      </c>
      <c r="CM16" s="19">
        <f t="shared" ref="CM16:CN16" si="100">IF(CM67="","",SUM(CM67,CM57,CM47,CM37,CM27))</f>
        <v>0</v>
      </c>
      <c r="CN16" s="19">
        <f t="shared" si="100"/>
        <v>0</v>
      </c>
      <c r="CO16" s="19">
        <f t="shared" ref="CO16:CP16" si="101">IF(CO67="","",SUM(CO67,CO57,CO47,CO37,CO27))</f>
        <v>0</v>
      </c>
      <c r="CP16" s="19">
        <f t="shared" si="101"/>
        <v>0</v>
      </c>
      <c r="CQ16" s="19">
        <f t="shared" ref="CQ16:CR16" si="102">IF(CQ67="","",SUM(CQ67,CQ57,CQ47,CQ37,CQ27))</f>
        <v>0</v>
      </c>
      <c r="CR16" s="19">
        <f t="shared" si="102"/>
        <v>0</v>
      </c>
      <c r="CS16" s="19">
        <f t="shared" ref="CS16:CT16" si="103">IF(CS67="","",SUM(CS67,CS57,CS47,CS37,CS27))</f>
        <v>0</v>
      </c>
      <c r="CT16" s="19">
        <f t="shared" si="103"/>
        <v>0</v>
      </c>
      <c r="CU16" s="19">
        <f t="shared" ref="CU16" si="104">IF(CU67="","",SUM(CU67,CU57,CU47,CU37,CU27))</f>
        <v>0</v>
      </c>
    </row>
    <row r="17" spans="1:99" s="4" customFormat="1" ht="15" customHeight="1" x14ac:dyDescent="0.25">
      <c r="A17" s="292"/>
      <c r="B17" s="16" t="s">
        <v>26</v>
      </c>
      <c r="C17" s="24"/>
      <c r="D17" s="24"/>
      <c r="E17" s="19">
        <f t="shared" ref="E17:AX17" si="105">IF(E68="","",SUM(E68,E58,E48,E38,E28))</f>
        <v>0</v>
      </c>
      <c r="F17" s="19">
        <f t="shared" si="105"/>
        <v>0</v>
      </c>
      <c r="G17" s="19">
        <f t="shared" si="105"/>
        <v>17393.11</v>
      </c>
      <c r="H17" s="19">
        <f t="shared" si="105"/>
        <v>264954.01</v>
      </c>
      <c r="I17" s="19">
        <f t="shared" si="105"/>
        <v>347680.79</v>
      </c>
      <c r="J17" s="19">
        <f t="shared" si="105"/>
        <v>348292.31</v>
      </c>
      <c r="K17" s="19">
        <f t="shared" si="105"/>
        <v>325763.31</v>
      </c>
      <c r="L17" s="19">
        <f t="shared" si="105"/>
        <v>246495.91999999998</v>
      </c>
      <c r="M17" s="19">
        <f t="shared" si="105"/>
        <v>210020.45</v>
      </c>
      <c r="N17" s="19">
        <f t="shared" si="105"/>
        <v>286405.52</v>
      </c>
      <c r="O17" s="19">
        <f t="shared" si="105"/>
        <v>537350.65</v>
      </c>
      <c r="P17" s="19">
        <f t="shared" si="105"/>
        <v>2380685.19</v>
      </c>
      <c r="Q17" s="19">
        <f t="shared" si="105"/>
        <v>1978228.74</v>
      </c>
      <c r="R17" s="19">
        <f t="shared" si="105"/>
        <v>1865586.4</v>
      </c>
      <c r="S17" s="19">
        <f t="shared" si="105"/>
        <v>1834668.94</v>
      </c>
      <c r="T17" s="19">
        <f t="shared" si="105"/>
        <v>2295880.5499999998</v>
      </c>
      <c r="U17" s="19">
        <f t="shared" si="105"/>
        <v>2739739.71</v>
      </c>
      <c r="V17" s="19">
        <f t="shared" si="105"/>
        <v>2810029.67</v>
      </c>
      <c r="W17" s="19">
        <f t="shared" si="105"/>
        <v>2397146.59</v>
      </c>
      <c r="X17" s="19">
        <f t="shared" si="105"/>
        <v>2196198.75</v>
      </c>
      <c r="Y17" s="19">
        <f t="shared" si="105"/>
        <v>1955310.19</v>
      </c>
      <c r="Z17" s="19">
        <f t="shared" si="105"/>
        <v>2272928.3199999998</v>
      </c>
      <c r="AA17" s="19">
        <f t="shared" si="105"/>
        <v>3133513.62</v>
      </c>
      <c r="AB17" s="19">
        <f t="shared" si="105"/>
        <v>2686519.3200000003</v>
      </c>
      <c r="AC17" s="19">
        <f t="shared" si="105"/>
        <v>2253809.6799999997</v>
      </c>
      <c r="AD17" s="19">
        <f>IF(AD68="","",SUM(AD68,AD58,AD48,AD38,AD28))</f>
        <v>2191880.62</v>
      </c>
      <c r="AE17" s="19">
        <f t="shared" si="105"/>
        <v>2008078.9100000001</v>
      </c>
      <c r="AF17" s="19">
        <f t="shared" si="105"/>
        <v>2628092.91</v>
      </c>
      <c r="AG17" s="19">
        <f t="shared" si="105"/>
        <v>2927384.48</v>
      </c>
      <c r="AH17" s="19">
        <f t="shared" si="105"/>
        <v>2713828.67</v>
      </c>
      <c r="AI17" s="19">
        <f t="shared" si="105"/>
        <v>2656476.0999999996</v>
      </c>
      <c r="AJ17" s="19">
        <f t="shared" si="105"/>
        <v>2241568.5700000003</v>
      </c>
      <c r="AK17" s="19">
        <f>IF(AK68="","",SUM(AK68,AK58,AK48,AK38,AK28))</f>
        <v>2050332.6400000001</v>
      </c>
      <c r="AL17" s="19">
        <f t="shared" si="105"/>
        <v>2540211.56</v>
      </c>
      <c r="AM17" s="19">
        <f t="shared" si="105"/>
        <v>2758522.64</v>
      </c>
      <c r="AN17" s="19">
        <f t="shared" si="105"/>
        <v>3731846.29</v>
      </c>
      <c r="AO17" s="19">
        <f t="shared" si="105"/>
        <v>3504116.6100000003</v>
      </c>
      <c r="AP17" s="19">
        <f t="shared" si="105"/>
        <v>2834702.33</v>
      </c>
      <c r="AQ17" s="19">
        <f t="shared" si="105"/>
        <v>2693990.75</v>
      </c>
      <c r="AR17" s="19">
        <f t="shared" si="105"/>
        <v>3224890.5700000003</v>
      </c>
      <c r="AS17" s="19">
        <f t="shared" si="105"/>
        <v>3677369.7199999997</v>
      </c>
      <c r="AT17" s="19">
        <f t="shared" si="105"/>
        <v>3821939.25</v>
      </c>
      <c r="AU17" s="19">
        <f t="shared" si="105"/>
        <v>3698449.99</v>
      </c>
      <c r="AV17" s="19">
        <f t="shared" si="105"/>
        <v>3264460.08</v>
      </c>
      <c r="AW17" s="19">
        <f t="shared" si="105"/>
        <v>2921768.73</v>
      </c>
      <c r="AX17" s="19">
        <f t="shared" si="105"/>
        <v>3431438.0600000005</v>
      </c>
      <c r="AY17" s="19">
        <f t="shared" ref="AY17:BJ17" si="106">IF(AY68="","",SUM(AY68,AY58,AY48,AY38,AY28))</f>
        <v>3659744.19</v>
      </c>
      <c r="AZ17" s="19">
        <f t="shared" si="106"/>
        <v>2389556.5699999998</v>
      </c>
      <c r="BA17" s="19">
        <f t="shared" si="106"/>
        <v>693510.74000000011</v>
      </c>
      <c r="BB17" s="19">
        <f t="shared" si="106"/>
        <v>590167.07000000007</v>
      </c>
      <c r="BC17" s="19">
        <f t="shared" si="106"/>
        <v>548810.88</v>
      </c>
      <c r="BD17" s="19">
        <f t="shared" si="106"/>
        <v>622900.25999999989</v>
      </c>
      <c r="BE17" s="19">
        <f t="shared" si="106"/>
        <v>774512.69</v>
      </c>
      <c r="BF17" s="19">
        <f t="shared" si="106"/>
        <v>770258.37</v>
      </c>
      <c r="BG17" s="19">
        <f t="shared" si="106"/>
        <v>751740.30999999994</v>
      </c>
      <c r="BH17" s="19">
        <f t="shared" si="106"/>
        <v>622388.87</v>
      </c>
      <c r="BI17" s="19">
        <f t="shared" si="106"/>
        <v>618464.55999999994</v>
      </c>
      <c r="BJ17" s="19">
        <f t="shared" si="106"/>
        <v>686712.57000000007</v>
      </c>
      <c r="BK17" s="19">
        <f t="shared" ref="BK17:BL17" si="107">IF(BK68="","",SUM(BK68,BK58,BK48,BK38,BK28))</f>
        <v>753788.79</v>
      </c>
      <c r="BL17" s="19">
        <f t="shared" si="107"/>
        <v>123252.23000000001</v>
      </c>
      <c r="BM17" s="19">
        <f t="shared" ref="BM17:BN17" si="108">IF(BM68="","",SUM(BM68,BM58,BM48,BM38,BM28))</f>
        <v>-572800.92000000004</v>
      </c>
      <c r="BN17" s="19">
        <f t="shared" si="108"/>
        <v>-433116.61</v>
      </c>
      <c r="BO17" s="19">
        <f t="shared" ref="BO17:BP17" si="109">IF(BO68="","",SUM(BO68,BO58,BO48,BO38,BO28))</f>
        <v>-422296.81</v>
      </c>
      <c r="BP17" s="19">
        <f t="shared" si="109"/>
        <v>-511624.21</v>
      </c>
      <c r="BQ17" s="19">
        <f t="shared" ref="BQ17:BR17" si="110">IF(BQ68="","",SUM(BQ68,BQ58,BQ48,BQ38,BQ28))</f>
        <v>-644535.94999999995</v>
      </c>
      <c r="BR17" s="19">
        <f t="shared" si="110"/>
        <v>-648872.89</v>
      </c>
      <c r="BS17" s="19">
        <f t="shared" ref="BS17:BT17" si="111">IF(BS68="","",SUM(BS68,BS58,BS48,BS38,BS28))</f>
        <v>-646588.66999999993</v>
      </c>
      <c r="BT17" s="19">
        <f t="shared" si="111"/>
        <v>-495839.69999999995</v>
      </c>
      <c r="BU17" s="19">
        <f t="shared" ref="BU17:BV17" si="112">IF(BU68="","",SUM(BU68,BU58,BU48,BU38,BU28))</f>
        <v>-452926.68</v>
      </c>
      <c r="BV17" s="19">
        <f t="shared" si="112"/>
        <v>-540882.03</v>
      </c>
      <c r="BW17" s="19">
        <f t="shared" ref="BW17:BX17" si="113">IF(BW68="","",SUM(BW68,BW58,BW48,BW38,BW28))</f>
        <v>-651029.75</v>
      </c>
      <c r="BX17" s="19">
        <f t="shared" si="113"/>
        <v>-427144.88</v>
      </c>
      <c r="BY17" s="19">
        <f t="shared" ref="BY17:BZ17" si="114">IF(BY68="","",SUM(BY68,BY58,BY48,BY38,BY28))</f>
        <v>-59180.159999999996</v>
      </c>
      <c r="BZ17" s="19">
        <f t="shared" si="114"/>
        <v>-58562.48</v>
      </c>
      <c r="CA17" s="19">
        <f t="shared" ref="CA17:CB17" si="115">IF(CA68="","",SUM(CA68,CA58,CA48,CA38,CA28))</f>
        <v>-50748.47</v>
      </c>
      <c r="CB17" s="19">
        <f t="shared" si="115"/>
        <v>-58661.299999999996</v>
      </c>
      <c r="CC17" s="19">
        <f t="shared" ref="CC17:CD17" si="116">IF(CC68="","",SUM(CC68,CC58,CC48,CC38,CC28))</f>
        <v>-68462.3</v>
      </c>
      <c r="CD17" s="19">
        <f t="shared" si="116"/>
        <v>-66846.459999999992</v>
      </c>
      <c r="CE17" s="19">
        <f t="shared" ref="CE17:CF17" si="117">IF(CE68="","",SUM(CE68,CE58,CE48,CE38,CE28))</f>
        <v>-62475.11</v>
      </c>
      <c r="CF17" s="19">
        <f t="shared" si="117"/>
        <v>-52251.13</v>
      </c>
      <c r="CG17" s="19">
        <f t="shared" ref="CG17:CH17" si="118">IF(CG68="","",SUM(CG68,CG58,CG48,CG38,CG28))</f>
        <v>-49844.260000000009</v>
      </c>
      <c r="CH17" s="19">
        <f t="shared" si="118"/>
        <v>-59378.83</v>
      </c>
      <c r="CI17" s="19">
        <f t="shared" ref="CI17:CJ17" si="119">IF(CI68="","",SUM(CI68,CI58,CI48,CI38,CI28))</f>
        <v>-62477.820000000007</v>
      </c>
      <c r="CJ17" s="19">
        <f t="shared" si="119"/>
        <v>-23191.07</v>
      </c>
      <c r="CK17" s="19">
        <f t="shared" ref="CK17:CL17" si="120">IF(CK68="","",SUM(CK68,CK58,CK48,CK38,CK28))</f>
        <v>25380.510000000002</v>
      </c>
      <c r="CL17" s="19">
        <f t="shared" si="120"/>
        <v>22966.98</v>
      </c>
      <c r="CM17" s="19">
        <f t="shared" ref="CM17:CN17" si="121">IF(CM68="","",SUM(CM68,CM58,CM48,CM38,CM28))</f>
        <v>20634.36</v>
      </c>
      <c r="CN17" s="19">
        <f t="shared" si="121"/>
        <v>25481.59</v>
      </c>
      <c r="CO17" s="19">
        <f t="shared" ref="CO17:CP17" si="122">IF(CO68="","",SUM(CO68,CO58,CO48,CO38,CO28))</f>
        <v>31453.35</v>
      </c>
      <c r="CP17" s="19">
        <f t="shared" si="122"/>
        <v>32480.489999999998</v>
      </c>
      <c r="CQ17" s="19">
        <f t="shared" ref="CQ17:CR17" si="123">IF(CQ68="","",SUM(CQ68,CQ58,CQ48,CQ38,CQ28))</f>
        <v>30891.690000000002</v>
      </c>
      <c r="CR17" s="19">
        <f t="shared" si="123"/>
        <v>23718.190000000002</v>
      </c>
      <c r="CS17" s="19">
        <f t="shared" ref="CS17:CT17" si="124">IF(CS68="","",SUM(CS68,CS58,CS48,CS38,CS28))</f>
        <v>21245.09</v>
      </c>
      <c r="CT17" s="19">
        <f t="shared" si="124"/>
        <v>26837.760000000002</v>
      </c>
      <c r="CU17" s="19">
        <f t="shared" ref="CU17" si="125">IF(CU68="","",SUM(CU68,CU58,CU48,CU38,CU28))</f>
        <v>33990.120000000003</v>
      </c>
    </row>
    <row r="18" spans="1:99" s="4" customFormat="1" ht="15" customHeight="1" x14ac:dyDescent="0.25">
      <c r="A18" s="292"/>
      <c r="B18" s="16" t="s">
        <v>51</v>
      </c>
      <c r="C18" s="24"/>
      <c r="D18" s="24"/>
      <c r="E18" s="19"/>
      <c r="F18" s="19"/>
      <c r="G18" s="19"/>
      <c r="H18" s="19"/>
      <c r="I18" s="19"/>
      <c r="J18" s="19"/>
      <c r="K18" s="19"/>
      <c r="L18" s="19"/>
      <c r="M18" s="19"/>
      <c r="N18" s="19"/>
      <c r="O18" s="19">
        <f>IF(O69="","",SUM(O69,O59,O49,O39,O29))</f>
        <v>0</v>
      </c>
      <c r="P18" s="19">
        <f>IF(P69="","",SUM(P69,P59,P49,P39,P29))</f>
        <v>-1207876.0699999998</v>
      </c>
      <c r="Q18" s="19">
        <f t="shared" ref="Q18:AM18" si="126">IF(Q69="","",SUM(Q69,Q59,Q49,Q39,Q29))</f>
        <v>-991453.85</v>
      </c>
      <c r="R18" s="19">
        <f t="shared" si="126"/>
        <v>-942175.03</v>
      </c>
      <c r="S18" s="19">
        <f t="shared" si="126"/>
        <v>-924830.89</v>
      </c>
      <c r="T18" s="19">
        <f t="shared" si="126"/>
        <v>-1162964.6800000002</v>
      </c>
      <c r="U18" s="19">
        <f t="shared" si="126"/>
        <v>-1377616.51</v>
      </c>
      <c r="V18" s="19">
        <f t="shared" si="126"/>
        <v>-1419206.7000000002</v>
      </c>
      <c r="W18" s="19">
        <f t="shared" si="126"/>
        <v>-1209460.76</v>
      </c>
      <c r="X18" s="19">
        <f t="shared" si="126"/>
        <v>-1107295.8</v>
      </c>
      <c r="Y18" s="19">
        <f t="shared" si="126"/>
        <v>-988276.53</v>
      </c>
      <c r="Z18" s="19">
        <f t="shared" si="126"/>
        <v>-1145553.06</v>
      </c>
      <c r="AA18" s="19">
        <f t="shared" si="126"/>
        <v>-1569459.38</v>
      </c>
      <c r="AB18" s="19">
        <f t="shared" si="126"/>
        <v>231630.62999999998</v>
      </c>
      <c r="AC18" s="19">
        <f t="shared" si="126"/>
        <v>87666.98000000001</v>
      </c>
      <c r="AD18" s="19">
        <f t="shared" si="126"/>
        <v>85411.62</v>
      </c>
      <c r="AE18" s="19">
        <f t="shared" si="126"/>
        <v>84463.6</v>
      </c>
      <c r="AF18" s="19">
        <f t="shared" si="126"/>
        <v>105228.66999999998</v>
      </c>
      <c r="AG18" s="19">
        <f t="shared" si="126"/>
        <v>100170.55</v>
      </c>
      <c r="AH18" s="19">
        <f t="shared" si="126"/>
        <v>108068.86000000002</v>
      </c>
      <c r="AI18" s="19">
        <f t="shared" si="126"/>
        <v>105313.19999999998</v>
      </c>
      <c r="AJ18" s="19">
        <f t="shared" si="126"/>
        <v>93009.289999999979</v>
      </c>
      <c r="AK18" s="19">
        <f t="shared" si="126"/>
        <v>85572.94</v>
      </c>
      <c r="AL18" s="19">
        <f t="shared" si="126"/>
        <v>97124.979999999981</v>
      </c>
      <c r="AM18" s="19">
        <f t="shared" si="126"/>
        <v>105785.10999999999</v>
      </c>
      <c r="AN18" s="19">
        <f t="shared" ref="AN18:BJ18" si="127">IF(AN69="","",SUM(AN69,AN59,AN49,AN39,AN29))</f>
        <v>181359.25</v>
      </c>
      <c r="AO18" s="19">
        <f t="shared" si="127"/>
        <v>164712.29999999999</v>
      </c>
      <c r="AP18" s="19">
        <f t="shared" si="127"/>
        <v>113525.45999999999</v>
      </c>
      <c r="AQ18" s="19">
        <f t="shared" si="127"/>
        <v>93935.329999999987</v>
      </c>
      <c r="AR18" s="19">
        <f t="shared" si="127"/>
        <v>130300.17</v>
      </c>
      <c r="AS18" s="19">
        <f t="shared" si="127"/>
        <v>163717.59999999998</v>
      </c>
      <c r="AT18" s="19">
        <f t="shared" si="127"/>
        <v>174566.88</v>
      </c>
      <c r="AU18" s="19">
        <f t="shared" si="127"/>
        <v>159535.30000000002</v>
      </c>
      <c r="AV18" s="19">
        <f t="shared" si="127"/>
        <v>129573.49</v>
      </c>
      <c r="AW18" s="19">
        <f t="shared" si="127"/>
        <v>118167.16</v>
      </c>
      <c r="AX18" s="19">
        <f t="shared" si="127"/>
        <v>157541.19</v>
      </c>
      <c r="AY18" s="19">
        <f t="shared" si="127"/>
        <v>174576.71</v>
      </c>
      <c r="AZ18" s="19">
        <f>IF(AZ69="","",SUM(AZ69,AZ59,AZ49,AZ39,AZ29))</f>
        <v>591355.12999999989</v>
      </c>
      <c r="BA18" s="19">
        <f t="shared" si="127"/>
        <v>26216.720000000008</v>
      </c>
      <c r="BB18" s="19">
        <f t="shared" si="127"/>
        <v>-3251.070000000007</v>
      </c>
      <c r="BC18" s="19">
        <f t="shared" si="127"/>
        <v>-9025.43</v>
      </c>
      <c r="BD18" s="19">
        <f t="shared" si="127"/>
        <v>27230.33</v>
      </c>
      <c r="BE18" s="19">
        <f t="shared" si="127"/>
        <v>29309.849999999991</v>
      </c>
      <c r="BF18" s="19">
        <f t="shared" si="127"/>
        <v>19315.050000000017</v>
      </c>
      <c r="BG18" s="19">
        <f t="shared" si="127"/>
        <v>6613.2999999999884</v>
      </c>
      <c r="BH18" s="19">
        <f t="shared" si="127"/>
        <v>-14627.319999999992</v>
      </c>
      <c r="BI18" s="19">
        <f t="shared" si="127"/>
        <v>-8528.3399999999965</v>
      </c>
      <c r="BJ18" s="19">
        <f t="shared" si="127"/>
        <v>12811.640000000014</v>
      </c>
      <c r="BK18" s="19">
        <f t="shared" ref="BK18:BL18" si="128">IF(BK69="","",SUM(BK69,BK59,BK49,BK39,BK29))</f>
        <v>47263.67</v>
      </c>
      <c r="BL18" s="19">
        <f t="shared" si="128"/>
        <v>-200239.46999999997</v>
      </c>
      <c r="BM18" s="19">
        <f t="shared" ref="BM18:BN18" si="129">IF(BM69="","",SUM(BM69,BM59,BM49,BM39,BM29))</f>
        <v>614417.39</v>
      </c>
      <c r="BN18" s="19">
        <f t="shared" si="129"/>
        <v>473151.63</v>
      </c>
      <c r="BO18" s="19">
        <f t="shared" ref="BO18:BP18" si="130">IF(BO69="","",SUM(BO69,BO59,BO49,BO39,BO29))</f>
        <v>463923.9</v>
      </c>
      <c r="BP18" s="19">
        <f t="shared" si="130"/>
        <v>554127.14</v>
      </c>
      <c r="BQ18" s="19">
        <f t="shared" ref="BQ18:BR18" si="131">IF(BQ69="","",SUM(BQ69,BQ59,BQ49,BQ39,BQ29))</f>
        <v>697686.94</v>
      </c>
      <c r="BR18" s="19">
        <f t="shared" si="131"/>
        <v>699968.13</v>
      </c>
      <c r="BS18" s="19">
        <f t="shared" ref="BS18:BT18" si="132">IF(BS69="","",SUM(BS69,BS59,BS49,BS39,BS29))</f>
        <v>698521.77</v>
      </c>
      <c r="BT18" s="19">
        <f t="shared" si="132"/>
        <v>541136.61</v>
      </c>
      <c r="BU18" s="19">
        <f t="shared" ref="BU18:BV18" si="133">IF(BU69="","",SUM(BU69,BU59,BU49,BU39,BU29))</f>
        <v>492875.96</v>
      </c>
      <c r="BV18" s="19">
        <f t="shared" si="133"/>
        <v>588146.23</v>
      </c>
      <c r="BW18" s="19">
        <f t="shared" ref="BW18:BX18" si="134">IF(BW69="","",SUM(BW69,BW59,BW49,BW39,BW29))</f>
        <v>699374.74</v>
      </c>
      <c r="BX18" s="19">
        <f t="shared" si="134"/>
        <v>432869.69</v>
      </c>
      <c r="BY18" s="19">
        <f t="shared" ref="BY18:BZ18" si="135">IF(BY69="","",SUM(BY69,BY59,BY49,BY39,BY29))</f>
        <v>60881.03</v>
      </c>
      <c r="BZ18" s="19">
        <f t="shared" si="135"/>
        <v>60189.59</v>
      </c>
      <c r="CA18" s="19">
        <f t="shared" ref="CA18:CB18" si="136">IF(CA69="","",SUM(CA69,CA59,CA49,CA39,CA29))</f>
        <v>52383.22</v>
      </c>
      <c r="CB18" s="19">
        <f t="shared" si="136"/>
        <v>60505.380000000005</v>
      </c>
      <c r="CC18" s="19">
        <f t="shared" ref="CC18:CD18" si="137">IF(CC69="","",SUM(CC69,CC59,CC49,CC39,CC29))</f>
        <v>70476.759999999995</v>
      </c>
      <c r="CD18" s="19">
        <f t="shared" si="137"/>
        <v>68833.31</v>
      </c>
      <c r="CE18" s="19">
        <f t="shared" ref="CE18:CF18" si="138">IF(CE69="","",SUM(CE69,CE59,CE49,CE39,CE29))</f>
        <v>64386.179999999993</v>
      </c>
      <c r="CF18" s="19">
        <f t="shared" si="138"/>
        <v>53918.12</v>
      </c>
      <c r="CG18" s="19">
        <f t="shared" ref="CG18:CH18" si="139">IF(CG69="","",SUM(CG69,CG59,CG49,CG39,CG29))</f>
        <v>51472.34</v>
      </c>
      <c r="CH18" s="19">
        <f t="shared" si="139"/>
        <v>61166.880000000005</v>
      </c>
      <c r="CI18" s="19">
        <f t="shared" ref="CI18:CJ18" si="140">IF(CI69="","",SUM(CI69,CI59,CI49,CI39,CI29))</f>
        <v>64261.58</v>
      </c>
      <c r="CJ18" s="19">
        <f t="shared" si="140"/>
        <v>23191.069999999996</v>
      </c>
      <c r="CK18" s="19">
        <f t="shared" ref="CK18:CL18" si="141">IF(CK69="","",SUM(CK69,CK59,CK49,CK39,CK29))</f>
        <v>-25380.51</v>
      </c>
      <c r="CL18" s="19">
        <f t="shared" si="141"/>
        <v>-22966.98</v>
      </c>
      <c r="CM18" s="19">
        <f t="shared" ref="CM18:CN18" si="142">IF(CM69="","",SUM(CM69,CM59,CM49,CM39,CM29))</f>
        <v>-20634.36</v>
      </c>
      <c r="CN18" s="19">
        <f t="shared" si="142"/>
        <v>-25481.59</v>
      </c>
      <c r="CO18" s="19">
        <f t="shared" ref="CO18:CP18" si="143">IF(CO69="","",SUM(CO69,CO59,CO49,CO39,CO29))</f>
        <v>-31453.35</v>
      </c>
      <c r="CP18" s="19">
        <f t="shared" si="143"/>
        <v>-32480.49</v>
      </c>
      <c r="CQ18" s="19">
        <f t="shared" ref="CQ18:CR18" si="144">IF(CQ69="","",SUM(CQ69,CQ59,CQ49,CQ39,CQ29))</f>
        <v>-30891.690000000002</v>
      </c>
      <c r="CR18" s="19">
        <f t="shared" si="144"/>
        <v>-23718.190000000002</v>
      </c>
      <c r="CS18" s="19">
        <f t="shared" ref="CS18:CT18" si="145">IF(CS69="","",SUM(CS69,CS59,CS49,CS39,CS29))</f>
        <v>-21245.09</v>
      </c>
      <c r="CT18" s="19">
        <f t="shared" si="145"/>
        <v>-26837.759999999998</v>
      </c>
      <c r="CU18" s="19">
        <f t="shared" ref="CU18" si="146">IF(CU69="","",SUM(CU69,CU59,CU49,CU39,CU29))</f>
        <v>-33990.119999999995</v>
      </c>
    </row>
    <row r="19" spans="1:99" s="4" customFormat="1" ht="15" customHeight="1" x14ac:dyDescent="0.25">
      <c r="A19" s="292"/>
      <c r="B19" s="16" t="s">
        <v>52</v>
      </c>
      <c r="C19" s="24"/>
      <c r="D19" s="24"/>
      <c r="E19" s="19"/>
      <c r="F19" s="19"/>
      <c r="G19" s="19"/>
      <c r="H19" s="19"/>
      <c r="I19" s="19"/>
      <c r="J19" s="19"/>
      <c r="K19" s="19"/>
      <c r="L19" s="19"/>
      <c r="M19" s="19"/>
      <c r="N19" s="19"/>
      <c r="O19" s="19">
        <f>IF(O70="","",SUM(O70,O60,O50,O40,O30))</f>
        <v>537350.65</v>
      </c>
      <c r="P19" s="19">
        <f>IF(P70="","",SUM(P70,P60,P50,P40,P30))</f>
        <v>1172809.1200000001</v>
      </c>
      <c r="Q19" s="19">
        <f t="shared" ref="Q19:AM19" si="147">IF(Q70="","",SUM(Q70,Q60,Q50,Q40,Q30))</f>
        <v>986774.89000000013</v>
      </c>
      <c r="R19" s="19">
        <f t="shared" si="147"/>
        <v>923411.36999999988</v>
      </c>
      <c r="S19" s="19">
        <f t="shared" si="147"/>
        <v>909838.04999999993</v>
      </c>
      <c r="T19" s="19">
        <f t="shared" si="147"/>
        <v>1132915.8700000001</v>
      </c>
      <c r="U19" s="19">
        <f t="shared" si="147"/>
        <v>1362123.2</v>
      </c>
      <c r="V19" s="19">
        <f t="shared" si="147"/>
        <v>1390822.9699999997</v>
      </c>
      <c r="W19" s="19">
        <f t="shared" si="147"/>
        <v>1187685.83</v>
      </c>
      <c r="X19" s="19">
        <f t="shared" si="147"/>
        <v>1088902.95</v>
      </c>
      <c r="Y19" s="19">
        <f t="shared" si="147"/>
        <v>967033.66</v>
      </c>
      <c r="Z19" s="19">
        <f t="shared" si="147"/>
        <v>1127375.2599999998</v>
      </c>
      <c r="AA19" s="19">
        <f t="shared" si="147"/>
        <v>1564054.24</v>
      </c>
      <c r="AB19" s="19">
        <f t="shared" si="147"/>
        <v>2918149.95</v>
      </c>
      <c r="AC19" s="19">
        <f t="shared" si="147"/>
        <v>2341476.66</v>
      </c>
      <c r="AD19" s="19">
        <f t="shared" si="147"/>
        <v>2277292.2400000002</v>
      </c>
      <c r="AE19" s="19">
        <f t="shared" si="147"/>
        <v>2092542.51</v>
      </c>
      <c r="AF19" s="19">
        <f t="shared" si="147"/>
        <v>2733321.58</v>
      </c>
      <c r="AG19" s="19">
        <f t="shared" si="147"/>
        <v>3027555.0300000003</v>
      </c>
      <c r="AH19" s="19">
        <f t="shared" si="147"/>
        <v>2821897.5300000003</v>
      </c>
      <c r="AI19" s="19">
        <f t="shared" si="147"/>
        <v>2761789.3</v>
      </c>
      <c r="AJ19" s="19">
        <f t="shared" si="147"/>
        <v>2334577.86</v>
      </c>
      <c r="AK19" s="19">
        <f t="shared" si="147"/>
        <v>2135905.58</v>
      </c>
      <c r="AL19" s="19">
        <f t="shared" si="147"/>
        <v>2637336.54</v>
      </c>
      <c r="AM19" s="19">
        <f t="shared" si="147"/>
        <v>2864307.75</v>
      </c>
      <c r="AN19" s="19">
        <f t="shared" ref="AN19:BJ19" si="148">IF(AN70="","",SUM(AN70,AN60,AN50,AN40,AN30))</f>
        <v>3913205.54</v>
      </c>
      <c r="AO19" s="19">
        <f t="shared" si="148"/>
        <v>3668828.91</v>
      </c>
      <c r="AP19" s="19">
        <f t="shared" si="148"/>
        <v>2948227.79</v>
      </c>
      <c r="AQ19" s="19">
        <f t="shared" si="148"/>
        <v>2787926.08</v>
      </c>
      <c r="AR19" s="19">
        <f t="shared" si="148"/>
        <v>3355190.74</v>
      </c>
      <c r="AS19" s="19">
        <f t="shared" si="148"/>
        <v>3841087.32</v>
      </c>
      <c r="AT19" s="19">
        <f t="shared" si="148"/>
        <v>3996506.1300000004</v>
      </c>
      <c r="AU19" s="19">
        <f t="shared" si="148"/>
        <v>3857985.29</v>
      </c>
      <c r="AV19" s="19">
        <f t="shared" si="148"/>
        <v>3394033.5700000003</v>
      </c>
      <c r="AW19" s="19">
        <f t="shared" si="148"/>
        <v>3039935.89</v>
      </c>
      <c r="AX19" s="19">
        <f t="shared" si="148"/>
        <v>3588979.25</v>
      </c>
      <c r="AY19" s="19">
        <f t="shared" si="148"/>
        <v>3834320.9</v>
      </c>
      <c r="AZ19" s="19">
        <f t="shared" si="148"/>
        <v>2980911.7</v>
      </c>
      <c r="BA19" s="19">
        <f t="shared" si="148"/>
        <v>719727.46</v>
      </c>
      <c r="BB19" s="19">
        <f t="shared" si="148"/>
        <v>586916</v>
      </c>
      <c r="BC19" s="19">
        <f t="shared" si="148"/>
        <v>539785.45000000007</v>
      </c>
      <c r="BD19" s="19">
        <f t="shared" si="148"/>
        <v>650130.59</v>
      </c>
      <c r="BE19" s="19">
        <f t="shared" si="148"/>
        <v>803822.54</v>
      </c>
      <c r="BF19" s="19">
        <f t="shared" si="148"/>
        <v>789573.41999999993</v>
      </c>
      <c r="BG19" s="19">
        <f t="shared" si="148"/>
        <v>758353.60999999987</v>
      </c>
      <c r="BH19" s="19">
        <f t="shared" si="148"/>
        <v>607761.55000000005</v>
      </c>
      <c r="BI19" s="19">
        <f t="shared" si="148"/>
        <v>609936.22</v>
      </c>
      <c r="BJ19" s="19">
        <f t="shared" si="148"/>
        <v>699524.21000000008</v>
      </c>
      <c r="BK19" s="19">
        <f t="shared" ref="BK19:BL19" si="149">IF(BK70="","",SUM(BK70,BK60,BK50,BK40,BK30))</f>
        <v>801052.46000000008</v>
      </c>
      <c r="BL19" s="19">
        <f t="shared" si="149"/>
        <v>-76987.240000000005</v>
      </c>
      <c r="BM19" s="19">
        <f t="shared" ref="BM19:BN19" si="150">IF(BM70="","",SUM(BM70,BM60,BM50,BM40,BM30))</f>
        <v>41616.47</v>
      </c>
      <c r="BN19" s="19">
        <f t="shared" si="150"/>
        <v>40035.020000000019</v>
      </c>
      <c r="BO19" s="19">
        <f t="shared" ref="BO19:BP19" si="151">IF(BO70="","",SUM(BO70,BO60,BO50,BO40,BO30))</f>
        <v>41627.089999999997</v>
      </c>
      <c r="BP19" s="19">
        <f t="shared" si="151"/>
        <v>42502.93</v>
      </c>
      <c r="BQ19" s="19">
        <f t="shared" ref="BQ19" si="152">IF(BQ70="","",SUM(BQ70,BQ60,BQ50,BQ40,BQ30))</f>
        <v>53150.990000000034</v>
      </c>
      <c r="BR19" s="19">
        <f>IF(BR70="","",SUM(BR70,BR60,BR50,BR40,BR30))</f>
        <v>51095.24</v>
      </c>
      <c r="BS19" s="19">
        <f t="shared" ref="BS19:BT19" si="153">IF(BS70="","",SUM(BS70,BS60,BS50,BS40,BS30))</f>
        <v>51933.100000000079</v>
      </c>
      <c r="BT19" s="19">
        <f t="shared" si="153"/>
        <v>45296.909999999989</v>
      </c>
      <c r="BU19" s="19">
        <f t="shared" ref="BU19:BV19" si="154">IF(BU70="","",SUM(BU70,BU60,BU50,BU40,BU30))</f>
        <v>39949.280000000013</v>
      </c>
      <c r="BV19" s="19">
        <f t="shared" si="154"/>
        <v>47264.200000000004</v>
      </c>
      <c r="BW19" s="19">
        <f t="shared" ref="BW19:BX19" si="155">IF(BW70="","",SUM(BW70,BW60,BW50,BW40,BW30))</f>
        <v>48344.990000000005</v>
      </c>
      <c r="BX19" s="19">
        <f t="shared" si="155"/>
        <v>5724.8099999999795</v>
      </c>
      <c r="BY19" s="19">
        <f t="shared" ref="BY19:BZ19" si="156">IF(BY70="","",SUM(BY70,BY60,BY50,BY40,BY30))</f>
        <v>1700.8699999999994</v>
      </c>
      <c r="BZ19" s="19">
        <f t="shared" si="156"/>
        <v>1627.1099999999992</v>
      </c>
      <c r="CA19" s="19">
        <f t="shared" ref="CA19:CB19" si="157">IF(CA70="","",SUM(CA70,CA60,CA50,CA40,CA30))</f>
        <v>1634.7500000000036</v>
      </c>
      <c r="CB19" s="19">
        <f t="shared" si="157"/>
        <v>1844.0800000000004</v>
      </c>
      <c r="CC19" s="19">
        <f t="shared" ref="CC19:CD19" si="158">IF(CC70="","",SUM(CC70,CC60,CC50,CC40,CC30))</f>
        <v>2014.4600000000019</v>
      </c>
      <c r="CD19" s="19">
        <f t="shared" si="158"/>
        <v>1986.8500000000031</v>
      </c>
      <c r="CE19" s="19">
        <f t="shared" ref="CE19:CF19" si="159">IF(CE70="","",SUM(CE70,CE60,CE50,CE40,CE30))</f>
        <v>1911.0699999999956</v>
      </c>
      <c r="CF19" s="19">
        <f t="shared" si="159"/>
        <v>1666.990000000003</v>
      </c>
      <c r="CG19" s="19">
        <f t="shared" ref="CG19:CH19" si="160">IF(CG70="","",SUM(CG70,CG60,CG50,CG40,CG30))</f>
        <v>1628.0799999999977</v>
      </c>
      <c r="CH19" s="19">
        <f t="shared" si="160"/>
        <v>1788.0499999999997</v>
      </c>
      <c r="CI19" s="19">
        <f t="shared" ref="CI19:CJ19" si="161">IF(CI70="","",SUM(CI70,CI60,CI50,CI40,CI30))</f>
        <v>1783.7600000000011</v>
      </c>
      <c r="CJ19" s="19">
        <f t="shared" si="161"/>
        <v>-1.4210854715202004E-12</v>
      </c>
      <c r="CK19" s="19">
        <f t="shared" ref="CK19:CL19" si="162">IF(CK70="","",SUM(CK70,CK60,CK50,CK40,CK30))</f>
        <v>1.0231815394945443E-12</v>
      </c>
      <c r="CL19" s="19">
        <f t="shared" si="162"/>
        <v>0</v>
      </c>
      <c r="CM19" s="19">
        <f t="shared" ref="CM19:CN19" si="163">IF(CM70="","",SUM(CM70,CM60,CM50,CM40,CM30))</f>
        <v>0</v>
      </c>
      <c r="CN19" s="19">
        <f t="shared" si="163"/>
        <v>0</v>
      </c>
      <c r="CO19" s="19">
        <f t="shared" ref="CO19:CP19" si="164">IF(CO70="","",SUM(CO70,CO60,CO50,CO40,CO30))</f>
        <v>0</v>
      </c>
      <c r="CP19" s="19">
        <f t="shared" si="164"/>
        <v>-2.8990143619012088E-12</v>
      </c>
      <c r="CQ19" s="19">
        <f t="shared" ref="CQ19:CR19" si="165">IF(CQ70="","",SUM(CQ70,CQ60,CQ50,CQ40,CQ30))</f>
        <v>0</v>
      </c>
      <c r="CR19" s="19">
        <f t="shared" si="165"/>
        <v>7.9580786405131221E-13</v>
      </c>
      <c r="CS19" s="19">
        <f t="shared" ref="CS19:CT19" si="166">IF(CS70="","",SUM(CS70,CS60,CS50,CS40,CS30))</f>
        <v>1.0231815394945443E-12</v>
      </c>
      <c r="CT19" s="19">
        <f t="shared" si="166"/>
        <v>3.5242919693700969E-12</v>
      </c>
      <c r="CU19" s="19">
        <f t="shared" ref="CU19" si="167">IF(CU70="","",SUM(CU70,CU60,CU50,CU40,CU30))</f>
        <v>7.9580786405131221E-13</v>
      </c>
    </row>
    <row r="20" spans="1:99" s="4" customFormat="1" x14ac:dyDescent="0.25">
      <c r="A20" s="292"/>
      <c r="B20" s="16" t="s">
        <v>13</v>
      </c>
      <c r="C20" s="24"/>
      <c r="D20" s="24"/>
      <c r="E20" s="19">
        <f t="shared" ref="E20:N20" si="168">IF(E71="","",SUM(E71,E61,E51,E41,E31))</f>
        <v>0</v>
      </c>
      <c r="F20" s="19">
        <f t="shared" si="168"/>
        <v>1328.78</v>
      </c>
      <c r="G20" s="19">
        <f t="shared" si="168"/>
        <v>-7866.5800000000008</v>
      </c>
      <c r="H20" s="19">
        <f t="shared" si="168"/>
        <v>-133053.58000000002</v>
      </c>
      <c r="I20" s="19">
        <f t="shared" si="168"/>
        <v>-51681.239999999976</v>
      </c>
      <c r="J20" s="19">
        <f t="shared" si="168"/>
        <v>77261.489999999903</v>
      </c>
      <c r="K20" s="19">
        <f t="shared" si="168"/>
        <v>432756.34000000008</v>
      </c>
      <c r="L20" s="19">
        <f t="shared" si="168"/>
        <v>-47145.189999999871</v>
      </c>
      <c r="M20" s="19">
        <f t="shared" si="168"/>
        <v>69087.899999999878</v>
      </c>
      <c r="N20" s="19">
        <f t="shared" si="168"/>
        <v>151902.13000000003</v>
      </c>
      <c r="O20" s="19">
        <f>IF(O71="","",SUM(O71,O61,O51,O41,O31))</f>
        <v>-27689.770000000048</v>
      </c>
      <c r="P20" s="19">
        <f t="shared" ref="P20:AM20" si="169">IF(P71="","",SUM(P71,P61,P51,P41,P31))</f>
        <v>-686607.62999999977</v>
      </c>
      <c r="Q20" s="19">
        <f t="shared" si="169"/>
        <v>-471935.5300000002</v>
      </c>
      <c r="R20" s="19">
        <f>IF(R71="","",SUM(R71,R61,R51,R41,R31))</f>
        <v>-610715.52000000025</v>
      </c>
      <c r="S20" s="19">
        <f t="shared" si="169"/>
        <v>-517363.80000000016</v>
      </c>
      <c r="T20" s="19">
        <f t="shared" si="169"/>
        <v>215932.49000000043</v>
      </c>
      <c r="U20" s="19">
        <f t="shared" si="169"/>
        <v>596646.87</v>
      </c>
      <c r="V20" s="19">
        <f t="shared" si="169"/>
        <v>728529.22</v>
      </c>
      <c r="W20" s="19">
        <f t="shared" si="169"/>
        <v>465319.60999999975</v>
      </c>
      <c r="X20" s="19">
        <f t="shared" si="169"/>
        <v>-338265.06999999942</v>
      </c>
      <c r="Y20" s="19">
        <f t="shared" si="169"/>
        <v>-141981.55000000101</v>
      </c>
      <c r="Z20" s="19">
        <f t="shared" si="169"/>
        <v>-30273.279999999155</v>
      </c>
      <c r="AA20" s="19">
        <f t="shared" si="169"/>
        <v>-330626.83000000083</v>
      </c>
      <c r="AB20" s="19">
        <f t="shared" si="169"/>
        <v>-1855411.3700000003</v>
      </c>
      <c r="AC20" s="19">
        <f t="shared" si="169"/>
        <v>-1225018.9699999983</v>
      </c>
      <c r="AD20" s="19">
        <f t="shared" si="169"/>
        <v>-1317498.7600000007</v>
      </c>
      <c r="AE20" s="19">
        <f t="shared" si="169"/>
        <v>-668311.41000000061</v>
      </c>
      <c r="AF20" s="19">
        <f t="shared" si="169"/>
        <v>1071247.660000002</v>
      </c>
      <c r="AG20" s="19">
        <f t="shared" si="169"/>
        <v>2085194.560000001</v>
      </c>
      <c r="AH20" s="19">
        <f t="shared" si="169"/>
        <v>1891970.0200000023</v>
      </c>
      <c r="AI20" s="19">
        <f t="shared" si="169"/>
        <v>836550.65999999898</v>
      </c>
      <c r="AJ20" s="19">
        <f t="shared" si="169"/>
        <v>-620052.32000000216</v>
      </c>
      <c r="AK20" s="19">
        <f t="shared" si="169"/>
        <v>-564484.33000000182</v>
      </c>
      <c r="AL20" s="19">
        <f t="shared" si="169"/>
        <v>-717816.6100000001</v>
      </c>
      <c r="AM20" s="19">
        <f t="shared" si="169"/>
        <v>-803872.98000000278</v>
      </c>
      <c r="AN20" s="19">
        <f t="shared" ref="AN20:BJ20" si="170">IF(AN71="","",SUM(AN71,AN61,AN51,AN41,AN31))</f>
        <v>-2113578.2199999974</v>
      </c>
      <c r="AO20" s="19">
        <f t="shared" si="170"/>
        <v>-1356237.1399999955</v>
      </c>
      <c r="AP20" s="19">
        <f>IF(AP71="","",SUM(AP71,AP61,AP51,AP41,AP31))</f>
        <v>-838313.79000000027</v>
      </c>
      <c r="AQ20" s="19">
        <f t="shared" si="170"/>
        <v>-899940.12000000197</v>
      </c>
      <c r="AR20" s="19">
        <f t="shared" si="170"/>
        <v>2768603.9000000013</v>
      </c>
      <c r="AS20" s="19">
        <f t="shared" si="170"/>
        <v>3534224.4699999974</v>
      </c>
      <c r="AT20" s="19">
        <f t="shared" si="170"/>
        <v>2972766.0900000017</v>
      </c>
      <c r="AU20" s="19">
        <f t="shared" si="170"/>
        <v>1267302.1999999983</v>
      </c>
      <c r="AV20" s="19">
        <f t="shared" si="170"/>
        <v>-1170724.5700000017</v>
      </c>
      <c r="AW20" s="19">
        <f t="shared" si="170"/>
        <v>-961540.15999999747</v>
      </c>
      <c r="AX20" s="19">
        <f t="shared" si="170"/>
        <v>-1360244.5700000012</v>
      </c>
      <c r="AY20" s="19">
        <f t="shared" si="170"/>
        <v>-1464472.9500000002</v>
      </c>
      <c r="AZ20" s="19">
        <f t="shared" si="170"/>
        <v>-2763356.310000001</v>
      </c>
      <c r="BA20" s="19">
        <f t="shared" si="170"/>
        <v>1220445.3899999969</v>
      </c>
      <c r="BB20" s="19">
        <f t="shared" si="170"/>
        <v>-584629.68999999762</v>
      </c>
      <c r="BC20" s="19">
        <f t="shared" si="170"/>
        <v>-539752.06000000262</v>
      </c>
      <c r="BD20" s="19">
        <f t="shared" si="170"/>
        <v>-637907.27999999758</v>
      </c>
      <c r="BE20" s="19">
        <f t="shared" si="170"/>
        <v>-780969.36000000034</v>
      </c>
      <c r="BF20" s="19">
        <f t="shared" si="170"/>
        <v>-752219.5700000003</v>
      </c>
      <c r="BG20" s="19">
        <f t="shared" si="170"/>
        <v>-723943.9999999986</v>
      </c>
      <c r="BH20" s="19">
        <f t="shared" si="170"/>
        <v>-594265.3899999999</v>
      </c>
      <c r="BI20" s="19">
        <f t="shared" si="170"/>
        <v>-597066.15000000154</v>
      </c>
      <c r="BJ20" s="19">
        <f t="shared" si="170"/>
        <v>-681810.18000000075</v>
      </c>
      <c r="BK20" s="19">
        <f t="shared" ref="BK20:BL20" si="171">IF(BK71="","",SUM(BK71,BK61,BK51,BK41,BK31))</f>
        <v>-780225.57999999914</v>
      </c>
      <c r="BL20" s="19">
        <f t="shared" si="171"/>
        <v>96086.460000000676</v>
      </c>
      <c r="BM20" s="19">
        <f t="shared" ref="BM20:BN20" si="172">IF(BM71="","",SUM(BM71,BM61,BM51,BM41,BM31))</f>
        <v>-20195.009999999103</v>
      </c>
      <c r="BN20" s="19">
        <f t="shared" si="172"/>
        <v>-20866.639999999203</v>
      </c>
      <c r="BO20" s="19">
        <f t="shared" ref="BO20:BP20" si="173">IF(BO71="","",SUM(BO71,BO61,BO51,BO41,BO31))</f>
        <v>-16162.000000003867</v>
      </c>
      <c r="BP20" s="19">
        <f t="shared" si="173"/>
        <v>27857.620000002607</v>
      </c>
      <c r="BQ20" s="19">
        <f t="shared" ref="BQ20:BR20" si="174">IF(BQ71="","",SUM(BQ71,BQ61,BQ51,BQ41,BQ31))</f>
        <v>38051.150000000562</v>
      </c>
      <c r="BR20" s="19">
        <f t="shared" si="174"/>
        <v>33403.999999998829</v>
      </c>
      <c r="BS20" s="19">
        <f t="shared" ref="BS20:BT20" si="175">IF(BS71="","",SUM(BS71,BS61,BS51,BS41,BS31))</f>
        <v>2018.7499999995471</v>
      </c>
      <c r="BT20" s="19">
        <f t="shared" si="175"/>
        <v>-23385.799999999192</v>
      </c>
      <c r="BU20" s="19">
        <f t="shared" ref="BU20:BV20" si="176">IF(BU71="","",SUM(BU71,BU61,BU51,BU41,BU31))</f>
        <v>-19323.200000000405</v>
      </c>
      <c r="BV20" s="19">
        <f t="shared" si="176"/>
        <v>-22488.900000001122</v>
      </c>
      <c r="BW20" s="19">
        <f t="shared" ref="BW20:BX20" si="177">IF(BW71="","",SUM(BW71,BW61,BW51,BW41,BW31))</f>
        <v>-22514.96999999859</v>
      </c>
      <c r="BX20" s="19">
        <f t="shared" si="177"/>
        <v>15499.079999997357</v>
      </c>
      <c r="BY20" s="19">
        <f t="shared" ref="BY20:BZ20" si="178">IF(BY71="","",SUM(BY71,BY61,BY51,BY41,BY31))</f>
        <v>-1700.8699999999994</v>
      </c>
      <c r="BZ20" s="19">
        <f t="shared" si="178"/>
        <v>-1627.1099999999992</v>
      </c>
      <c r="CA20" s="19">
        <f t="shared" ref="CA20:CB20" si="179">IF(CA71="","",SUM(CA71,CA61,CA51,CA41,CA31))</f>
        <v>-1634.7500000000036</v>
      </c>
      <c r="CB20" s="19">
        <f t="shared" si="179"/>
        <v>-1844.0800000000004</v>
      </c>
      <c r="CC20" s="19">
        <f t="shared" ref="CC20:CD20" si="180">IF(CC71="","",SUM(CC71,CC61,CC51,CC41,CC31))</f>
        <v>-2014.4600000000019</v>
      </c>
      <c r="CD20" s="19">
        <f t="shared" si="180"/>
        <v>-1986.8500000000031</v>
      </c>
      <c r="CE20" s="19">
        <f t="shared" ref="CE20:CF20" si="181">IF(CE71="","",SUM(CE71,CE61,CE51,CE41,CE31))</f>
        <v>-1911.0699999999956</v>
      </c>
      <c r="CF20" s="19">
        <f t="shared" si="181"/>
        <v>-1666.9899999999825</v>
      </c>
      <c r="CG20" s="19">
        <f t="shared" ref="CG20:CH20" si="182">IF(CG71="","",SUM(CG71,CG61,CG51,CG41,CG31))</f>
        <v>-1628.0799999999977</v>
      </c>
      <c r="CH20" s="19">
        <f t="shared" si="182"/>
        <v>-1788.0499999999997</v>
      </c>
      <c r="CI20" s="19">
        <f t="shared" ref="CI20:CJ20" si="183">IF(CI71="","",SUM(CI71,CI61,CI51,CI41,CI31))</f>
        <v>-1783.7600000000011</v>
      </c>
      <c r="CJ20" s="19">
        <f t="shared" si="183"/>
        <v>1.4210854715202004E-12</v>
      </c>
      <c r="CK20" s="19">
        <f t="shared" ref="CK20:CL20" si="184">IF(CK71="","",SUM(CK71,CK61,CK51,CK41,CK31))</f>
        <v>-1.0231815394945443E-12</v>
      </c>
      <c r="CL20" s="19">
        <f t="shared" si="184"/>
        <v>0</v>
      </c>
      <c r="CM20" s="19">
        <f t="shared" ref="CM20:CN20" si="185">IF(CM71="","",SUM(CM71,CM61,CM51,CM41,CM31))</f>
        <v>0</v>
      </c>
      <c r="CN20" s="19">
        <f t="shared" si="185"/>
        <v>0</v>
      </c>
      <c r="CO20" s="19">
        <f t="shared" ref="CO20:CP20" si="186">IF(CO71="","",SUM(CO71,CO61,CO51,CO41,CO31))</f>
        <v>0</v>
      </c>
      <c r="CP20" s="19">
        <f t="shared" si="186"/>
        <v>2.8990143619012088E-12</v>
      </c>
      <c r="CQ20" s="19">
        <f t="shared" ref="CQ20:CR20" si="187">IF(CQ71="","",SUM(CQ71,CQ61,CQ51,CQ41,CQ31))</f>
        <v>0</v>
      </c>
      <c r="CR20" s="19">
        <f t="shared" si="187"/>
        <v>-7.9580786405131221E-13</v>
      </c>
      <c r="CS20" s="19">
        <f t="shared" ref="CS20:CT20" si="188">IF(CS71="","",SUM(CS71,CS61,CS51,CS41,CS31))</f>
        <v>-1.0231815394945443E-12</v>
      </c>
      <c r="CT20" s="19">
        <f t="shared" si="188"/>
        <v>-3.5242919693700969E-12</v>
      </c>
      <c r="CU20" s="19">
        <f t="shared" ref="CU20" si="189">IF(CU71="","",SUM(CU71,CU61,CU51,CU41,CU31))</f>
        <v>-7.9580786405131221E-13</v>
      </c>
    </row>
    <row r="21" spans="1:99" s="4" customFormat="1" x14ac:dyDescent="0.25">
      <c r="A21" s="292"/>
      <c r="B21" s="17" t="s">
        <v>8</v>
      </c>
      <c r="C21" s="28"/>
      <c r="D21" s="28"/>
      <c r="E21" s="19">
        <f t="shared" ref="E21:N21" si="190">IF(E72="","",SUM(E72,E62,E52,E42,E32))</f>
        <v>0</v>
      </c>
      <c r="F21" s="19">
        <f t="shared" si="190"/>
        <v>0.8255809798499999</v>
      </c>
      <c r="G21" s="19">
        <f t="shared" si="190"/>
        <v>-4.1171717033740967</v>
      </c>
      <c r="H21" s="19">
        <f t="shared" si="190"/>
        <v>-72.859344916704288</v>
      </c>
      <c r="I21" s="19">
        <f t="shared" si="190"/>
        <v>-100.30550409638994</v>
      </c>
      <c r="J21" s="19">
        <f t="shared" si="190"/>
        <v>-72.753288511569778</v>
      </c>
      <c r="K21" s="19">
        <f t="shared" si="190"/>
        <v>200.50907880827907</v>
      </c>
      <c r="L21" s="19">
        <f t="shared" si="190"/>
        <v>172.02097202559608</v>
      </c>
      <c r="M21" s="19">
        <f t="shared" si="190"/>
        <v>217.02433769691845</v>
      </c>
      <c r="N21" s="19">
        <f t="shared" si="190"/>
        <v>395.24966455308538</v>
      </c>
      <c r="O21" s="19">
        <f>IF(O72="","",SUM(O72,O62,O52,O42,O32))</f>
        <v>349.22690574362667</v>
      </c>
      <c r="P21" s="19">
        <f t="shared" ref="P21:AM21" si="191">IF(P72="","",SUM(P72,P62,P52,P42,P32))</f>
        <v>9085.067358698212</v>
      </c>
      <c r="Q21" s="19">
        <f t="shared" si="191"/>
        <v>10214.988880944247</v>
      </c>
      <c r="R21" s="19">
        <f t="shared" si="191"/>
        <v>8736.5914682051516</v>
      </c>
      <c r="S21" s="19">
        <f t="shared" si="191"/>
        <v>7362.8607904455157</v>
      </c>
      <c r="T21" s="19">
        <f t="shared" si="191"/>
        <v>7923.3961160293629</v>
      </c>
      <c r="U21" s="19">
        <f t="shared" si="191"/>
        <v>6924.7664517725752</v>
      </c>
      <c r="V21" s="19">
        <f t="shared" si="191"/>
        <v>6462.66116279367</v>
      </c>
      <c r="W21" s="19">
        <f t="shared" si="191"/>
        <v>5489.9778987375539</v>
      </c>
      <c r="X21" s="19">
        <f t="shared" si="191"/>
        <v>3758.5776328034472</v>
      </c>
      <c r="Y21" s="19">
        <f t="shared" si="191"/>
        <v>2383.460710457091</v>
      </c>
      <c r="Z21" s="19">
        <f t="shared" si="191"/>
        <v>1195.4037651526837</v>
      </c>
      <c r="AA21" s="19">
        <f t="shared" si="191"/>
        <v>-1558.2361761768202</v>
      </c>
      <c r="AB21" s="19">
        <f t="shared" si="191"/>
        <v>-4135.4843592056523</v>
      </c>
      <c r="AC21" s="19">
        <f t="shared" si="191"/>
        <v>-6601.5401414695589</v>
      </c>
      <c r="AD21" s="19">
        <f t="shared" si="191"/>
        <v>-9814.0716615506135</v>
      </c>
      <c r="AE21" s="19">
        <f t="shared" si="191"/>
        <v>-10424.565326607853</v>
      </c>
      <c r="AF21" s="19">
        <f t="shared" si="191"/>
        <v>-8592.4080339308275</v>
      </c>
      <c r="AG21" s="19">
        <f t="shared" si="191"/>
        <v>-4589.5334392042514</v>
      </c>
      <c r="AH21" s="19">
        <f t="shared" si="191"/>
        <v>-680.13265225356713</v>
      </c>
      <c r="AI21" s="19">
        <f t="shared" si="191"/>
        <v>1145.4899555983075</v>
      </c>
      <c r="AJ21" s="19">
        <f t="shared" si="191"/>
        <v>131.71181854024999</v>
      </c>
      <c r="AK21" s="19">
        <f t="shared" si="191"/>
        <v>-872.82874485446064</v>
      </c>
      <c r="AL21" s="19">
        <f t="shared" si="191"/>
        <v>-2378.181461454757</v>
      </c>
      <c r="AM21" s="19">
        <f t="shared" si="191"/>
        <v>-4152.6707867001551</v>
      </c>
      <c r="AN21" s="19">
        <f t="shared" ref="AN21:BJ21" si="192">IF(AN72="","",SUM(AN72,AN62,AN52,AN42,AN32))</f>
        <v>-8693.6427814507442</v>
      </c>
      <c r="AO21" s="19">
        <f t="shared" si="192"/>
        <v>-11321.044918425599</v>
      </c>
      <c r="AP21" s="19">
        <f t="shared" si="192"/>
        <v>-12444.339198648122</v>
      </c>
      <c r="AQ21" s="19">
        <f t="shared" si="192"/>
        <v>-14340.930585698752</v>
      </c>
      <c r="AR21" s="19">
        <f t="shared" si="192"/>
        <v>-7824.4663662353232</v>
      </c>
      <c r="AS21" s="19">
        <f>IF(AS72="","",SUM(AS72,AS62,AS52,AS42,AS32))</f>
        <v>-9334.3642759392933</v>
      </c>
      <c r="AT21" s="19">
        <f t="shared" si="192"/>
        <v>6436.4567620007265</v>
      </c>
      <c r="AU21" s="19">
        <f t="shared" si="192"/>
        <v>8716.5698904362325</v>
      </c>
      <c r="AV21" s="19">
        <f t="shared" si="192"/>
        <v>6493.0782834717565</v>
      </c>
      <c r="AW21" s="19">
        <f t="shared" si="192"/>
        <v>4311.4565601479198</v>
      </c>
      <c r="AX21" s="19">
        <f t="shared" si="192"/>
        <v>2634.364905981166</v>
      </c>
      <c r="AY21" s="19">
        <f t="shared" si="192"/>
        <v>571.98694501053819</v>
      </c>
      <c r="AZ21" s="19">
        <f t="shared" si="192"/>
        <v>-2717.5270852719018</v>
      </c>
      <c r="BA21" s="19">
        <f t="shared" si="192"/>
        <v>-887.8602214947432</v>
      </c>
      <c r="BB21" s="19">
        <f t="shared" si="192"/>
        <v>-901.63300423930241</v>
      </c>
      <c r="BC21" s="19">
        <f t="shared" si="192"/>
        <v>-183.12335601764065</v>
      </c>
      <c r="BD21" s="19">
        <f t="shared" si="192"/>
        <v>-242.20074501515484</v>
      </c>
      <c r="BE21" s="19">
        <f t="shared" si="192"/>
        <v>-494.70415668784943</v>
      </c>
      <c r="BF21" s="19">
        <f t="shared" si="192"/>
        <v>-432.37686754103748</v>
      </c>
      <c r="BG21" s="19">
        <f t="shared" si="192"/>
        <v>-466.39017441813189</v>
      </c>
      <c r="BH21" s="19">
        <f t="shared" si="192"/>
        <v>-854.31199570538581</v>
      </c>
      <c r="BI21" s="19">
        <f t="shared" si="192"/>
        <v>-1205.9083216950889</v>
      </c>
      <c r="BJ21" s="19">
        <f t="shared" si="192"/>
        <v>-1518.9937740867333</v>
      </c>
      <c r="BK21" s="19">
        <f t="shared" ref="BK21:BL21" si="193">IF(BK72="","",SUM(BK72,BK62,BK52,BK42,BK32))</f>
        <v>-1226.0127552387839</v>
      </c>
      <c r="BL21" s="19">
        <f t="shared" si="193"/>
        <v>-1401.5041271901016</v>
      </c>
      <c r="BM21" s="19">
        <f t="shared" ref="BM21:BN21" si="194">IF(BM72="","",SUM(BM72,BM62,BM52,BM42,BM32))</f>
        <v>-1184.0324974503467</v>
      </c>
      <c r="BN21" s="19">
        <f t="shared" si="194"/>
        <v>-1162.8472145595047</v>
      </c>
      <c r="BO21" s="19">
        <f t="shared" ref="BO21:BP21" si="195">IF(BO72="","",SUM(BO72,BO62,BO52,BO42,BO32))</f>
        <v>-1074.9850853514536</v>
      </c>
      <c r="BP21" s="19">
        <f t="shared" si="195"/>
        <v>-868.97459291636187</v>
      </c>
      <c r="BQ21" s="19">
        <f t="shared" ref="BQ21:BR21" si="196">IF(BQ72="","",SUM(BQ72,BQ62,BQ52,BQ42,BQ32))</f>
        <v>-515.87606494964007</v>
      </c>
      <c r="BR21" s="19">
        <f t="shared" si="196"/>
        <v>-632.94049118212047</v>
      </c>
      <c r="BS21" s="19">
        <f t="shared" ref="BS21:BT21" si="197">IF(BS72="","",SUM(BS72,BS62,BS52,BS42,BS32))</f>
        <v>-483.61735946795693</v>
      </c>
      <c r="BT21" s="19">
        <f t="shared" si="197"/>
        <v>-310.75679356401361</v>
      </c>
      <c r="BU21" s="19">
        <f t="shared" ref="BU21:BV21" si="198">IF(BU72="","",SUM(BU72,BU62,BU52,BU42,BU32))</f>
        <v>-256.98413884328068</v>
      </c>
      <c r="BV21" s="19">
        <f t="shared" si="198"/>
        <v>-314.16559918609727</v>
      </c>
      <c r="BW21" s="19">
        <f t="shared" ref="BW21:BX21" si="199">IF(BW72="","",SUM(BW72,BW62,BW52,BW42,BW32))</f>
        <v>-150.60802193166325</v>
      </c>
      <c r="BX21" s="19">
        <f t="shared" si="199"/>
        <v>-79.545964253529533</v>
      </c>
      <c r="BY21" s="19">
        <f t="shared" ref="BY21:BZ21" si="200">IF(BY72="","",SUM(BY72,BY62,BY52,BY42,BY32))</f>
        <v>-151.16564332316423</v>
      </c>
      <c r="BZ21" s="19">
        <f t="shared" si="200"/>
        <v>-102.6392662555599</v>
      </c>
      <c r="CA21" s="19">
        <f t="shared" ref="CA21:CB21" si="201">IF(CA72="","",SUM(CA72,CA62,CA52,CA42,CA32))</f>
        <v>-122.26697962723581</v>
      </c>
      <c r="CB21" s="19">
        <f t="shared" si="201"/>
        <v>-118.80915309391108</v>
      </c>
      <c r="CC21" s="19">
        <f t="shared" ref="CC21:CD21" si="202">IF(CC72="","",SUM(CC72,CC62,CC52,CC42,CC32))</f>
        <v>-47.3174956949766</v>
      </c>
      <c r="CD21" s="19">
        <f t="shared" si="202"/>
        <v>83.74027810027917</v>
      </c>
      <c r="CE21" s="19">
        <f t="shared" ref="CE21:CF21" si="203">IF(CE72="","",SUM(CE72,CE62,CE52,CE42,CE32))</f>
        <v>240.95224114120731</v>
      </c>
      <c r="CF21" s="19">
        <f t="shared" si="203"/>
        <v>446.03223553016858</v>
      </c>
      <c r="CG21" s="19">
        <f t="shared" ref="CG21:CH21" si="204">IF(CG72="","",SUM(CG72,CG62,CG52,CG42,CG32))</f>
        <v>730.53832019990136</v>
      </c>
      <c r="CH21" s="19">
        <f t="shared" si="204"/>
        <v>1018.342252235734</v>
      </c>
      <c r="CI21" s="19">
        <f t="shared" ref="CI21:CJ21" si="205">IF(CI72="","",SUM(CI72,CI62,CI52,CI42,CI32))</f>
        <v>1772.0704584065452</v>
      </c>
      <c r="CJ21" s="19">
        <f t="shared" si="205"/>
        <v>1426.5122125997491</v>
      </c>
      <c r="CK21" s="19">
        <f t="shared" ref="CK21:CL21" si="206">IF(CK72="","",SUM(CK72,CK62,CK52,CK42,CK32))</f>
        <v>1368.5425842102904</v>
      </c>
      <c r="CL21" s="19">
        <f t="shared" si="206"/>
        <v>1345.197561332604</v>
      </c>
      <c r="CM21" s="19">
        <f t="shared" ref="CM21:CN21" si="207">IF(CM72="","",SUM(CM72,CM62,CM52,CM42,CM32))</f>
        <v>1279.5800240182755</v>
      </c>
      <c r="CN21" s="19">
        <f t="shared" si="207"/>
        <v>1187.1192546707166</v>
      </c>
      <c r="CO21" s="19">
        <f t="shared" ref="CO21:CP21" si="208">IF(CO72="","",SUM(CO72,CO62,CO52,CO42,CO32))</f>
        <v>1060.372682582019</v>
      </c>
      <c r="CP21" s="19">
        <f t="shared" si="208"/>
        <v>930.98798948126102</v>
      </c>
      <c r="CQ21" s="19">
        <f t="shared" ref="CQ21:CR21" si="209">IF(CQ72="","",SUM(CQ72,CQ62,CQ52,CQ42,CQ32))</f>
        <v>795.26135757461748</v>
      </c>
      <c r="CR21" s="19">
        <f t="shared" si="209"/>
        <v>687.32559516331912</v>
      </c>
      <c r="CS21" s="19">
        <f t="shared" ref="CS21:CT21" si="210">IF(CS72="","",SUM(CS72,CS62,CS52,CS42,CS32))</f>
        <v>597.16579902922285</v>
      </c>
      <c r="CT21" s="19">
        <f t="shared" si="210"/>
        <v>474.72977001885079</v>
      </c>
      <c r="CU21" s="19">
        <f t="shared" ref="CU21" si="211">IF(CU72="","",SUM(CU72,CU62,CU52,CU42,CU32))</f>
        <v>310.03243780340819</v>
      </c>
    </row>
    <row r="22" spans="1:99" s="4" customFormat="1" x14ac:dyDescent="0.25">
      <c r="A22" s="292"/>
      <c r="B22" s="17" t="s">
        <v>27</v>
      </c>
      <c r="C22" s="28"/>
      <c r="D22" s="28"/>
      <c r="E22" s="19">
        <f>IF(E21="","",E21)</f>
        <v>0</v>
      </c>
      <c r="F22" s="14">
        <f>IF(F21="","",E22+F21)</f>
        <v>0.8255809798499999</v>
      </c>
      <c r="G22" s="14">
        <f>IF(G21="","",F22+G21)</f>
        <v>-3.2915907235240969</v>
      </c>
      <c r="H22" s="14">
        <f>IF(H21="","",G22+H21)</f>
        <v>-76.150935640228383</v>
      </c>
      <c r="I22" s="14">
        <f t="shared" ref="I22:AM22" si="212">IF(I21="","",H22+I21)</f>
        <v>-176.45643973661834</v>
      </c>
      <c r="J22" s="14">
        <f t="shared" si="212"/>
        <v>-249.20972824818813</v>
      </c>
      <c r="K22" s="14">
        <f t="shared" si="212"/>
        <v>-48.700649439909057</v>
      </c>
      <c r="L22" s="14">
        <f t="shared" si="212"/>
        <v>123.32032258568702</v>
      </c>
      <c r="M22" s="14">
        <f t="shared" si="212"/>
        <v>340.34466028260545</v>
      </c>
      <c r="N22" s="14">
        <f t="shared" si="212"/>
        <v>735.59432483569083</v>
      </c>
      <c r="O22" s="14">
        <f t="shared" si="212"/>
        <v>1084.8212305793174</v>
      </c>
      <c r="P22" s="14">
        <f t="shared" si="212"/>
        <v>10169.888589277529</v>
      </c>
      <c r="Q22" s="14">
        <f t="shared" si="212"/>
        <v>20384.877470221778</v>
      </c>
      <c r="R22" s="14">
        <f t="shared" si="212"/>
        <v>29121.46893842693</v>
      </c>
      <c r="S22" s="14">
        <f t="shared" si="212"/>
        <v>36484.329728872443</v>
      </c>
      <c r="T22" s="14">
        <f t="shared" si="212"/>
        <v>44407.725844901805</v>
      </c>
      <c r="U22" s="14">
        <f t="shared" si="212"/>
        <v>51332.492296674376</v>
      </c>
      <c r="V22" s="14">
        <f t="shared" si="212"/>
        <v>57795.153459468049</v>
      </c>
      <c r="W22" s="14">
        <f t="shared" si="212"/>
        <v>63285.131358205603</v>
      </c>
      <c r="X22" s="14">
        <f t="shared" si="212"/>
        <v>67043.708991009044</v>
      </c>
      <c r="Y22" s="14">
        <f t="shared" si="212"/>
        <v>69427.169701466133</v>
      </c>
      <c r="Z22" s="14">
        <f t="shared" si="212"/>
        <v>70622.573466618822</v>
      </c>
      <c r="AA22" s="14">
        <f t="shared" si="212"/>
        <v>69064.337290441996</v>
      </c>
      <c r="AB22" s="14">
        <f t="shared" si="212"/>
        <v>64928.852931236346</v>
      </c>
      <c r="AC22" s="14">
        <f t="shared" si="212"/>
        <v>58327.312789766787</v>
      </c>
      <c r="AD22" s="14">
        <f t="shared" si="212"/>
        <v>48513.241128216177</v>
      </c>
      <c r="AE22" s="14">
        <f t="shared" si="212"/>
        <v>38088.675801608326</v>
      </c>
      <c r="AF22" s="14">
        <f t="shared" si="212"/>
        <v>29496.267767677498</v>
      </c>
      <c r="AG22" s="14">
        <f t="shared" si="212"/>
        <v>24906.734328473249</v>
      </c>
      <c r="AH22" s="14">
        <f t="shared" si="212"/>
        <v>24226.601676219681</v>
      </c>
      <c r="AI22" s="14">
        <f t="shared" si="212"/>
        <v>25372.091631817988</v>
      </c>
      <c r="AJ22" s="14">
        <f t="shared" si="212"/>
        <v>25503.803450358238</v>
      </c>
      <c r="AK22" s="14">
        <f t="shared" si="212"/>
        <v>24630.974705503777</v>
      </c>
      <c r="AL22" s="14">
        <f t="shared" si="212"/>
        <v>22252.793244049019</v>
      </c>
      <c r="AM22" s="14">
        <f t="shared" si="212"/>
        <v>18100.122457348865</v>
      </c>
      <c r="AN22" s="14">
        <f t="shared" ref="AN22" si="213">IF(AN21="","",AM22+AN21)</f>
        <v>9406.4796758981211</v>
      </c>
      <c r="AO22" s="14">
        <f t="shared" ref="AO22" si="214">IF(AO21="","",AN22+AO21)</f>
        <v>-1914.5652425274784</v>
      </c>
      <c r="AP22" s="14">
        <f t="shared" ref="AP22" si="215">IF(AP21="","",AO22+AP21)</f>
        <v>-14358.9044411756</v>
      </c>
      <c r="AQ22" s="14">
        <f t="shared" ref="AQ22" si="216">IF(AQ21="","",AP22+AQ21)</f>
        <v>-28699.835026874352</v>
      </c>
      <c r="AR22" s="14">
        <f t="shared" ref="AR22" si="217">IF(AR21="","",AQ22+AR21)</f>
        <v>-36524.301393109679</v>
      </c>
      <c r="AS22" s="14">
        <f>IF(AS21="","",AR22+AS21)</f>
        <v>-45858.665669048976</v>
      </c>
      <c r="AT22" s="14">
        <f t="shared" ref="AT22" si="218">IF(AT21="","",AS22+AT21)</f>
        <v>-39422.208907048247</v>
      </c>
      <c r="AU22" s="14">
        <f t="shared" ref="AU22" si="219">IF(AU21="","",AT22+AU21)</f>
        <v>-30705.639016612015</v>
      </c>
      <c r="AV22" s="14">
        <f t="shared" ref="AV22" si="220">IF(AV21="","",AU22+AV21)</f>
        <v>-24212.560733140257</v>
      </c>
      <c r="AW22" s="14">
        <f t="shared" ref="AW22" si="221">IF(AW21="","",AV22+AW21)</f>
        <v>-19901.104172992338</v>
      </c>
      <c r="AX22" s="14">
        <f t="shared" ref="AX22" si="222">IF(AX21="","",AW22+AX21)</f>
        <v>-17266.739267011173</v>
      </c>
      <c r="AY22" s="14">
        <f t="shared" ref="AY22" si="223">IF(AY21="","",AX22+AY21)</f>
        <v>-16694.752322000633</v>
      </c>
      <c r="AZ22" s="14">
        <f t="shared" ref="AZ22" si="224">IF(AZ21="","",AY22+AZ21)</f>
        <v>-19412.279407272534</v>
      </c>
      <c r="BA22" s="14">
        <f t="shared" ref="BA22" si="225">IF(BA21="","",AZ22+BA21)</f>
        <v>-20300.139628767276</v>
      </c>
      <c r="BB22" s="14">
        <f t="shared" ref="BB22" si="226">IF(BB21="","",BA22+BB21)</f>
        <v>-21201.772633006578</v>
      </c>
      <c r="BC22" s="14">
        <f t="shared" ref="BC22" si="227">IF(BC21="","",BB22+BC21)</f>
        <v>-21384.895989024219</v>
      </c>
      <c r="BD22" s="14">
        <f t="shared" ref="BD22" si="228">IF(BD21="","",BC22+BD21)</f>
        <v>-21627.096734039373</v>
      </c>
      <c r="BE22" s="14">
        <f t="shared" ref="BE22" si="229">IF(BE21="","",BD22+BE21)</f>
        <v>-22121.800890727223</v>
      </c>
      <c r="BF22" s="14">
        <f t="shared" ref="BF22" si="230">IF(BF21="","",BE22+BF21)</f>
        <v>-22554.177758268263</v>
      </c>
      <c r="BG22" s="14">
        <f t="shared" ref="BG22" si="231">IF(BG21="","",BF22+BG21)</f>
        <v>-23020.567932686394</v>
      </c>
      <c r="BH22" s="14">
        <f t="shared" ref="BH22" si="232">IF(BH21="","",BG22+BH21)</f>
        <v>-23874.87992839178</v>
      </c>
      <c r="BI22" s="14">
        <f t="shared" ref="BI22" si="233">IF(BI21="","",BH22+BI21)</f>
        <v>-25080.788250086869</v>
      </c>
      <c r="BJ22" s="14">
        <f t="shared" ref="BJ22:CU22" si="234">IF(BJ21="","",BI22+BJ21)</f>
        <v>-26599.782024173601</v>
      </c>
      <c r="BK22" s="14">
        <f t="shared" si="234"/>
        <v>-27825.794779412383</v>
      </c>
      <c r="BL22" s="14">
        <f t="shared" si="234"/>
        <v>-29227.298906602486</v>
      </c>
      <c r="BM22" s="14">
        <f t="shared" si="234"/>
        <v>-30411.331404052831</v>
      </c>
      <c r="BN22" s="14">
        <f t="shared" si="234"/>
        <v>-31574.178618612335</v>
      </c>
      <c r="BO22" s="14">
        <f t="shared" si="234"/>
        <v>-32649.16370396379</v>
      </c>
      <c r="BP22" s="14">
        <f t="shared" si="234"/>
        <v>-33518.138296880148</v>
      </c>
      <c r="BQ22" s="14">
        <f t="shared" si="234"/>
        <v>-34034.014361829788</v>
      </c>
      <c r="BR22" s="14">
        <f t="shared" si="234"/>
        <v>-34666.954853011906</v>
      </c>
      <c r="BS22" s="14">
        <f t="shared" si="234"/>
        <v>-35150.572212479863</v>
      </c>
      <c r="BT22" s="14">
        <f t="shared" si="234"/>
        <v>-35461.329006043874</v>
      </c>
      <c r="BU22" s="14">
        <f t="shared" si="234"/>
        <v>-35718.313144887157</v>
      </c>
      <c r="BV22" s="14">
        <f t="shared" si="234"/>
        <v>-36032.478744073254</v>
      </c>
      <c r="BW22" s="14">
        <f t="shared" si="234"/>
        <v>-36183.086766004919</v>
      </c>
      <c r="BX22" s="14">
        <f t="shared" si="234"/>
        <v>-36262.632730258447</v>
      </c>
      <c r="BY22" s="14">
        <f t="shared" si="234"/>
        <v>-36413.798373581609</v>
      </c>
      <c r="BZ22" s="14">
        <f t="shared" si="234"/>
        <v>-36516.437639837168</v>
      </c>
      <c r="CA22" s="14">
        <f t="shared" si="234"/>
        <v>-36638.704619464406</v>
      </c>
      <c r="CB22" s="14">
        <f t="shared" si="234"/>
        <v>-36757.513772558319</v>
      </c>
      <c r="CC22" s="14">
        <f t="shared" si="234"/>
        <v>-36804.831268253292</v>
      </c>
      <c r="CD22" s="14">
        <f t="shared" si="234"/>
        <v>-36721.09099015301</v>
      </c>
      <c r="CE22" s="14">
        <f t="shared" si="234"/>
        <v>-36480.1387490118</v>
      </c>
      <c r="CF22" s="14">
        <f t="shared" si="234"/>
        <v>-36034.106513481631</v>
      </c>
      <c r="CG22" s="14">
        <f t="shared" si="234"/>
        <v>-35303.568193281732</v>
      </c>
      <c r="CH22" s="14">
        <f t="shared" si="234"/>
        <v>-34285.225941045996</v>
      </c>
      <c r="CI22" s="14">
        <f t="shared" si="234"/>
        <v>-32513.155482639449</v>
      </c>
      <c r="CJ22" s="14">
        <f t="shared" si="234"/>
        <v>-31086.643270039702</v>
      </c>
      <c r="CK22" s="14">
        <f t="shared" si="234"/>
        <v>-29718.100685829413</v>
      </c>
      <c r="CL22" s="14">
        <f t="shared" si="234"/>
        <v>-28372.90312449681</v>
      </c>
      <c r="CM22" s="14">
        <f t="shared" si="234"/>
        <v>-27093.323100478534</v>
      </c>
      <c r="CN22" s="14">
        <f t="shared" si="234"/>
        <v>-25906.203845807817</v>
      </c>
      <c r="CO22" s="14">
        <f t="shared" si="234"/>
        <v>-24845.831163225797</v>
      </c>
      <c r="CP22" s="14">
        <f t="shared" si="234"/>
        <v>-23914.843173744535</v>
      </c>
      <c r="CQ22" s="14">
        <f t="shared" si="234"/>
        <v>-23119.581816169917</v>
      </c>
      <c r="CR22" s="14">
        <f t="shared" si="234"/>
        <v>-22432.256221006599</v>
      </c>
      <c r="CS22" s="14">
        <f t="shared" si="234"/>
        <v>-21835.090421977377</v>
      </c>
      <c r="CT22" s="14">
        <f t="shared" si="234"/>
        <v>-21360.360651958526</v>
      </c>
      <c r="CU22" s="14">
        <f t="shared" si="234"/>
        <v>-21050.328214155117</v>
      </c>
    </row>
    <row r="23" spans="1:99" s="4" customFormat="1" x14ac:dyDescent="0.25">
      <c r="A23" s="292"/>
      <c r="B23" s="16" t="s">
        <v>14</v>
      </c>
      <c r="C23" s="24"/>
      <c r="D23" s="24"/>
      <c r="E23" s="19">
        <f t="shared" ref="E23:AM23" si="235">IF(E73="","",SUM(E73,E63,E53,E43,E33))</f>
        <v>0</v>
      </c>
      <c r="F23" s="19">
        <f t="shared" si="235"/>
        <v>1329.6055809798499</v>
      </c>
      <c r="G23" s="19">
        <f t="shared" si="235"/>
        <v>-7870.6971717033748</v>
      </c>
      <c r="H23" s="19">
        <f t="shared" si="235"/>
        <v>-133126.43934491673</v>
      </c>
      <c r="I23" s="19">
        <f t="shared" si="235"/>
        <v>-51781.545504096364</v>
      </c>
      <c r="J23" s="19">
        <f t="shared" si="235"/>
        <v>77188.736711488338</v>
      </c>
      <c r="K23" s="19">
        <f t="shared" si="235"/>
        <v>432956.84907880833</v>
      </c>
      <c r="L23" s="19">
        <f t="shared" si="235"/>
        <v>-46973.169027974276</v>
      </c>
      <c r="M23" s="19">
        <f t="shared" si="235"/>
        <v>69304.924337696793</v>
      </c>
      <c r="N23" s="19">
        <f t="shared" si="235"/>
        <v>152297.37966455313</v>
      </c>
      <c r="O23" s="19">
        <f t="shared" si="235"/>
        <v>-27340.54309425642</v>
      </c>
      <c r="P23" s="19">
        <f>IF(P73="","",SUM(P73,P63,P53,P43,P33))</f>
        <v>-677522.56264130166</v>
      </c>
      <c r="Q23" s="19">
        <f t="shared" si="235"/>
        <v>-461720.541119056</v>
      </c>
      <c r="R23" s="19">
        <f t="shared" si="235"/>
        <v>-601978.92853179516</v>
      </c>
      <c r="S23" s="19">
        <f t="shared" si="235"/>
        <v>-510000.93920955458</v>
      </c>
      <c r="T23" s="19">
        <f t="shared" si="235"/>
        <v>223855.88611602981</v>
      </c>
      <c r="U23" s="19">
        <f t="shared" si="235"/>
        <v>603571.63645177253</v>
      </c>
      <c r="V23" s="19">
        <f t="shared" si="235"/>
        <v>734991.88116279361</v>
      </c>
      <c r="W23" s="19">
        <f t="shared" si="235"/>
        <v>470809.58789873729</v>
      </c>
      <c r="X23" s="19">
        <f t="shared" si="235"/>
        <v>-334506.49236719596</v>
      </c>
      <c r="Y23" s="19">
        <f t="shared" si="235"/>
        <v>-139598.08928954392</v>
      </c>
      <c r="Z23" s="19">
        <f t="shared" si="235"/>
        <v>-29077.876234846466</v>
      </c>
      <c r="AA23" s="19">
        <f t="shared" si="235"/>
        <v>-332185.06617617764</v>
      </c>
      <c r="AB23" s="19">
        <f t="shared" si="235"/>
        <v>-1859546.8543592058</v>
      </c>
      <c r="AC23" s="19">
        <f t="shared" si="235"/>
        <v>-1231620.5101414677</v>
      </c>
      <c r="AD23" s="19">
        <f t="shared" si="235"/>
        <v>-1327312.8316615513</v>
      </c>
      <c r="AE23" s="19">
        <f t="shared" si="235"/>
        <v>-678735.9753266084</v>
      </c>
      <c r="AF23" s="19">
        <f t="shared" si="235"/>
        <v>1062655.2519660713</v>
      </c>
      <c r="AG23" s="19">
        <f t="shared" si="235"/>
        <v>2080605.0265607969</v>
      </c>
      <c r="AH23" s="19">
        <f t="shared" si="235"/>
        <v>1891289.887347749</v>
      </c>
      <c r="AI23" s="19">
        <f t="shared" si="235"/>
        <v>837696.14995559736</v>
      </c>
      <c r="AJ23" s="19">
        <f t="shared" si="235"/>
        <v>-619920.60818146192</v>
      </c>
      <c r="AK23" s="19">
        <f t="shared" si="235"/>
        <v>-565357.15874485637</v>
      </c>
      <c r="AL23" s="19">
        <f t="shared" si="235"/>
        <v>-720194.79146145482</v>
      </c>
      <c r="AM23" s="19">
        <f t="shared" si="235"/>
        <v>-808025.65078670287</v>
      </c>
      <c r="AN23" s="19">
        <f t="shared" ref="AN23:BJ23" si="236">IF(AN73="","",SUM(AN73,AN63,AN53,AN43,AN33))</f>
        <v>-2122271.8627814483</v>
      </c>
      <c r="AO23" s="19">
        <f t="shared" si="236"/>
        <v>-1367558.1849184209</v>
      </c>
      <c r="AP23" s="19">
        <f t="shared" si="236"/>
        <v>-850758.1291986485</v>
      </c>
      <c r="AQ23" s="19">
        <f t="shared" si="236"/>
        <v>-914281.05058570066</v>
      </c>
      <c r="AR23" s="19">
        <f>IF(AR73="","",SUM(AR73,AR63,AR53,AR43,AR33))</f>
        <v>2760779.4336337661</v>
      </c>
      <c r="AS23" s="19">
        <f>IF(AS73="","",SUM(AS73,AS63,AS53,AS43,AS33))</f>
        <v>3524890.1057240581</v>
      </c>
      <c r="AT23" s="19">
        <f t="shared" si="236"/>
        <v>2979202.5467620026</v>
      </c>
      <c r="AU23" s="19">
        <f t="shared" si="236"/>
        <v>1276018.7698904346</v>
      </c>
      <c r="AV23" s="19">
        <f t="shared" si="236"/>
        <v>-1164231.4917165299</v>
      </c>
      <c r="AW23" s="19">
        <f t="shared" si="236"/>
        <v>-957228.70343984955</v>
      </c>
      <c r="AX23" s="19">
        <f t="shared" si="236"/>
        <v>-1357610.2050940199</v>
      </c>
      <c r="AY23" s="19">
        <f t="shared" si="236"/>
        <v>-1463900.9630549895</v>
      </c>
      <c r="AZ23" s="19">
        <f t="shared" si="236"/>
        <v>-2766073.8370852727</v>
      </c>
      <c r="BA23" s="19">
        <f t="shared" si="236"/>
        <v>1219557.5297785022</v>
      </c>
      <c r="BB23" s="19">
        <f t="shared" si="236"/>
        <v>-585531.32300423691</v>
      </c>
      <c r="BC23" s="19">
        <f t="shared" si="236"/>
        <v>-539935.18335602037</v>
      </c>
      <c r="BD23" s="19">
        <f t="shared" si="236"/>
        <v>-638149.48074501276</v>
      </c>
      <c r="BE23" s="19">
        <f t="shared" si="236"/>
        <v>-781464.06415668817</v>
      </c>
      <c r="BF23" s="19">
        <f>IF(BF73="","",SUM(BF73,BF63,BF53,BF43,BF33))</f>
        <v>-752651.94686754141</v>
      </c>
      <c r="BG23" s="19">
        <f t="shared" si="236"/>
        <v>-724410.39017441683</v>
      </c>
      <c r="BH23" s="19">
        <f t="shared" si="236"/>
        <v>-595119.70199570525</v>
      </c>
      <c r="BI23" s="19">
        <f t="shared" si="236"/>
        <v>-598272.05832169659</v>
      </c>
      <c r="BJ23" s="19">
        <f t="shared" si="236"/>
        <v>-683329.17377408745</v>
      </c>
      <c r="BK23" s="19">
        <f t="shared" ref="BK23:BL23" si="237">IF(BK73="","",SUM(BK73,BK63,BK53,BK43,BK33))</f>
        <v>-781451.59275523794</v>
      </c>
      <c r="BL23" s="19">
        <f t="shared" si="237"/>
        <v>94684.955872810577</v>
      </c>
      <c r="BM23" s="19">
        <f t="shared" ref="BM23:BN23" si="238">IF(BM73="","",SUM(BM73,BM63,BM53,BM43,BM33))</f>
        <v>-21379.042497449453</v>
      </c>
      <c r="BN23" s="19">
        <f t="shared" si="238"/>
        <v>-22029.487214558707</v>
      </c>
      <c r="BO23" s="19">
        <f t="shared" ref="BO23:BP23" si="239">IF(BO73="","",SUM(BO73,BO63,BO53,BO43,BO33))</f>
        <v>-17236.985085355322</v>
      </c>
      <c r="BP23" s="19">
        <f t="shared" si="239"/>
        <v>26988.645407086242</v>
      </c>
      <c r="BQ23" s="19">
        <f t="shared" ref="BQ23:BR23" si="240">IF(BQ73="","",SUM(BQ73,BQ63,BQ53,BQ43,BQ33))</f>
        <v>37535.273935050915</v>
      </c>
      <c r="BR23" s="19">
        <f t="shared" si="240"/>
        <v>32771.05950881671</v>
      </c>
      <c r="BS23" s="19">
        <f t="shared" ref="BS23:BT23" si="241">IF(BS73="","",SUM(BS73,BS63,BS53,BS43,BS33))</f>
        <v>1535.1326405315895</v>
      </c>
      <c r="BT23" s="19">
        <f t="shared" si="241"/>
        <v>-23696.556793563206</v>
      </c>
      <c r="BU23" s="19">
        <f t="shared" ref="BU23:BV23" si="242">IF(BU73="","",SUM(BU73,BU63,BU53,BU43,BU33))</f>
        <v>-19580.184138843688</v>
      </c>
      <c r="BV23" s="19">
        <f t="shared" si="242"/>
        <v>-22803.065599187223</v>
      </c>
      <c r="BW23" s="19">
        <f t="shared" ref="BW23:BX23" si="243">IF(BW73="","",SUM(BW73,BW63,BW53,BW43,BW33))</f>
        <v>-22665.578021930254</v>
      </c>
      <c r="BX23" s="19">
        <f t="shared" si="243"/>
        <v>15419.534035743827</v>
      </c>
      <c r="BY23" s="19">
        <f t="shared" ref="BY23:BZ23" si="244">IF(BY73="","",SUM(BY73,BY63,BY53,BY43,BY33))</f>
        <v>-1852.0356433231636</v>
      </c>
      <c r="BZ23" s="19">
        <f t="shared" si="244"/>
        <v>-1729.7492662555592</v>
      </c>
      <c r="CA23" s="19">
        <f t="shared" ref="CA23:CB23" si="245">IF(CA73="","",SUM(CA73,CA63,CA53,CA43,CA33))</f>
        <v>-1757.0169796272394</v>
      </c>
      <c r="CB23" s="19">
        <f t="shared" si="245"/>
        <v>-1962.8891530939115</v>
      </c>
      <c r="CC23" s="19">
        <f t="shared" ref="CC23:CD23" si="246">IF(CC73="","",SUM(CC73,CC63,CC53,CC43,CC33))</f>
        <v>-2061.7774956949784</v>
      </c>
      <c r="CD23" s="19">
        <f t="shared" si="246"/>
        <v>-1903.109721899724</v>
      </c>
      <c r="CE23" s="19">
        <f t="shared" ref="CE23:CF23" si="247">IF(CE73="","",SUM(CE73,CE63,CE53,CE43,CE33))</f>
        <v>-1670.1177588587884</v>
      </c>
      <c r="CF23" s="19">
        <f t="shared" si="247"/>
        <v>-1220.9577644698138</v>
      </c>
      <c r="CG23" s="19">
        <f t="shared" ref="CG23:CH23" si="248">IF(CG73="","",SUM(CG73,CG63,CG53,CG43,CG33))</f>
        <v>-897.5416798000964</v>
      </c>
      <c r="CH23" s="19">
        <f t="shared" si="248"/>
        <v>-769.70774776426583</v>
      </c>
      <c r="CI23" s="19">
        <f t="shared" ref="CI23:CJ23" si="249">IF(CI73="","",SUM(CI73,CI63,CI53,CI43,CI33))</f>
        <v>-11.689541593455942</v>
      </c>
      <c r="CJ23" s="19">
        <f t="shared" si="249"/>
        <v>1426.5122125997505</v>
      </c>
      <c r="CK23" s="19">
        <f t="shared" ref="CK23:CL23" si="250">IF(CK73="","",SUM(CK73,CK63,CK53,CK43,CK33))</f>
        <v>1368.5425842102895</v>
      </c>
      <c r="CL23" s="19">
        <f t="shared" si="250"/>
        <v>1345.1975613326044</v>
      </c>
      <c r="CM23" s="19">
        <f t="shared" ref="CM23:CN23" si="251">IF(CM73="","",SUM(CM73,CM63,CM53,CM43,CM33))</f>
        <v>1279.5800240182757</v>
      </c>
      <c r="CN23" s="19">
        <f t="shared" si="251"/>
        <v>1187.1192546707164</v>
      </c>
      <c r="CO23" s="19">
        <f t="shared" ref="CO23:CP23" si="252">IF(CO73="","",SUM(CO73,CO63,CO53,CO43,CO33))</f>
        <v>1060.3726825820186</v>
      </c>
      <c r="CP23" s="19">
        <f t="shared" si="252"/>
        <v>930.98798948126387</v>
      </c>
      <c r="CQ23" s="19">
        <f t="shared" ref="CQ23:CR23" si="253">IF(CQ73="","",SUM(CQ73,CQ63,CQ53,CQ43,CQ33))</f>
        <v>795.2613575746177</v>
      </c>
      <c r="CR23" s="19">
        <f t="shared" si="253"/>
        <v>687.32559516331844</v>
      </c>
      <c r="CS23" s="19">
        <f t="shared" ref="CS23:CT23" si="254">IF(CS73="","",SUM(CS73,CS63,CS53,CS43,CS33))</f>
        <v>597.16579902922194</v>
      </c>
      <c r="CT23" s="19">
        <f t="shared" si="254"/>
        <v>474.72977001884726</v>
      </c>
      <c r="CU23" s="19">
        <f t="shared" ref="CU23" si="255">IF(CU73="","",SUM(CU73,CU63,CU53,CU43,CU33))</f>
        <v>310.03243780340728</v>
      </c>
    </row>
    <row r="24" spans="1:99" s="4" customFormat="1" x14ac:dyDescent="0.25">
      <c r="A24" s="292"/>
      <c r="B24" s="18" t="s">
        <v>2</v>
      </c>
      <c r="C24" s="26"/>
      <c r="D24" s="26"/>
      <c r="E24" s="19">
        <f t="shared" ref="E24:AM24" si="256">IF(E74="","",SUM(E74,E64,E54,E44,E34))</f>
        <v>0</v>
      </c>
      <c r="F24" s="19">
        <f t="shared" si="256"/>
        <v>1329.6055809798499</v>
      </c>
      <c r="G24" s="19">
        <f t="shared" si="256"/>
        <v>-6541.0915907235249</v>
      </c>
      <c r="H24" s="19">
        <f t="shared" si="256"/>
        <v>-139667.53093564024</v>
      </c>
      <c r="I24" s="19">
        <f t="shared" si="256"/>
        <v>-191449.07643973659</v>
      </c>
      <c r="J24" s="19">
        <f t="shared" si="256"/>
        <v>-114260.33972824829</v>
      </c>
      <c r="K24" s="19">
        <f t="shared" si="256"/>
        <v>318696.50935056002</v>
      </c>
      <c r="L24" s="19">
        <f t="shared" si="256"/>
        <v>271723.34032258578</v>
      </c>
      <c r="M24" s="19">
        <f t="shared" si="256"/>
        <v>341028.26466028253</v>
      </c>
      <c r="N24" s="19">
        <f t="shared" si="256"/>
        <v>493325.64432483562</v>
      </c>
      <c r="O24" s="19">
        <f t="shared" si="256"/>
        <v>465985.1012305792</v>
      </c>
      <c r="P24" s="19">
        <f>IF(P74="","",SUM(P74,P64,P54,P44,P34))</f>
        <v>12122508.21228965</v>
      </c>
      <c r="Q24" s="19">
        <f t="shared" si="256"/>
        <v>10669333.821170595</v>
      </c>
      <c r="R24" s="19">
        <f t="shared" si="256"/>
        <v>9125179.8626387995</v>
      </c>
      <c r="S24" s="19">
        <f t="shared" si="256"/>
        <v>7690348.0334292455</v>
      </c>
      <c r="T24" s="19">
        <f t="shared" si="256"/>
        <v>6751239.2395452745</v>
      </c>
      <c r="U24" s="19">
        <f t="shared" si="256"/>
        <v>5977194.3659970472</v>
      </c>
      <c r="V24" s="19">
        <f t="shared" si="256"/>
        <v>5292979.5471598413</v>
      </c>
      <c r="W24" s="19">
        <f t="shared" si="256"/>
        <v>4554328.3750585774</v>
      </c>
      <c r="X24" s="19">
        <f t="shared" si="256"/>
        <v>3112526.0826913817</v>
      </c>
      <c r="Y24" s="19">
        <f t="shared" si="256"/>
        <v>1984651.4634018382</v>
      </c>
      <c r="Z24" s="19">
        <f t="shared" si="256"/>
        <v>810020.52716699161</v>
      </c>
      <c r="AA24" s="19">
        <f t="shared" si="256"/>
        <v>-1091623.9190091861</v>
      </c>
      <c r="AB24" s="19">
        <f t="shared" si="256"/>
        <v>-2719540.1433683923</v>
      </c>
      <c r="AC24" s="19">
        <f t="shared" si="256"/>
        <v>-3863493.6735098599</v>
      </c>
      <c r="AD24" s="19">
        <f t="shared" si="256"/>
        <v>-5105394.8851714116</v>
      </c>
      <c r="AE24" s="19">
        <f t="shared" si="256"/>
        <v>-5699667.2604980189</v>
      </c>
      <c r="AF24" s="19">
        <f t="shared" si="256"/>
        <v>-4531783.3385319486</v>
      </c>
      <c r="AG24" s="19">
        <f t="shared" si="256"/>
        <v>-2351007.7619711515</v>
      </c>
      <c r="AH24" s="19">
        <f t="shared" si="256"/>
        <v>-351649.0146234025</v>
      </c>
      <c r="AI24" s="19">
        <f t="shared" si="256"/>
        <v>591360.33533219481</v>
      </c>
      <c r="AJ24" s="19">
        <f t="shared" si="256"/>
        <v>64449.017150732921</v>
      </c>
      <c r="AK24" s="19">
        <f t="shared" si="256"/>
        <v>-415335.20159412327</v>
      </c>
      <c r="AL24" s="19">
        <f t="shared" si="256"/>
        <v>-1038405.0130555781</v>
      </c>
      <c r="AM24" s="19">
        <f t="shared" si="256"/>
        <v>-1740645.5538422812</v>
      </c>
      <c r="AN24" s="19">
        <f t="shared" ref="AN24:BJ24" si="257">IF(AN74="","",SUM(AN74,AN64,AN54,AN44,AN34))</f>
        <v>-3681558.1666237293</v>
      </c>
      <c r="AO24" s="19">
        <f t="shared" si="257"/>
        <v>-4884404.0515421508</v>
      </c>
      <c r="AP24" s="19">
        <f t="shared" si="257"/>
        <v>-5621636.7207407989</v>
      </c>
      <c r="AQ24" s="19">
        <f t="shared" si="257"/>
        <v>-6441982.4413264999</v>
      </c>
      <c r="AR24" s="19">
        <f t="shared" si="257"/>
        <v>-3550902.8376927339</v>
      </c>
      <c r="AS24" s="19">
        <f>IF(AS74="","",SUM(AS74,AS64,AS54,AS44,AS34))</f>
        <v>137704.86803132389</v>
      </c>
      <c r="AT24" s="19">
        <f t="shared" si="257"/>
        <v>3291474.2947933264</v>
      </c>
      <c r="AU24" s="19">
        <f t="shared" si="257"/>
        <v>4727028.3646837613</v>
      </c>
      <c r="AV24" s="19">
        <f t="shared" si="257"/>
        <v>3692370.3629672313</v>
      </c>
      <c r="AW24" s="19">
        <f t="shared" si="257"/>
        <v>2853308.819527382</v>
      </c>
      <c r="AX24" s="19">
        <f t="shared" si="257"/>
        <v>1653239.8044333621</v>
      </c>
      <c r="AY24" s="19">
        <f t="shared" si="257"/>
        <v>363915.55137837201</v>
      </c>
      <c r="AZ24" s="19">
        <f t="shared" si="257"/>
        <v>-1810803.1557069002</v>
      </c>
      <c r="BA24" s="19">
        <f t="shared" si="257"/>
        <v>-565028.90592839848</v>
      </c>
      <c r="BB24" s="19">
        <f t="shared" si="257"/>
        <v>-1153811.2989326352</v>
      </c>
      <c r="BC24" s="19">
        <f t="shared" si="257"/>
        <v>-1702771.9122886555</v>
      </c>
      <c r="BD24" s="19">
        <f t="shared" si="257"/>
        <v>-2313691.0630336679</v>
      </c>
      <c r="BE24" s="19">
        <f t="shared" si="257"/>
        <v>-3065845.2771903565</v>
      </c>
      <c r="BF24" s="19">
        <f t="shared" si="257"/>
        <v>-3799182.1740578976</v>
      </c>
      <c r="BG24" s="19">
        <f t="shared" si="257"/>
        <v>-4516979.2642323151</v>
      </c>
      <c r="BH24" s="19">
        <f t="shared" si="257"/>
        <v>-5126726.2862280197</v>
      </c>
      <c r="BI24" s="19">
        <f t="shared" si="257"/>
        <v>-5733526.6845497163</v>
      </c>
      <c r="BJ24" s="19">
        <f t="shared" si="257"/>
        <v>-6404044.2183238044</v>
      </c>
      <c r="BK24" s="19">
        <f t="shared" ref="BK24:BL24" si="258">IF(BK74="","",SUM(BK74,BK64,BK54,BK44,BK34))</f>
        <v>-7138232.1410790421</v>
      </c>
      <c r="BL24" s="19">
        <f t="shared" si="258"/>
        <v>-7243786.6552062314</v>
      </c>
      <c r="BM24" s="19">
        <f t="shared" ref="BM24" si="259">IF(BM74="","",SUM(BM74,BM64,BM54,BM44,BM34))</f>
        <v>-6650748.3077036813</v>
      </c>
      <c r="BN24" s="19">
        <f t="shared" ref="BN24:BW24" si="260">IF(BN74="","",SUM(BN74,BN64,BN54,BN44,BN34))</f>
        <v>-6199626.1649182402</v>
      </c>
      <c r="BO24" s="19">
        <f t="shared" si="260"/>
        <v>-5752939.2500035949</v>
      </c>
      <c r="BP24" s="19">
        <f t="shared" si="260"/>
        <v>-5171823.4645965081</v>
      </c>
      <c r="BQ24" s="19">
        <f t="shared" si="260"/>
        <v>-4436601.2506614579</v>
      </c>
      <c r="BR24" s="19">
        <f t="shared" si="260"/>
        <v>-3703862.0611526407</v>
      </c>
      <c r="BS24" s="19">
        <f t="shared" si="260"/>
        <v>-3003805.1585121094</v>
      </c>
      <c r="BT24" s="19">
        <f t="shared" si="260"/>
        <v>-2486365.1053056726</v>
      </c>
      <c r="BU24" s="19">
        <f t="shared" si="260"/>
        <v>-2013069.3294445162</v>
      </c>
      <c r="BV24" s="19">
        <f t="shared" si="260"/>
        <v>-1447726.1650437033</v>
      </c>
      <c r="BW24" s="19">
        <f t="shared" si="260"/>
        <v>-771017.0030656337</v>
      </c>
      <c r="BX24" s="19">
        <f t="shared" ref="BX24:BY24" si="261">IF(BX74="","",SUM(BX74,BX64,BX54,BX44,BX34))</f>
        <v>-322727.77902988991</v>
      </c>
      <c r="BY24" s="19">
        <f t="shared" si="261"/>
        <v>-263698.78467321303</v>
      </c>
      <c r="BZ24" s="19">
        <f t="shared" ref="BZ24:CA24" si="262">IF(BZ74="","",SUM(BZ74,BZ64,BZ54,BZ44,BZ34))</f>
        <v>-205238.94393946859</v>
      </c>
      <c r="CA24" s="19">
        <f t="shared" si="262"/>
        <v>-154612.74091909587</v>
      </c>
      <c r="CB24" s="19">
        <f t="shared" ref="CB24:CC24" si="263">IF(CB74="","",SUM(CB74,CB64,CB54,CB44,CB34))</f>
        <v>-96070.250072189723</v>
      </c>
      <c r="CC24" s="19">
        <f t="shared" si="263"/>
        <v>-27655.26756788473</v>
      </c>
      <c r="CD24" s="19">
        <f t="shared" ref="CD24:CI24" si="264">IF(CD74="","",SUM(CD74,CD64,CD54,CD44,CD34))</f>
        <v>39274.932710215566</v>
      </c>
      <c r="CE24" s="19">
        <f t="shared" si="264"/>
        <v>101990.99495135678</v>
      </c>
      <c r="CF24" s="19">
        <f t="shared" si="264"/>
        <v>154688.15718688694</v>
      </c>
      <c r="CG24" s="19">
        <f t="shared" si="264"/>
        <v>205262.95550708682</v>
      </c>
      <c r="CH24" s="19">
        <f t="shared" si="264"/>
        <v>265660.12775932258</v>
      </c>
      <c r="CI24" s="19">
        <f t="shared" si="264"/>
        <v>329910.01821772917</v>
      </c>
      <c r="CJ24" s="19">
        <f t="shared" ref="CJ24:CK24" si="265">IF(CJ74="","",SUM(CJ74,CJ64,CJ54,CJ44,CJ34))</f>
        <v>354527.60043032886</v>
      </c>
      <c r="CK24" s="19">
        <f t="shared" si="265"/>
        <v>330515.63301453914</v>
      </c>
      <c r="CL24" s="19">
        <f t="shared" ref="CL24:CM24" si="266">IF(CL74="","",SUM(CL74,CL64,CL54,CL44,CL34))</f>
        <v>308893.85057587177</v>
      </c>
      <c r="CM24" s="19">
        <f t="shared" si="266"/>
        <v>289539.07059989002</v>
      </c>
      <c r="CN24" s="19">
        <f t="shared" ref="CN24:CO24" si="267">IF(CN74="","",SUM(CN74,CN64,CN54,CN44,CN34))</f>
        <v>265244.59985456069</v>
      </c>
      <c r="CO24" s="19">
        <f t="shared" si="267"/>
        <v>234851.62253714277</v>
      </c>
      <c r="CP24" s="19">
        <f t="shared" ref="CP24:CQ24" si="268">IF(CP74="","",SUM(CP74,CP64,CP54,CP44,CP34))</f>
        <v>203302.12052662403</v>
      </c>
      <c r="CQ24" s="19">
        <f t="shared" si="268"/>
        <v>173205.69188419863</v>
      </c>
      <c r="CR24" s="19">
        <f t="shared" ref="CR24:CS24" si="269">IF(CR74="","",SUM(CR74,CR64,CR54,CR44,CR34))</f>
        <v>150174.82747936193</v>
      </c>
      <c r="CS24" s="19">
        <f t="shared" si="269"/>
        <v>129526.90327839117</v>
      </c>
      <c r="CT24" s="19">
        <f t="shared" ref="CT24:CU24" si="270">IF(CT74="","",SUM(CT74,CT64,CT54,CT44,CT34))</f>
        <v>103163.87304841002</v>
      </c>
      <c r="CU24" s="19">
        <f t="shared" si="270"/>
        <v>69483.785486213426</v>
      </c>
    </row>
    <row r="25" spans="1:99" s="4" customFormat="1" ht="8.25" customHeight="1" x14ac:dyDescent="0.25">
      <c r="A25" s="40"/>
      <c r="B25" s="11"/>
      <c r="C25" s="11"/>
      <c r="D25" s="11"/>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row>
    <row r="26" spans="1:99" s="4" customFormat="1" ht="15" hidden="1" customHeight="1" outlineLevel="1" x14ac:dyDescent="0.25">
      <c r="A26" s="292" t="s">
        <v>20</v>
      </c>
      <c r="B26" s="15"/>
      <c r="C26" s="30"/>
      <c r="D26" s="30"/>
      <c r="E26" s="7"/>
      <c r="F26" s="7"/>
      <c r="G26" s="7"/>
      <c r="H26" s="7"/>
      <c r="I26" s="7"/>
      <c r="J26" s="7"/>
      <c r="K26" s="7"/>
      <c r="L26" s="7"/>
      <c r="M26" s="7"/>
      <c r="N26" s="7"/>
      <c r="O26" s="7"/>
      <c r="P26" s="68">
        <v>7611904.5234541874</v>
      </c>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68">
        <f>+'MEEIA 2 adjs'!AT37</f>
        <v>-9652.3205640208907</v>
      </c>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126">
        <v>5948.9756313576872</v>
      </c>
      <c r="CG26" s="7"/>
      <c r="CH26" s="7"/>
      <c r="CI26" s="113">
        <f>'MEEIA 2 adjs'!EC33</f>
        <v>246.65649828314054</v>
      </c>
      <c r="CJ26" s="7"/>
      <c r="CK26" s="7"/>
      <c r="CL26" s="7"/>
      <c r="CM26" s="7"/>
      <c r="CN26" s="7"/>
      <c r="CO26" s="7"/>
      <c r="CP26" s="7"/>
      <c r="CQ26" s="7"/>
      <c r="CR26" s="7"/>
      <c r="CS26" s="7"/>
      <c r="CT26" s="7"/>
      <c r="CU26" s="7"/>
    </row>
    <row r="27" spans="1:99" s="2" customFormat="1" ht="15" hidden="1" customHeight="1" outlineLevel="1" x14ac:dyDescent="0.25">
      <c r="A27" s="292"/>
      <c r="B27" s="15" t="s">
        <v>28</v>
      </c>
      <c r="C27" s="30"/>
      <c r="D27" s="30"/>
      <c r="E27" s="20">
        <f>IF('M2 Allocations - TD'!D5="","",'M2 Allocations - TD'!D31)</f>
        <v>0</v>
      </c>
      <c r="F27" s="20">
        <f>IF('M2 Allocations - TD'!E5="","",'M2 Allocations - TD'!E31)</f>
        <v>1328.78</v>
      </c>
      <c r="G27" s="20">
        <f>IF('M2 Allocations - TD'!F5="","",'M2 Allocations - TD'!F31)</f>
        <v>9526.5299999999988</v>
      </c>
      <c r="H27" s="20">
        <f>IF('M2 Allocations - TD'!G5="","",'M2 Allocations - TD'!G31)</f>
        <v>120352.88</v>
      </c>
      <c r="I27" s="20">
        <f>IF('M2 Allocations - TD'!H5="","",'M2 Allocations - TD'!H31)</f>
        <v>256080.65000000002</v>
      </c>
      <c r="J27" s="20">
        <f>IF('M2 Allocations - TD'!I5="","",'M2 Allocations - TD'!I31)</f>
        <v>373393.34435846674</v>
      </c>
      <c r="K27" s="20">
        <f>IF('M2 Allocations - TD'!J5="","",'M2 Allocations - TD'!J31)</f>
        <v>671736.21363575384</v>
      </c>
      <c r="L27" s="20">
        <f>IF('M2 Allocations - TD'!K5="","",'M2 Allocations - TD'!K31)</f>
        <v>120839.84990541483</v>
      </c>
      <c r="M27" s="20">
        <f>IF('M2 Allocations - TD'!L5="","",'M2 Allocations - TD'!L31)</f>
        <v>185093.49881649271</v>
      </c>
      <c r="N27" s="20">
        <f>IF('M2 Allocations - TD'!M5="","",'M2 Allocations - TD'!M31)</f>
        <v>303285.19452852954</v>
      </c>
      <c r="O27" s="20">
        <f>IF('M2 Allocations - TD'!N5="","",'M2 Allocations - TD'!N31)</f>
        <v>329743.7910035231</v>
      </c>
      <c r="P27" s="20">
        <f>IF('M2 Allocations - TD'!O5="","",'M2 Allocations - TD'!O31)</f>
        <v>319589.12614734296</v>
      </c>
      <c r="Q27" s="20">
        <f>IF('M2 Allocations - TD'!P5="","",'M2 Allocations - TD'!P31)</f>
        <v>307416.51622437377</v>
      </c>
      <c r="R27" s="20">
        <f>IF('M2 Allocations - TD'!Q5="","",'M2 Allocations - TD'!Q31)</f>
        <v>202009.99758789604</v>
      </c>
      <c r="S27" s="20">
        <f>IF('M2 Allocations - TD'!R5="","",'M2 Allocations - TD'!R31)</f>
        <v>201518.00847600689</v>
      </c>
      <c r="T27" s="20">
        <f>IF('M2 Allocations - TD'!S5="","",'M2 Allocations - TD'!S31)</f>
        <v>884196.51701427973</v>
      </c>
      <c r="U27" s="20">
        <f>IF('M2 Allocations - TD'!T5="","",'M2 Allocations - TD'!T31)</f>
        <v>1282604.3399999999</v>
      </c>
      <c r="V27" s="20">
        <f>IF('M2 Allocations - TD'!U5="","",'M2 Allocations - TD'!U31)</f>
        <v>1412760.5841518985</v>
      </c>
      <c r="W27" s="20">
        <f>IF('M2 Allocations - TD'!V5="","",'M2 Allocations - TD'!V31)</f>
        <v>912043.87330211163</v>
      </c>
      <c r="X27" s="20">
        <f>IF('M2 Allocations - TD'!W5="","",'M2 Allocations - TD'!W31)</f>
        <v>279976.46619588812</v>
      </c>
      <c r="Y27" s="20">
        <f>IF('M2 Allocations - TD'!X5="","",'M2 Allocations - TD'!X31)</f>
        <v>377438.47759872582</v>
      </c>
      <c r="Z27" s="20">
        <f>IF('M2 Allocations - TD'!Y5="","",'M2 Allocations - TD'!Y31)</f>
        <v>565267.94576951256</v>
      </c>
      <c r="AA27" s="20">
        <f>IF('M2 Allocations - TD'!Z5="","",'M2 Allocations - TD'!Z31)</f>
        <v>607215.02747681318</v>
      </c>
      <c r="AB27" s="20">
        <f>IF('M2 Allocations - TD'!AA5="","",'M2 Allocations - TD'!AA31)</f>
        <v>515316.53827609093</v>
      </c>
      <c r="AC27" s="20">
        <f>IF('M2 Allocations - TD'!AB5="","",'M2 Allocations - TD'!AB31)</f>
        <v>473150.50916160172</v>
      </c>
      <c r="AD27" s="20">
        <f>IF('M2 Allocations - TD'!AC5="","",'M2 Allocations - TD'!AC31)</f>
        <v>270731.77958850004</v>
      </c>
      <c r="AE27" s="20">
        <f>IF('M2 Allocations - TD'!AD5="","",'M2 Allocations - TD'!AD31)</f>
        <v>491596.14834248205</v>
      </c>
      <c r="AF27" s="20">
        <f>IF('M2 Allocations - TD'!AE5="","",'M2 Allocations - TD'!AE31)</f>
        <v>2024956.6659391024</v>
      </c>
      <c r="AG27" s="20">
        <f>IF('M2 Allocations - TD'!AF5="","",'M2 Allocations - TD'!AF31)</f>
        <v>2753783.435947692</v>
      </c>
      <c r="AH27" s="20">
        <f>IF('M2 Allocations - TD'!AG5="","",'M2 Allocations - TD'!AG31)</f>
        <v>2655187.2707727067</v>
      </c>
      <c r="AI27" s="20">
        <f>IF('M2 Allocations - TD'!AH5="","",'M2 Allocations - TD'!AH31)</f>
        <v>1585670.784126644</v>
      </c>
      <c r="AJ27" s="20">
        <f>IF('M2 Allocations - TD'!AI5="","",'M2 Allocations - TD'!AI31)</f>
        <v>556118.7299202627</v>
      </c>
      <c r="AK27" s="20">
        <f>IF('M2 Allocations - TD'!AJ5="","",'M2 Allocations - TD'!AJ31)</f>
        <v>513458.06050710165</v>
      </c>
      <c r="AL27" s="20">
        <f>IF('M2 Allocations - TD'!AK5="","",'M2 Allocations - TD'!AK31)</f>
        <v>702799.89768350183</v>
      </c>
      <c r="AM27" s="20">
        <f>IF('M2 Allocations - TD'!AL5="","",'M2 Allocations - TD'!AL31)</f>
        <v>705267.00941836974</v>
      </c>
      <c r="AN27" s="20">
        <f>IF('M2 Allocations - TD'!AM5="","",'M2 Allocations - TD'!AM31)</f>
        <v>626813.61963691877</v>
      </c>
      <c r="AO27" s="20">
        <f>IF('M2 Allocations - TD'!AN5="","",'M2 Allocations - TD'!AN31)</f>
        <v>733376.44916449382</v>
      </c>
      <c r="AP27" s="20">
        <f>IF('M2 Allocations - TD'!AO5="","",'M2 Allocations - TD'!AO31)</f>
        <v>579952.0325992658</v>
      </c>
      <c r="AQ27" s="20">
        <f>IF('M2 Allocations - TD'!AP5="","",'M2 Allocations - TD'!AP31)</f>
        <v>371011.49182013981</v>
      </c>
      <c r="AR27" s="20">
        <f>IF('M2 Allocations - TD'!AQ5="","",'M2 Allocations - TD'!AQ31)</f>
        <v>2723256.6958003566</v>
      </c>
      <c r="AS27" s="20">
        <f>IF('M2 Allocations - TD'!AR5="","",'M2 Allocations - TD'!AR31)</f>
        <v>3090240.1159956334</v>
      </c>
      <c r="AT27" s="20">
        <f>IF('M2 Allocations - TD'!AS5="","",'M2 Allocations - TD'!AS31)</f>
        <v>3319235.3330920129</v>
      </c>
      <c r="AU27" s="20">
        <f>IF('M2 Allocations - TD'!AT5="","",'M2 Allocations - TD'!AT31)</f>
        <v>1872423.9163418177</v>
      </c>
      <c r="AV27" s="20">
        <f>IF('M2 Allocations - TD'!AU5="","",'M2 Allocations - TD'!AU31)</f>
        <v>468639.40013933519</v>
      </c>
      <c r="AW27" s="20">
        <f>IF('M2 Allocations - TD'!AV5="","",'M2 Allocations - TD'!AV31)</f>
        <v>573430.06293424976</v>
      </c>
      <c r="AX27" s="20">
        <f>IF('M2 Allocations - TD'!AW5="","",'M2 Allocations - TD'!AW31)</f>
        <v>729001.68500178226</v>
      </c>
      <c r="AY27" s="20">
        <f>IF('M2 Allocations - TD'!AX5="","",'M2 Allocations - TD'!AX31)</f>
        <v>731448.99925192562</v>
      </c>
      <c r="AZ27" s="20">
        <f>IF('M2 Allocations - TD'!AY5="","",'M2 Allocations - TD'!AY31)</f>
        <v>-1101511.7645830091</v>
      </c>
      <c r="BA27" s="20">
        <f>IF('M2 Allocations - TD'!AZ5="","",'M2 Allocations - TD'!AZ31)</f>
        <v>502297.9307248104</v>
      </c>
      <c r="BB27" s="20">
        <f>IF('M2 Allocations - TD'!BA5="","",'M2 Allocations - TD'!BA31)</f>
        <v>0</v>
      </c>
      <c r="BC27" s="20">
        <f>IF('M2 Allocations - TD'!BB5="","",'M2 Allocations - TD'!BB31)</f>
        <v>-1201.9391278357582</v>
      </c>
      <c r="BD27" s="20">
        <f>IF('M2 Allocations - TD'!BC5="","",'M2 Allocations - TD'!BC31)</f>
        <v>0</v>
      </c>
      <c r="BE27" s="20">
        <f>IF('M2 Allocations - TD'!BD5="","",'M2 Allocations - TD'!BD31)</f>
        <v>0</v>
      </c>
      <c r="BF27" s="20">
        <f>IF('M2 Allocations - TD'!BE5="","",'M2 Allocations - TD'!BE31)</f>
        <v>0</v>
      </c>
      <c r="BG27" s="20">
        <f>IF('M2 Allocations - TD'!BF5="","",'M2 Allocations - TD'!BF31)</f>
        <v>0</v>
      </c>
      <c r="BH27" s="20">
        <f>IF('M2 Allocations - TD'!BG5="","",'M2 Allocations - TD'!BG31)</f>
        <v>0</v>
      </c>
      <c r="BI27" s="20">
        <f>IF('M2 Allocations - TD'!BH5="","",'M2 Allocations - TD'!BH31)</f>
        <v>0</v>
      </c>
      <c r="BJ27" s="20">
        <f>IF('M2 Allocations - TD'!BI5="","",'M2 Allocations - TD'!BI31)</f>
        <v>0</v>
      </c>
      <c r="BK27" s="20">
        <f>IF('M2 Allocations - TD'!BJ5="","",'M2 Allocations - TD'!BJ31)</f>
        <v>0</v>
      </c>
      <c r="BL27" s="20">
        <f>IF('M2 Allocations - TD'!BK5="","",'M2 Allocations - TD'!BK31)</f>
        <v>0</v>
      </c>
      <c r="BM27" s="20">
        <f>IF('M2 Allocations - TD'!BL5="","",'M2 Allocations - TD'!BL31)</f>
        <v>0</v>
      </c>
      <c r="BN27" s="20">
        <f>IF('M2 Allocations - TD'!BM5="","",'M2 Allocations - TD'!BM31)</f>
        <v>0</v>
      </c>
      <c r="BO27" s="20">
        <f>IF('M2 Allocations - TD'!BN5="","",'M2 Allocations - TD'!BN31)</f>
        <v>0</v>
      </c>
      <c r="BP27" s="20">
        <f>IF('M2 Allocations - TD'!BO5="","",'M2 Allocations - TD'!BO31)</f>
        <v>0</v>
      </c>
      <c r="BQ27" s="20">
        <f>IF('M2 Allocations - TD'!BP5="","",'M2 Allocations - TD'!BP31)</f>
        <v>0</v>
      </c>
      <c r="BR27" s="20">
        <f>IF('M2 Allocations - TD'!BQ5="","",'M2 Allocations - TD'!BQ31)</f>
        <v>0</v>
      </c>
      <c r="BS27" s="20">
        <f>IF('M2 Allocations - TD'!BR5="","",'M2 Allocations - TD'!BR31)</f>
        <v>0</v>
      </c>
      <c r="BT27" s="20">
        <f>IF('M2 Allocations - TD'!BS5="","",'M2 Allocations - TD'!BS31)</f>
        <v>0</v>
      </c>
      <c r="BU27" s="20">
        <f>IF('M2 Allocations - TD'!BT5="","",'M2 Allocations - TD'!BT31)</f>
        <v>0</v>
      </c>
      <c r="BV27" s="20">
        <f>IF('M2 Allocations - TD'!BU5="","",'M2 Allocations - TD'!BU31)</f>
        <v>0</v>
      </c>
      <c r="BW27" s="20">
        <f>IF('M2 Allocations - TD'!BV5="","",'M2 Allocations - TD'!BV31)</f>
        <v>0</v>
      </c>
      <c r="BX27" s="20">
        <f>IF('M2 Allocations - TD'!BW5="","",'M2 Allocations - TD'!BW31)</f>
        <v>0</v>
      </c>
      <c r="BY27" s="20">
        <f>IF('M2 Allocations - TD'!BX5="","",'M2 Allocations - TD'!BX31)</f>
        <v>0</v>
      </c>
      <c r="BZ27" s="20">
        <f>IF('M2 Allocations - TD'!BY5="","",'M2 Allocations - TD'!BY31)</f>
        <v>0</v>
      </c>
      <c r="CA27" s="20">
        <f>IF('M2 Allocations - TD'!BZ5="","",'M2 Allocations - TD'!BZ31)</f>
        <v>0</v>
      </c>
      <c r="CB27" s="20">
        <f>IF('M2 Allocations - TD'!CA5="","",'M2 Allocations - TD'!CA31)</f>
        <v>0</v>
      </c>
      <c r="CC27" s="20">
        <f>IF('M2 Allocations - TD'!CB5="","",'M2 Allocations - TD'!CB31)</f>
        <v>0</v>
      </c>
      <c r="CD27" s="20">
        <f>IF('M2 Allocations - TD'!CC5="","",'M2 Allocations - TD'!CC31)</f>
        <v>0</v>
      </c>
      <c r="CE27" s="20">
        <f>IF('M2 Allocations - TD'!CD5="","",'M2 Allocations - TD'!CD31)</f>
        <v>0</v>
      </c>
      <c r="CF27" s="20">
        <f>IF('M2 Allocations - TD'!CE5="","",'M2 Allocations - TD'!CE31)</f>
        <v>0</v>
      </c>
      <c r="CG27" s="20">
        <f>IF('M2 Allocations - TD'!CF5="","",'M2 Allocations - TD'!CF31)</f>
        <v>0</v>
      </c>
      <c r="CH27" s="20">
        <f>IF('M2 Allocations - TD'!CG5="","",'M2 Allocations - TD'!CG31)</f>
        <v>0</v>
      </c>
      <c r="CI27" s="20">
        <f>IF('M2 Allocations - TD'!CH5="","",'M2 Allocations - TD'!CH31)</f>
        <v>0</v>
      </c>
      <c r="CJ27" s="20">
        <f>IF('M2 Allocations - TD'!CI5="","",'M2 Allocations - TD'!CI31)</f>
        <v>0</v>
      </c>
      <c r="CK27" s="20">
        <f>IF('M2 Allocations - TD'!CJ5="","",'M2 Allocations - TD'!CJ31)</f>
        <v>0</v>
      </c>
      <c r="CL27" s="20">
        <f>IF('M2 Allocations - TD'!CK5="","",'M2 Allocations - TD'!CK31)</f>
        <v>0</v>
      </c>
      <c r="CM27" s="20">
        <f>IF('M2 Allocations - TD'!CL5="","",'M2 Allocations - TD'!CL31)</f>
        <v>0</v>
      </c>
      <c r="CN27" s="20">
        <f>IF('M2 Allocations - TD'!CM5="","",'M2 Allocations - TD'!CM31)</f>
        <v>0</v>
      </c>
      <c r="CO27" s="20">
        <f>IF('M2 Allocations - TD'!CN5="","",'M2 Allocations - TD'!CN31)</f>
        <v>0</v>
      </c>
      <c r="CP27" s="20">
        <f>IF('M2 Allocations - TD'!CO5="","",'M2 Allocations - TD'!CO31)</f>
        <v>0</v>
      </c>
      <c r="CQ27" s="20">
        <f>IF('M2 Allocations - TD'!CP5="","",'M2 Allocations - TD'!CP31)</f>
        <v>0</v>
      </c>
      <c r="CR27" s="20">
        <f>IF('M2 Allocations - TD'!CQ5="","",'M2 Allocations - TD'!CQ31)</f>
        <v>0</v>
      </c>
      <c r="CS27" s="20">
        <f>IF('M2 Allocations - TD'!CR5="","",'M2 Allocations - TD'!CR31)</f>
        <v>0</v>
      </c>
      <c r="CT27" s="20">
        <f>IF('M2 Allocations - TD'!CS5="","",'M2 Allocations - TD'!CS31)</f>
        <v>0</v>
      </c>
      <c r="CU27" s="20">
        <f>IF('M2 Allocations - TD'!CT5="","",'M2 Allocations - TD'!CT31)</f>
        <v>0</v>
      </c>
    </row>
    <row r="28" spans="1:99" s="4" customFormat="1" ht="15" hidden="1" customHeight="1" outlineLevel="1" x14ac:dyDescent="0.25">
      <c r="A28" s="292"/>
      <c r="B28" s="16" t="s">
        <v>26</v>
      </c>
      <c r="C28" s="24"/>
      <c r="D28" s="24"/>
      <c r="E28" s="22">
        <v>0</v>
      </c>
      <c r="F28" s="22">
        <v>0</v>
      </c>
      <c r="G28" s="22">
        <v>12454.76</v>
      </c>
      <c r="H28" s="22">
        <v>191642.45</v>
      </c>
      <c r="I28" s="22">
        <v>257925.06</v>
      </c>
      <c r="J28" s="22">
        <v>258848.42</v>
      </c>
      <c r="K28" s="22">
        <v>234125.18</v>
      </c>
      <c r="L28" s="22">
        <v>166948.49</v>
      </c>
      <c r="M28" s="22">
        <v>136842.14000000001</v>
      </c>
      <c r="N28" s="22">
        <v>210493.55</v>
      </c>
      <c r="O28" s="22">
        <v>406285.42</v>
      </c>
      <c r="P28" s="22">
        <f>1370046.97-157.19</f>
        <v>1369889.78</v>
      </c>
      <c r="Q28" s="22">
        <f>1103156-126.94</f>
        <v>1103029.06</v>
      </c>
      <c r="R28" s="20">
        <f>IF('M2 Allocations - TD'!Q50="","",'M2 Allocations - TD'!Q68)</f>
        <v>983976.8055998187</v>
      </c>
      <c r="S28" s="20">
        <f>IF('M2 Allocations - TD'!R50="","",'M2 Allocations - TD'!R68)</f>
        <v>936126.67058040295</v>
      </c>
      <c r="T28" s="20">
        <f>IF('M2 Allocations - TD'!S50="","",'M2 Allocations - TD'!S68)</f>
        <v>1254886.244789884</v>
      </c>
      <c r="U28" s="20">
        <f>IF('M2 Allocations - TD'!T50="","",'M2 Allocations - TD'!T68)</f>
        <v>1666724.2213379955</v>
      </c>
      <c r="V28" s="20">
        <f>IF('M2 Allocations - TD'!U50="","",'M2 Allocations - TD'!U68)</f>
        <v>1687867.967739454</v>
      </c>
      <c r="W28" s="20">
        <f>IF('M2 Allocations - TD'!V50="","",'M2 Allocations - TD'!V68)</f>
        <v>1336984.8118306769</v>
      </c>
      <c r="X28" s="20">
        <f>IF('M2 Allocations - TD'!W50="","",'M2 Allocations - TD'!W68)</f>
        <v>1174985.3507627479</v>
      </c>
      <c r="Y28" s="20">
        <f>IF('M2 Allocations - TD'!X50="","",'M2 Allocations - TD'!X68)</f>
        <v>1029531.6444714632</v>
      </c>
      <c r="Z28" s="20">
        <f>IF('M2 Allocations - TD'!Y50="","",'M2 Allocations - TD'!Y68)</f>
        <v>1326453.2350570641</v>
      </c>
      <c r="AA28" s="20">
        <f>IF('M2 Allocations - TD'!Z50="","",'M2 Allocations - TD'!Z68)</f>
        <v>2030661.7411402338</v>
      </c>
      <c r="AB28" s="20">
        <f>IF('M2 Allocations - TD'!AA50="","",'M2 Allocations - TD'!AA68)</f>
        <v>1388250.35</v>
      </c>
      <c r="AC28" s="20">
        <f>IF('M2 Allocations - TD'!AB50="","",'M2 Allocations - TD'!AB68)</f>
        <v>1120654.6531242458</v>
      </c>
      <c r="AD28" s="20">
        <f>IF('M2 Allocations - TD'!AC50="","",'M2 Allocations - TD'!AC68)</f>
        <v>1082451.6725849968</v>
      </c>
      <c r="AE28" s="20">
        <f>IF('M2 Allocations - TD'!AD50="","",'M2 Allocations - TD'!AD68)</f>
        <v>880251.85351460415</v>
      </c>
      <c r="AF28" s="20">
        <f>IF('M2 Allocations - TD'!AE50="","",'M2 Allocations - TD'!AE68)</f>
        <v>1301284.1891339927</v>
      </c>
      <c r="AG28" s="20">
        <f>IF('M2 Allocations - TD'!AF50="","",'M2 Allocations - TD'!AF68)</f>
        <v>1524704.8572049867</v>
      </c>
      <c r="AH28" s="20">
        <f>IF('M2 Allocations - TD'!AG50="","",'M2 Allocations - TD'!AG68)</f>
        <v>1366723.6950669868</v>
      </c>
      <c r="AI28" s="20">
        <f>IF('M2 Allocations - TD'!AH50="","",'M2 Allocations - TD'!AH68)</f>
        <v>1314605.108458352</v>
      </c>
      <c r="AJ28" s="20">
        <f>IF('M2 Allocations - TD'!AI50="","",'M2 Allocations - TD'!AI68)</f>
        <v>1020432.9529194708</v>
      </c>
      <c r="AK28" s="20">
        <f>IF('M2 Allocations - TD'!AJ50="","",'M2 Allocations - TD'!AJ68)</f>
        <v>950195.40735321853</v>
      </c>
      <c r="AL28" s="20">
        <f>IF('M2 Allocations - TD'!AK50="","",'M2 Allocations - TD'!AK68)</f>
        <v>1320371.9817385538</v>
      </c>
      <c r="AM28" s="20">
        <f>IF('M2 Allocations - TD'!AL50="","",'M2 Allocations - TD'!AL68)</f>
        <v>1462433.5546846255</v>
      </c>
      <c r="AN28" s="20">
        <f>IF('M2 Allocations - TD'!AM50="","",'M2 Allocations - TD'!AM68)</f>
        <v>1529137.4028414818</v>
      </c>
      <c r="AO28" s="20">
        <f>IF('M2 Allocations - TD'!AN50="","",'M2 Allocations - TD'!AN68)</f>
        <v>1378360.7270812315</v>
      </c>
      <c r="AP28" s="20">
        <f>IF('M2 Allocations - TD'!AO50="","",'M2 Allocations - TD'!AO68)</f>
        <v>951160.98963883938</v>
      </c>
      <c r="AQ28" s="20">
        <f>IF('M2 Allocations - TD'!AP50="","",'M2 Allocations - TD'!AP68)</f>
        <v>807723.67786616471</v>
      </c>
      <c r="AR28" s="20">
        <f>IF('M2 Allocations - TD'!AQ50="","",'M2 Allocations - TD'!AQ68)</f>
        <v>1071830.4459348798</v>
      </c>
      <c r="AS28" s="20">
        <f>IF('M2 Allocations - TD'!AR50="","",'M2 Allocations - TD'!AR68)</f>
        <v>1361027.792333117</v>
      </c>
      <c r="AT28" s="20">
        <f>IF('M2 Allocations - TD'!AS50="","",'M2 Allocations - TD'!AS68)</f>
        <v>1432733.48651519</v>
      </c>
      <c r="AU28" s="20">
        <f>IF('M2 Allocations - TD'!AT50="","",'M2 Allocations - TD'!AT68)</f>
        <v>1322179.2642833882</v>
      </c>
      <c r="AV28" s="20">
        <f>IF('M2 Allocations - TD'!AU50="","",'M2 Allocations - TD'!AU68)</f>
        <v>1087865.4265500808</v>
      </c>
      <c r="AW28" s="20">
        <f>IF('M2 Allocations - TD'!AV50="","",'M2 Allocations - TD'!AV68)</f>
        <v>979499.93887924904</v>
      </c>
      <c r="AX28" s="20">
        <f>IF('M2 Allocations - TD'!AW50="","",'M2 Allocations - TD'!AW68)</f>
        <v>1315854.6359199637</v>
      </c>
      <c r="AY28" s="20">
        <f>IF('M2 Allocations - TD'!AX50="","",'M2 Allocations - TD'!AX68)</f>
        <v>1452342.8430098211</v>
      </c>
      <c r="AZ28" s="20">
        <f>IF('M2 Allocations - TD'!AY50="","",'M2 Allocations - TD'!AY68)</f>
        <v>852786.52127385803</v>
      </c>
      <c r="BA28" s="20">
        <f>IF('M2 Allocations - TD'!AZ50="","",'M2 Allocations - TD'!AZ68)</f>
        <v>125873.38282544476</v>
      </c>
      <c r="BB28" s="20">
        <f>IF('M2 Allocations - TD'!BA50="","",'M2 Allocations - TD'!BA68)</f>
        <v>94402.787188311384</v>
      </c>
      <c r="BC28" s="20">
        <f>IF('M2 Allocations - TD'!BB50="","",'M2 Allocations - TD'!BB68)</f>
        <v>84175.513069788271</v>
      </c>
      <c r="BD28" s="20">
        <f>IF('M2 Allocations - TD'!BC50="","",'M2 Allocations - TD'!BC68)</f>
        <v>111088.05405709325</v>
      </c>
      <c r="BE28" s="20">
        <f>IF('M2 Allocations - TD'!BD50="","",'M2 Allocations - TD'!BD68)</f>
        <v>148912.4914773225</v>
      </c>
      <c r="BF28" s="20">
        <f>IF('M2 Allocations - TD'!BE50="","",'M2 Allocations - TD'!BE68)</f>
        <v>139614.44094102815</v>
      </c>
      <c r="BG28" s="20">
        <f>IF('M2 Allocations - TD'!BF50="","",'M2 Allocations - TD'!BF68)</f>
        <v>125976.71022904465</v>
      </c>
      <c r="BH28" s="20">
        <f>IF('M2 Allocations - TD'!BG50="","",'M2 Allocations - TD'!BG68)</f>
        <v>85433.845861912778</v>
      </c>
      <c r="BI28" s="20">
        <f>IF('M2 Allocations - TD'!BH50="","",'M2 Allocations - TD'!BH68)</f>
        <v>91258.917890257697</v>
      </c>
      <c r="BJ28" s="20">
        <f>IF('M2 Allocations - TD'!BI50="","",'M2 Allocations - TD'!BI68)</f>
        <v>120857.06275512144</v>
      </c>
      <c r="BK28" s="20">
        <f>IF('M2 Allocations - TD'!BJ50="","",'M2 Allocations - TD'!BJ68)</f>
        <v>157131.76386056477</v>
      </c>
      <c r="BL28" s="20">
        <f>IF('M2 Allocations - TD'!BK50="","",'M2 Allocations - TD'!BK68)</f>
        <v>-115197.03218943029</v>
      </c>
      <c r="BM28" s="20">
        <f>IF('M2 Allocations - TD'!BL50="","",'M2 Allocations - TD'!BL68)</f>
        <v>-330846.44785598782</v>
      </c>
      <c r="BN28" s="20">
        <f>IF('M2 Allocations - TD'!BM50="","",'M2 Allocations - TD'!BM68)</f>
        <v>-223865.36362995688</v>
      </c>
      <c r="BO28" s="20">
        <f>IF('M2 Allocations - TD'!BN50="","",'M2 Allocations - TD'!BN68)</f>
        <v>-210176.78057078717</v>
      </c>
      <c r="BP28" s="20">
        <f>IF('M2 Allocations - TD'!BO50="","",'M2 Allocations - TD'!BO68)</f>
        <v>-274664.86631310626</v>
      </c>
      <c r="BQ28" s="20">
        <f>IF('M2 Allocations - TD'!BP50="","",'M2 Allocations - TD'!BP68)</f>
        <v>-362529.15554440091</v>
      </c>
      <c r="BR28" s="20">
        <f>IF('M2 Allocations - TD'!BQ50="","",'M2 Allocations - TD'!BQ68)</f>
        <v>-369792.94310600177</v>
      </c>
      <c r="BS28" s="20">
        <f>IF('M2 Allocations - TD'!BR50="","",'M2 Allocations - TD'!BR68)</f>
        <v>-363385.55298456381</v>
      </c>
      <c r="BT28" s="20">
        <f>IF('M2 Allocations - TD'!BS50="","",'M2 Allocations - TD'!BS68)</f>
        <v>-252118.8064792598</v>
      </c>
      <c r="BU28" s="20">
        <f>IF('M2 Allocations - TD'!BT50="","",'M2 Allocations - TD'!BT68)</f>
        <v>-236659.87723249063</v>
      </c>
      <c r="BV28" s="20">
        <f>IF('M2 Allocations - TD'!BU50="","",'M2 Allocations - TD'!BU68)</f>
        <v>-296177.30566513271</v>
      </c>
      <c r="BW28" s="20">
        <f>IF('M2 Allocations - TD'!BV50="","",'M2 Allocations - TD'!BV68)</f>
        <v>-381804.14898688439</v>
      </c>
      <c r="BX28" s="20">
        <f>IF('M2 Allocations - TD'!BW50="","",'M2 Allocations - TD'!BW68)</f>
        <v>-246708.5763060193</v>
      </c>
      <c r="BY28" s="20">
        <f>IF('M2 Allocations - TD'!BX50="","",'M2 Allocations - TD'!BX68)</f>
        <v>-14067.704131906468</v>
      </c>
      <c r="BZ28" s="20">
        <f>IF('M2 Allocations - TD'!BY50="","",'M2 Allocations - TD'!BY68)</f>
        <v>-8075.3701007850805</v>
      </c>
      <c r="CA28" s="20">
        <f>IF('M2 Allocations - TD'!BZ50="","",'M2 Allocations - TD'!BZ68)</f>
        <v>-8069.5010685150701</v>
      </c>
      <c r="CB28" s="20">
        <f>IF('M2 Allocations - TD'!CA50="","",'M2 Allocations - TD'!CA68)</f>
        <v>-10523.960092720119</v>
      </c>
      <c r="CC28" s="20">
        <f>IF('M2 Allocations - TD'!CB50="","",'M2 Allocations - TD'!CB68)</f>
        <v>-14468.941204805698</v>
      </c>
      <c r="CD28" s="20">
        <f>IF('M2 Allocations - TD'!CC50="","",'M2 Allocations - TD'!CC68)</f>
        <v>-13654.530108070918</v>
      </c>
      <c r="CE28" s="20">
        <f>IF('M2 Allocations - TD'!CD50="","",'M2 Allocations - TD'!CD68)</f>
        <v>-11445.528735503302</v>
      </c>
      <c r="CF28" s="20">
        <f>IF('M2 Allocations - TD'!CE50="","",'M2 Allocations - TD'!CE68)</f>
        <v>-8161.2905921701886</v>
      </c>
      <c r="CG28" s="20">
        <f>IF('M2 Allocations - TD'!CF50="","",'M2 Allocations - TD'!CF68)</f>
        <v>-7466.1740536377019</v>
      </c>
      <c r="CH28" s="20">
        <f>IF('M2 Allocations - TD'!CG50="","",'M2 Allocations - TD'!CG68)</f>
        <v>-11799.60123590958</v>
      </c>
      <c r="CI28" s="20">
        <f>IF('M2 Allocations - TD'!CH50="","",'M2 Allocations - TD'!CH68)</f>
        <v>-14218.800814047187</v>
      </c>
      <c r="CJ28" s="20">
        <f>IF('M2 Allocations - TD'!CI50="","",'M2 Allocations - TD'!CI68)</f>
        <v>1128.7472916282129</v>
      </c>
      <c r="CK28" s="20">
        <f>IF('M2 Allocations - TD'!CJ50="","",'M2 Allocations - TD'!CJ68)</f>
        <v>17063.412176146543</v>
      </c>
      <c r="CL28" s="20">
        <f>IF('M2 Allocations - TD'!CK50="","",'M2 Allocations - TD'!CK68)</f>
        <v>14834.032673913982</v>
      </c>
      <c r="CM28" s="20">
        <f>IF('M2 Allocations - TD'!CL50="","",'M2 Allocations - TD'!CL68)</f>
        <v>12618.250319023464</v>
      </c>
      <c r="CN28" s="20">
        <f>IF('M2 Allocations - TD'!CM50="","",'M2 Allocations - TD'!CM68)</f>
        <v>16278.292305872981</v>
      </c>
      <c r="CO28" s="20">
        <f>IF('M2 Allocations - TD'!CN50="","",'M2 Allocations - TD'!CN68)</f>
        <v>21270.90679048586</v>
      </c>
      <c r="CP28" s="20">
        <f>IF('M2 Allocations - TD'!CO50="","",'M2 Allocations - TD'!CO68)</f>
        <v>21946.695895800647</v>
      </c>
      <c r="CQ28" s="20">
        <f>IF('M2 Allocations - TD'!CP50="","",'M2 Allocations - TD'!CP68)</f>
        <v>20318.680329761581</v>
      </c>
      <c r="CR28" s="20">
        <f>IF('M2 Allocations - TD'!CQ50="","",'M2 Allocations - TD'!CQ68)</f>
        <v>14782.334123161956</v>
      </c>
      <c r="CS28" s="20">
        <f>IF('M2 Allocations - TD'!CR50="","",'M2 Allocations - TD'!CR68)</f>
        <v>12971.488360059222</v>
      </c>
      <c r="CT28" s="20">
        <f>IF('M2 Allocations - TD'!CS50="","",'M2 Allocations - TD'!CS68)</f>
        <v>18052.481850703134</v>
      </c>
      <c r="CU28" s="20">
        <f>IF('M2 Allocations - TD'!CT50="","",'M2 Allocations - TD'!CT68)</f>
        <v>23582.012689071704</v>
      </c>
    </row>
    <row r="29" spans="1:99" s="4" customFormat="1" ht="15" hidden="1" customHeight="1" outlineLevel="1" x14ac:dyDescent="0.25">
      <c r="A29" s="292"/>
      <c r="B29" s="16" t="s">
        <v>51</v>
      </c>
      <c r="C29" s="24"/>
      <c r="D29" s="24"/>
      <c r="E29" s="22"/>
      <c r="F29" s="22"/>
      <c r="G29" s="22"/>
      <c r="H29" s="22"/>
      <c r="I29" s="22"/>
      <c r="J29" s="22"/>
      <c r="K29" s="22"/>
      <c r="L29" s="22"/>
      <c r="M29" s="22"/>
      <c r="N29" s="22"/>
      <c r="O29" s="22">
        <f>+'M2 TD amort'!C8</f>
        <v>0</v>
      </c>
      <c r="P29" s="22">
        <f>IF(P28="","",-'M2 TD amort'!D8)</f>
        <v>-711911.22</v>
      </c>
      <c r="Q29" s="22">
        <f>IF(Q28="","",-'M2 TD amort'!E8)</f>
        <v>-573227.69999999995</v>
      </c>
      <c r="R29" s="20">
        <f>IF(R28="","",-'M2 TD amort'!F8)</f>
        <v>-501096.29</v>
      </c>
      <c r="S29" s="20">
        <f>IF(S28="","",-'M2 TD amort'!G8)</f>
        <v>-477583.74</v>
      </c>
      <c r="T29" s="20">
        <f>IF(T28="","",-'M2 TD amort'!H8)</f>
        <v>-641985.30000000005</v>
      </c>
      <c r="U29" s="20">
        <f>IF(U28="","",-'M2 TD amort'!I8)</f>
        <v>-854211.51</v>
      </c>
      <c r="V29" s="20">
        <f>IF(V28="","",-'M2 TD amort'!J8)</f>
        <v>-864751.39</v>
      </c>
      <c r="W29" s="20">
        <f>IF(W28="","",-'M2 TD amort'!K8)</f>
        <v>-683761.31</v>
      </c>
      <c r="X29" s="20">
        <f>IF(X28="","",-'M2 TD amort'!L8)</f>
        <v>-600310.41</v>
      </c>
      <c r="Y29" s="20">
        <f>IF(Y28="","",-'M2 TD amort'!M8)</f>
        <v>-524179.13</v>
      </c>
      <c r="Z29" s="20">
        <f>IF(Z28="","",-'M2 TD amort'!N8)</f>
        <v>-675963.66</v>
      </c>
      <c r="AA29" s="20">
        <f>IF(AA28="","",-'M2 TD amort'!O8)</f>
        <v>-1036876.86</v>
      </c>
      <c r="AB29" s="20">
        <f>IF(AB28="","",-'M2 TD amort'!P8)</f>
        <v>46701.32</v>
      </c>
      <c r="AC29" s="20">
        <f>IF(AC28="","",-'M2 TD amort'!Q8)</f>
        <v>37642.160000000003</v>
      </c>
      <c r="AD29" s="20">
        <f>IF(AD28="","",-'M2 TD amort'!R8)</f>
        <v>36342.15</v>
      </c>
      <c r="AE29" s="20">
        <f>IF(AE28="","",-'M2 TD amort'!S8)</f>
        <v>29599.11</v>
      </c>
      <c r="AF29" s="20">
        <f>IF(AF28="","",-'M2 TD amort'!T8)</f>
        <v>43963.199999999997</v>
      </c>
      <c r="AG29" s="20">
        <f>IF(AG28="","",-'M2 TD amort'!U8)</f>
        <v>51549.48</v>
      </c>
      <c r="AH29" s="20">
        <f>IF(AH28="","",-'M2 TD amort'!V8)</f>
        <v>46197.58</v>
      </c>
      <c r="AI29" s="20">
        <f>IF(AI28="","",-'M2 TD amort'!W8)</f>
        <v>44433.38</v>
      </c>
      <c r="AJ29" s="20">
        <f>IF(AJ28="","",-'M2 TD amort'!X8)</f>
        <v>34383.949999999997</v>
      </c>
      <c r="AK29" s="20">
        <f>IF(AK28="","",-'M2 TD amort'!Y8)</f>
        <v>31905.63</v>
      </c>
      <c r="AL29" s="20">
        <f>IF(AL28="","",-'M2 TD amort'!Z8)</f>
        <v>44394.77</v>
      </c>
      <c r="AM29" s="20">
        <f>IF(AM28="","",-'M2 TD amort'!AA8)</f>
        <v>49232.21</v>
      </c>
      <c r="AN29" s="20">
        <f>IF(AN28="","",-'M2 TD amort'!AB8)</f>
        <v>216071.84</v>
      </c>
      <c r="AO29" s="20">
        <f>IF(AO28="","",-'M2 TD amort'!AC8)</f>
        <v>194591.59</v>
      </c>
      <c r="AP29" s="20">
        <f>IF(AP28="","",-'M2 TD amort'!AD8)</f>
        <v>134071.35999999999</v>
      </c>
      <c r="AQ29" s="20">
        <f>IF(AQ28="","",-'M2 TD amort'!AE8)</f>
        <v>113984.64</v>
      </c>
      <c r="AR29" s="20">
        <f>IF(AR28="","",-'M2 TD amort'!AF8)</f>
        <v>151800.88</v>
      </c>
      <c r="AS29" s="20">
        <f>IF(AS28="","",-'M2 TD amort'!AG8)</f>
        <v>193122.18</v>
      </c>
      <c r="AT29" s="20">
        <f>IF(AT28="","",-'M2 TD amort'!AH8)</f>
        <v>203284.46</v>
      </c>
      <c r="AU29" s="20">
        <f>IF(AU28="","",-'M2 TD amort'!AI8)</f>
        <v>187531.79</v>
      </c>
      <c r="AV29" s="20">
        <f>IF(AV28="","",-'M2 TD amort'!AJ8)</f>
        <v>154102.16</v>
      </c>
      <c r="AW29" s="20">
        <f>IF(AW28="","",-'M2 TD amort'!AK8)</f>
        <v>138255.22</v>
      </c>
      <c r="AX29" s="20">
        <f>IF(AX28="","",-'M2 TD amort'!AL8)</f>
        <v>186023.43</v>
      </c>
      <c r="AY29" s="20">
        <f>IF(AY28="","",-'M2 TD amort'!AM8)</f>
        <v>205426.33</v>
      </c>
      <c r="AZ29" s="20">
        <f>IF(AZ28="","",-'M2 TD amort'!AN8)</f>
        <v>594409.85</v>
      </c>
      <c r="BA29" s="20">
        <f>IF(BA28="","",-'M2 TD amort'!AO8)</f>
        <v>87726.16</v>
      </c>
      <c r="BB29" s="20">
        <f>IF(BB28="","",-'M2 TD amort'!AP8)</f>
        <v>65829.27</v>
      </c>
      <c r="BC29" s="20">
        <f>IF(BC28="","",-'M2 TD amort'!AQ8)</f>
        <v>58757.52</v>
      </c>
      <c r="BD29" s="20">
        <f>IF(BD28="","",-'M2 TD amort'!AR8)</f>
        <v>77792.009999999995</v>
      </c>
      <c r="BE29" s="20">
        <f>IF(BE28="","",-'M2 TD amort'!AS8)</f>
        <v>104447.8</v>
      </c>
      <c r="BF29" s="20">
        <f>IF(BF28="","",-'M2 TD amort'!AT8)</f>
        <v>97903.88</v>
      </c>
      <c r="BG29" s="20">
        <f>IF(BG28="","",-'M2 TD amort'!AU8)</f>
        <v>88306.68</v>
      </c>
      <c r="BH29" s="20">
        <f>IF(BH28="","",-'M2 TD amort'!AV8)</f>
        <v>59672.800000000003</v>
      </c>
      <c r="BI29" s="20">
        <f>IF(BI28="","",-'M2 TD amort'!AW8)</f>
        <v>63668.09</v>
      </c>
      <c r="BJ29" s="20">
        <f>IF(BJ28="","",-'M2 TD amort'!AX8)</f>
        <v>84398.080000000002</v>
      </c>
      <c r="BK29" s="20">
        <f>IF(BK28="","",-'M2 TD amort'!AY8)</f>
        <v>109860.73</v>
      </c>
      <c r="BL29" s="20">
        <f>IF(BL28="","",-'M2 TD amort'!AZ8)</f>
        <v>113458.01</v>
      </c>
      <c r="BM29" s="20">
        <f>IF(BM28="","",-'M2 TD amort'!BA8)</f>
        <v>325175.89</v>
      </c>
      <c r="BN29" s="20">
        <f>IF(BN28="","",-'M2 TD amort'!BB8)</f>
        <v>219552.89</v>
      </c>
      <c r="BO29" s="20">
        <f>IF(BO28="","",-'M2 TD amort'!BC8)</f>
        <v>206267.22</v>
      </c>
      <c r="BP29" s="20">
        <f>IF(BP28="","",-'M2 TD amort'!BD8)</f>
        <v>270595.87</v>
      </c>
      <c r="BQ29" s="20">
        <f>IF(BQ28="","",-'M2 TD amort'!BE8)</f>
        <v>357386.66</v>
      </c>
      <c r="BR29" s="20">
        <f>IF(BR28="","",-'M2 TD amort'!BF8)</f>
        <v>364675.44</v>
      </c>
      <c r="BS29" s="20">
        <f>IF(BS28="","",-'M2 TD amort'!BG8)</f>
        <v>358208.47</v>
      </c>
      <c r="BT29" s="20">
        <f>IF(BT28="","",-'M2 TD amort'!BH8)</f>
        <v>248050.58</v>
      </c>
      <c r="BU29" s="20">
        <f>IF(BU28="","",-'M2 TD amort'!BI8)</f>
        <v>232427.07</v>
      </c>
      <c r="BV29" s="20">
        <f>IF(BV28="","",-'M2 TD amort'!BJ8)</f>
        <v>290836.61</v>
      </c>
      <c r="BW29" s="20">
        <f>IF(BW28="","",-'M2 TD amort'!BK8)</f>
        <v>375935.37</v>
      </c>
      <c r="BX29" s="20">
        <f>IF(BX28="","",-'M2 TD amort'!BL8)</f>
        <v>242680.23</v>
      </c>
      <c r="BY29" s="20">
        <f>IF(BY28="","",-'M2 TD amort'!BM8)</f>
        <v>13830.45</v>
      </c>
      <c r="BZ29" s="20">
        <f>IF(BZ28="","",-'M2 TD amort'!BN8)</f>
        <v>7909.14</v>
      </c>
      <c r="CA29" s="20">
        <f>IF(CA28="","",-'M2 TD amort'!BO8)</f>
        <v>7927.25</v>
      </c>
      <c r="CB29" s="20">
        <f>IF(CB28="","",-'M2 TD amort'!BP8)</f>
        <v>10364.700000000001</v>
      </c>
      <c r="CC29" s="20">
        <f>IF(CC28="","",-'M2 TD amort'!BQ8)</f>
        <v>14271.87</v>
      </c>
      <c r="CD29" s="20">
        <f>IF(CD28="","",-'M2 TD amort'!BR8)</f>
        <v>13453.18</v>
      </c>
      <c r="CE29" s="20">
        <f>IF(CE28="","",-'M2 TD amort'!BS8)</f>
        <v>11260.05</v>
      </c>
      <c r="CF29" s="20">
        <f>IF(CF28="","",-'M2 TD amort'!BT8)</f>
        <v>8003.94</v>
      </c>
      <c r="CG29" s="20">
        <f>IF(CG28="","",-'M2 TD amort'!BU8)</f>
        <v>7297.68</v>
      </c>
      <c r="CH29" s="20">
        <f>IF(CH28="","",-'M2 TD amort'!BV8)</f>
        <v>11546.44</v>
      </c>
      <c r="CI29" s="20">
        <f>IF(CI28="","",-'M2 TD amort'!BW8)</f>
        <v>13951.26</v>
      </c>
      <c r="CJ29" s="20">
        <f>IF(CJ28="","",-'M2 TD amort'!BX8)</f>
        <v>-1126.4100000000001</v>
      </c>
      <c r="CK29" s="20">
        <f>IF(CK28="","",-'M2 TD amort'!BY8)</f>
        <v>-16692.439999999999</v>
      </c>
      <c r="CL29" s="20">
        <f>IF(CL28="","",-'M2 TD amort'!BZ8)</f>
        <v>-14494.89</v>
      </c>
      <c r="CM29" s="20">
        <f>IF(CM28="","",-'M2 TD amort'!CA8)</f>
        <v>-12335.8</v>
      </c>
      <c r="CN29" s="20">
        <f>IF(CN28="","",-'M2 TD amort'!CB8)</f>
        <v>-15962.84</v>
      </c>
      <c r="CO29" s="20">
        <f>IF(CO28="","",-'M2 TD amort'!CC8)</f>
        <v>-20902.03</v>
      </c>
      <c r="CP29" s="20">
        <f>IF(CP28="","",-'M2 TD amort'!CD8)</f>
        <v>-21552.2</v>
      </c>
      <c r="CQ29" s="20">
        <f>IF(CQ28="","",-'M2 TD amort'!CE8)</f>
        <v>-19936.310000000001</v>
      </c>
      <c r="CR29" s="20">
        <f>IF(CR28="","",-'M2 TD amort'!CF8)</f>
        <v>-14454.45</v>
      </c>
      <c r="CS29" s="20">
        <f>IF(CS28="","",-'M2 TD amort'!CG8)</f>
        <v>-12652.24</v>
      </c>
      <c r="CT29" s="20">
        <f>IF(CT28="","",-'M2 TD amort'!CH8)</f>
        <v>-17636.48</v>
      </c>
      <c r="CU29" s="20">
        <f>IF(CU28="","",-'M2 TD amort'!CI8)</f>
        <v>-23087.03</v>
      </c>
    </row>
    <row r="30" spans="1:99" s="4" customFormat="1" ht="15" hidden="1" customHeight="1" outlineLevel="1" x14ac:dyDescent="0.25">
      <c r="A30" s="292"/>
      <c r="B30" s="16" t="s">
        <v>52</v>
      </c>
      <c r="C30" s="24"/>
      <c r="D30" s="24"/>
      <c r="E30" s="7"/>
      <c r="F30" s="7"/>
      <c r="G30" s="7"/>
      <c r="H30" s="7"/>
      <c r="I30" s="7"/>
      <c r="J30" s="7"/>
      <c r="K30" s="7"/>
      <c r="L30" s="7"/>
      <c r="M30" s="7"/>
      <c r="N30" s="7"/>
      <c r="O30" s="7">
        <f>IF(OR(O29="",O28=""),"",O28+O29)</f>
        <v>406285.42</v>
      </c>
      <c r="P30" s="7">
        <f>IF(OR(P29="",P28=""),"",P28+P29)</f>
        <v>657978.56000000006</v>
      </c>
      <c r="Q30" s="7">
        <f t="shared" ref="Q30:AM30" si="271">IF(OR(Q29="",Q28=""),"",Q28+Q29)</f>
        <v>529801.3600000001</v>
      </c>
      <c r="R30" s="7">
        <f t="shared" si="271"/>
        <v>482880.51559981873</v>
      </c>
      <c r="S30" s="7">
        <f t="shared" si="271"/>
        <v>458542.93058040296</v>
      </c>
      <c r="T30" s="7">
        <f t="shared" si="271"/>
        <v>612900.94478988391</v>
      </c>
      <c r="U30" s="7">
        <f t="shared" si="271"/>
        <v>812512.71133799548</v>
      </c>
      <c r="V30" s="7">
        <f t="shared" si="271"/>
        <v>823116.57773945399</v>
      </c>
      <c r="W30" s="7">
        <f t="shared" si="271"/>
        <v>653223.5018306768</v>
      </c>
      <c r="X30" s="7">
        <f t="shared" si="271"/>
        <v>574674.94076274789</v>
      </c>
      <c r="Y30" s="7">
        <f t="shared" si="271"/>
        <v>505352.51447146316</v>
      </c>
      <c r="Z30" s="7">
        <f t="shared" si="271"/>
        <v>650489.57505706407</v>
      </c>
      <c r="AA30" s="7">
        <f>IF(OR(AA29="",AA28=""),"",AA28+AA29)</f>
        <v>993784.88114023383</v>
      </c>
      <c r="AB30" s="7">
        <f t="shared" si="271"/>
        <v>1434951.6700000002</v>
      </c>
      <c r="AC30" s="7">
        <f t="shared" si="271"/>
        <v>1158296.8131242457</v>
      </c>
      <c r="AD30" s="7">
        <f t="shared" si="271"/>
        <v>1118793.8225849967</v>
      </c>
      <c r="AE30" s="7">
        <f t="shared" si="271"/>
        <v>909850.96351460414</v>
      </c>
      <c r="AF30" s="7">
        <f t="shared" si="271"/>
        <v>1345247.3891339926</v>
      </c>
      <c r="AG30" s="7">
        <f t="shared" si="271"/>
        <v>1576254.3372049867</v>
      </c>
      <c r="AH30" s="7">
        <f t="shared" si="271"/>
        <v>1412921.2750669869</v>
      </c>
      <c r="AI30" s="7">
        <f t="shared" si="271"/>
        <v>1359038.4884583519</v>
      </c>
      <c r="AJ30" s="7">
        <f t="shared" si="271"/>
        <v>1054816.9029194708</v>
      </c>
      <c r="AK30" s="7">
        <f t="shared" si="271"/>
        <v>982101.03735321853</v>
      </c>
      <c r="AL30" s="7">
        <f t="shared" si="271"/>
        <v>1364766.7517385539</v>
      </c>
      <c r="AM30" s="7">
        <f t="shared" si="271"/>
        <v>1511665.7646846254</v>
      </c>
      <c r="AN30" s="7">
        <f t="shared" ref="AN30:BJ30" si="272">IF(OR(AN29="",AN28=""),"",AN28+AN29)</f>
        <v>1745209.2428414819</v>
      </c>
      <c r="AO30" s="7">
        <f t="shared" si="272"/>
        <v>1572952.3170812316</v>
      </c>
      <c r="AP30" s="7">
        <f t="shared" si="272"/>
        <v>1085232.3496388393</v>
      </c>
      <c r="AQ30" s="7">
        <f t="shared" si="272"/>
        <v>921708.31786616473</v>
      </c>
      <c r="AR30" s="7">
        <f t="shared" si="272"/>
        <v>1223631.3259348799</v>
      </c>
      <c r="AS30" s="7">
        <f>IF(OR(AS29="",AS28=""),"",AS28+AS29)</f>
        <v>1554149.9723331169</v>
      </c>
      <c r="AT30" s="7">
        <f t="shared" si="272"/>
        <v>1636017.9465151899</v>
      </c>
      <c r="AU30" s="7">
        <f t="shared" si="272"/>
        <v>1509711.0542833882</v>
      </c>
      <c r="AV30" s="7">
        <f t="shared" si="272"/>
        <v>1241967.5865500807</v>
      </c>
      <c r="AW30" s="7">
        <f t="shared" si="272"/>
        <v>1117755.1588792491</v>
      </c>
      <c r="AX30" s="7">
        <f t="shared" si="272"/>
        <v>1501878.0659199636</v>
      </c>
      <c r="AY30" s="7">
        <f t="shared" si="272"/>
        <v>1657769.1730098212</v>
      </c>
      <c r="AZ30" s="7">
        <f t="shared" si="272"/>
        <v>1447196.371273858</v>
      </c>
      <c r="BA30" s="7">
        <f t="shared" si="272"/>
        <v>213599.54282544478</v>
      </c>
      <c r="BB30" s="7">
        <f t="shared" si="272"/>
        <v>160232.05718831139</v>
      </c>
      <c r="BC30" s="7">
        <f t="shared" si="272"/>
        <v>142933.03306978827</v>
      </c>
      <c r="BD30" s="7">
        <f t="shared" si="272"/>
        <v>188880.06405709323</v>
      </c>
      <c r="BE30" s="7">
        <f t="shared" si="272"/>
        <v>253360.29147732252</v>
      </c>
      <c r="BF30" s="7">
        <f t="shared" si="272"/>
        <v>237518.32094102816</v>
      </c>
      <c r="BG30" s="7">
        <f t="shared" si="272"/>
        <v>214283.39022904466</v>
      </c>
      <c r="BH30" s="7">
        <f t="shared" si="272"/>
        <v>145106.64586191278</v>
      </c>
      <c r="BI30" s="7">
        <f t="shared" si="272"/>
        <v>154927.00789025769</v>
      </c>
      <c r="BJ30" s="7">
        <f t="shared" si="272"/>
        <v>205255.14275512146</v>
      </c>
      <c r="BK30" s="7">
        <f t="shared" ref="BK30:BL30" si="273">IF(OR(BK29="",BK28=""),"",BK28+BK29)</f>
        <v>266992.49386056478</v>
      </c>
      <c r="BL30" s="7">
        <f t="shared" si="273"/>
        <v>-1739.0221894302958</v>
      </c>
      <c r="BM30" s="7">
        <f t="shared" ref="BM30:BN30" si="274">IF(OR(BM29="",BM28=""),"",BM28+BM29)</f>
        <v>-5670.5578559878049</v>
      </c>
      <c r="BN30" s="7">
        <f t="shared" si="274"/>
        <v>-4312.4736299568613</v>
      </c>
      <c r="BO30" s="7">
        <f t="shared" ref="BO30:BP30" si="275">IF(OR(BO29="",BO28=""),"",BO28+BO29)</f>
        <v>-3909.5605707871728</v>
      </c>
      <c r="BP30" s="7">
        <f t="shared" si="275"/>
        <v>-4068.9963131062686</v>
      </c>
      <c r="BQ30" s="7">
        <f t="shared" ref="BQ30:BR30" si="276">IF(OR(BQ29="",BQ28=""),"",BQ28+BQ29)</f>
        <v>-5142.4955444009393</v>
      </c>
      <c r="BR30" s="7">
        <f t="shared" si="276"/>
        <v>-5117.5031060017645</v>
      </c>
      <c r="BS30" s="7">
        <f t="shared" ref="BS30:BT30" si="277">IF(OR(BS29="",BS28=""),"",BS28+BS29)</f>
        <v>-5177.0829845638364</v>
      </c>
      <c r="BT30" s="7">
        <f t="shared" si="277"/>
        <v>-4068.2264792598144</v>
      </c>
      <c r="BU30" s="7">
        <f t="shared" ref="BU30:BV30" si="278">IF(OR(BU29="",BU28=""),"",BU28+BU29)</f>
        <v>-4232.8072324906243</v>
      </c>
      <c r="BV30" s="7">
        <f t="shared" si="278"/>
        <v>-5340.69566513272</v>
      </c>
      <c r="BW30" s="7">
        <f t="shared" ref="BW30:BX30" si="279">IF(OR(BW29="",BW28=""),"",BW28+BW29)</f>
        <v>-5868.7789868843975</v>
      </c>
      <c r="BX30" s="7">
        <f t="shared" si="279"/>
        <v>-4028.346306019288</v>
      </c>
      <c r="BY30" s="7">
        <f t="shared" ref="BY30:BZ30" si="280">IF(OR(BY29="",BY28=""),"",BY28+BY29)</f>
        <v>-237.25413190646759</v>
      </c>
      <c r="BZ30" s="7">
        <f t="shared" si="280"/>
        <v>-166.23010078508014</v>
      </c>
      <c r="CA30" s="7">
        <f t="shared" ref="CA30:CB30" si="281">IF(OR(CA29="",CA28=""),"",CA28+CA29)</f>
        <v>-142.25106851507007</v>
      </c>
      <c r="CB30" s="7">
        <f t="shared" si="281"/>
        <v>-159.26009272011834</v>
      </c>
      <c r="CC30" s="7">
        <f t="shared" ref="CC30:CD30" si="282">IF(OR(CC29="",CC28=""),"",CC28+CC29)</f>
        <v>-197.07120480569756</v>
      </c>
      <c r="CD30" s="7">
        <f t="shared" si="282"/>
        <v>-201.35010807091749</v>
      </c>
      <c r="CE30" s="7">
        <f t="shared" ref="CE30:CF30" si="283">IF(OR(CE29="",CE28=""),"",CE28+CE29)</f>
        <v>-185.47873550330223</v>
      </c>
      <c r="CF30" s="7">
        <f t="shared" si="283"/>
        <v>-157.35059217018897</v>
      </c>
      <c r="CG30" s="7">
        <f t="shared" ref="CG30:CH30" si="284">IF(OR(CG29="",CG28=""),"",CG28+CG29)</f>
        <v>-168.49405363770165</v>
      </c>
      <c r="CH30" s="7">
        <f t="shared" si="284"/>
        <v>-253.16123590957977</v>
      </c>
      <c r="CI30" s="7">
        <f t="shared" ref="CI30:CJ30" si="285">IF(OR(CI29="",CI28=""),"",CI28+CI29)</f>
        <v>-267.54081404718636</v>
      </c>
      <c r="CJ30" s="7">
        <f t="shared" si="285"/>
        <v>2.3372916282128244</v>
      </c>
      <c r="CK30" s="7">
        <f t="shared" ref="CK30:CL30" si="286">IF(OR(CK29="",CK28=""),"",CK28+CK29)</f>
        <v>370.97217614654437</v>
      </c>
      <c r="CL30" s="7">
        <f t="shared" si="286"/>
        <v>339.14267391398243</v>
      </c>
      <c r="CM30" s="7">
        <f t="shared" ref="CM30:CN30" si="287">IF(OR(CM29="",CM28=""),"",CM28+CM29)</f>
        <v>282.45031902346454</v>
      </c>
      <c r="CN30" s="7">
        <f t="shared" si="287"/>
        <v>315.45230587298101</v>
      </c>
      <c r="CO30" s="7">
        <f t="shared" ref="CO30:CP30" si="288">IF(OR(CO29="",CO28=""),"",CO28+CO29)</f>
        <v>368.87679048586142</v>
      </c>
      <c r="CP30" s="7">
        <f t="shared" si="288"/>
        <v>394.49589580064639</v>
      </c>
      <c r="CQ30" s="7">
        <f t="shared" ref="CQ30:CR30" si="289">IF(OR(CQ29="",CQ28=""),"",CQ28+CQ29)</f>
        <v>382.37032976157934</v>
      </c>
      <c r="CR30" s="7">
        <f t="shared" si="289"/>
        <v>327.88412316195536</v>
      </c>
      <c r="CS30" s="7">
        <f t="shared" ref="CS30:CT30" si="290">IF(OR(CS29="",CS28=""),"",CS28+CS29)</f>
        <v>319.24836005922225</v>
      </c>
      <c r="CT30" s="7">
        <f t="shared" si="290"/>
        <v>416.00185070313455</v>
      </c>
      <c r="CU30" s="7">
        <f t="shared" ref="CU30" si="291">IF(OR(CU29="",CU28=""),"",CU28+CU29)</f>
        <v>494.98268907170495</v>
      </c>
    </row>
    <row r="31" spans="1:99" s="4" customFormat="1" hidden="1" outlineLevel="1" x14ac:dyDescent="0.25">
      <c r="A31" s="292"/>
      <c r="B31" s="16" t="s">
        <v>13</v>
      </c>
      <c r="C31" s="24"/>
      <c r="D31" s="24"/>
      <c r="E31" s="7">
        <f>IF(OR(E28="",E27=""),"",E27-E28)</f>
        <v>0</v>
      </c>
      <c r="F31" s="7">
        <f t="shared" ref="F31:N31" si="292">IF(OR(F28="",F27=""),"",F27-F28)</f>
        <v>1328.78</v>
      </c>
      <c r="G31" s="7">
        <f t="shared" si="292"/>
        <v>-2928.2300000000014</v>
      </c>
      <c r="H31" s="7">
        <f t="shared" si="292"/>
        <v>-71289.570000000007</v>
      </c>
      <c r="I31" s="7">
        <f t="shared" si="292"/>
        <v>-1844.4099999999744</v>
      </c>
      <c r="J31" s="7">
        <f t="shared" si="292"/>
        <v>114544.92435846673</v>
      </c>
      <c r="K31" s="7">
        <f t="shared" si="292"/>
        <v>437611.03363575385</v>
      </c>
      <c r="L31" s="7">
        <f t="shared" si="292"/>
        <v>-46108.640094585164</v>
      </c>
      <c r="M31" s="7">
        <f t="shared" si="292"/>
        <v>48251.358816492691</v>
      </c>
      <c r="N31" s="7">
        <f t="shared" si="292"/>
        <v>92791.644528529549</v>
      </c>
      <c r="O31" s="7">
        <f>IF(OR(O30="",O27=""),"",O27-O30)</f>
        <v>-76541.62899647688</v>
      </c>
      <c r="P31" s="7">
        <f>IF(OR(P30="",P27=""),"",P27-P30)</f>
        <v>-338389.43385265709</v>
      </c>
      <c r="Q31" s="7">
        <f t="shared" ref="Q31:AM31" si="293">IF(OR(Q30="",Q27=""),"",Q27-Q30)</f>
        <v>-222384.84377562633</v>
      </c>
      <c r="R31" s="7">
        <f t="shared" si="293"/>
        <v>-280870.51801192272</v>
      </c>
      <c r="S31" s="7">
        <f t="shared" si="293"/>
        <v>-257024.92210439607</v>
      </c>
      <c r="T31" s="7">
        <f t="shared" si="293"/>
        <v>271295.57222439582</v>
      </c>
      <c r="U31" s="7">
        <f t="shared" si="293"/>
        <v>470091.62866200437</v>
      </c>
      <c r="V31" s="7">
        <f t="shared" si="293"/>
        <v>589644.00641244452</v>
      </c>
      <c r="W31" s="7">
        <f t="shared" si="293"/>
        <v>258820.37147143483</v>
      </c>
      <c r="X31" s="7">
        <f t="shared" si="293"/>
        <v>-294698.47456685978</v>
      </c>
      <c r="Y31" s="7">
        <f t="shared" si="293"/>
        <v>-127914.03687273734</v>
      </c>
      <c r="Z31" s="7">
        <f t="shared" si="293"/>
        <v>-85221.629287551506</v>
      </c>
      <c r="AA31" s="7">
        <f>IF(OR(AA30="",AA27=""),"",AA27-AA30)</f>
        <v>-386569.85366342065</v>
      </c>
      <c r="AB31" s="7">
        <f t="shared" si="293"/>
        <v>-919635.13172390917</v>
      </c>
      <c r="AC31" s="7">
        <f t="shared" si="293"/>
        <v>-685146.30396264396</v>
      </c>
      <c r="AD31" s="7">
        <f t="shared" si="293"/>
        <v>-848062.04299649666</v>
      </c>
      <c r="AE31" s="7">
        <f t="shared" si="293"/>
        <v>-418254.81517212209</v>
      </c>
      <c r="AF31" s="7">
        <f t="shared" si="293"/>
        <v>679709.27680510981</v>
      </c>
      <c r="AG31" s="7">
        <f t="shared" si="293"/>
        <v>1177529.0987427053</v>
      </c>
      <c r="AH31" s="7">
        <f t="shared" si="293"/>
        <v>1242265.9957057198</v>
      </c>
      <c r="AI31" s="7">
        <f t="shared" si="293"/>
        <v>226632.29566829209</v>
      </c>
      <c r="AJ31" s="7">
        <f t="shared" si="293"/>
        <v>-498698.17299920809</v>
      </c>
      <c r="AK31" s="7">
        <f t="shared" si="293"/>
        <v>-468642.97684611689</v>
      </c>
      <c r="AL31" s="7">
        <f t="shared" si="293"/>
        <v>-661966.85405505204</v>
      </c>
      <c r="AM31" s="7">
        <f t="shared" si="293"/>
        <v>-806398.7552662557</v>
      </c>
      <c r="AN31" s="7">
        <f t="shared" ref="AN31:BJ31" si="294">IF(OR(AN30="",AN27=""),"",AN27-AN30)</f>
        <v>-1118395.6232045633</v>
      </c>
      <c r="AO31" s="7">
        <f t="shared" si="294"/>
        <v>-839575.8679167378</v>
      </c>
      <c r="AP31" s="7">
        <f>IF(OR(AP30="",AP27=""),"",AP27-AP30)</f>
        <v>-505280.31703957345</v>
      </c>
      <c r="AQ31" s="7">
        <f t="shared" si="294"/>
        <v>-550696.82604602491</v>
      </c>
      <c r="AR31" s="7">
        <f t="shared" si="294"/>
        <v>1499625.3698654766</v>
      </c>
      <c r="AS31" s="7">
        <f>IF(OR(AS30="",AS27=""),"",AS27-AS30)</f>
        <v>1536090.1436625165</v>
      </c>
      <c r="AT31" s="7">
        <f t="shared" si="294"/>
        <v>1683217.386576823</v>
      </c>
      <c r="AU31" s="7">
        <f t="shared" si="294"/>
        <v>362712.86205842951</v>
      </c>
      <c r="AV31" s="7">
        <f t="shared" si="294"/>
        <v>-773328.18641074549</v>
      </c>
      <c r="AW31" s="7">
        <f t="shared" si="294"/>
        <v>-544325.09594499937</v>
      </c>
      <c r="AX31" s="7">
        <f t="shared" si="294"/>
        <v>-772876.38091818138</v>
      </c>
      <c r="AY31" s="7">
        <f t="shared" si="294"/>
        <v>-926320.17375789559</v>
      </c>
      <c r="AZ31" s="7">
        <f t="shared" si="294"/>
        <v>-2548708.1358568668</v>
      </c>
      <c r="BA31" s="7">
        <f t="shared" si="294"/>
        <v>288698.38789936563</v>
      </c>
      <c r="BB31" s="7">
        <f t="shared" si="294"/>
        <v>-160232.05718831139</v>
      </c>
      <c r="BC31" s="7">
        <f t="shared" si="294"/>
        <v>-144134.97219762404</v>
      </c>
      <c r="BD31" s="7">
        <f t="shared" si="294"/>
        <v>-188880.06405709323</v>
      </c>
      <c r="BE31" s="7">
        <f t="shared" si="294"/>
        <v>-253360.29147732252</v>
      </c>
      <c r="BF31" s="7">
        <f t="shared" si="294"/>
        <v>-237518.32094102816</v>
      </c>
      <c r="BG31" s="7">
        <f t="shared" si="294"/>
        <v>-214283.39022904466</v>
      </c>
      <c r="BH31" s="7">
        <f t="shared" si="294"/>
        <v>-145106.64586191278</v>
      </c>
      <c r="BI31" s="7">
        <f t="shared" si="294"/>
        <v>-154927.00789025769</v>
      </c>
      <c r="BJ31" s="7">
        <f t="shared" si="294"/>
        <v>-205255.14275512146</v>
      </c>
      <c r="BK31" s="7">
        <f t="shared" ref="BK31:BL31" si="295">IF(OR(BK30="",BK27=""),"",BK27-BK30)</f>
        <v>-266992.49386056478</v>
      </c>
      <c r="BL31" s="7">
        <f t="shared" si="295"/>
        <v>1739.0221894302958</v>
      </c>
      <c r="BM31" s="7">
        <f t="shared" ref="BM31:BN31" si="296">IF(OR(BM30="",BM27=""),"",BM27-BM30)</f>
        <v>5670.5578559878049</v>
      </c>
      <c r="BN31" s="7">
        <f t="shared" si="296"/>
        <v>4312.4736299568613</v>
      </c>
      <c r="BO31" s="7">
        <f t="shared" ref="BO31:BP31" si="297">IF(OR(BO30="",BO27=""),"",BO27-BO30)</f>
        <v>3909.5605707871728</v>
      </c>
      <c r="BP31" s="7">
        <f t="shared" si="297"/>
        <v>4068.9963131062686</v>
      </c>
      <c r="BQ31" s="7">
        <f t="shared" ref="BQ31:BR31" si="298">IF(OR(BQ30="",BQ27=""),"",BQ27-BQ30)</f>
        <v>5142.4955444009393</v>
      </c>
      <c r="BR31" s="7">
        <f t="shared" si="298"/>
        <v>5117.5031060017645</v>
      </c>
      <c r="BS31" s="7">
        <f t="shared" ref="BS31:BT31" si="299">IF(OR(BS30="",BS27=""),"",BS27-BS30)</f>
        <v>5177.0829845638364</v>
      </c>
      <c r="BT31" s="7">
        <f t="shared" si="299"/>
        <v>4068.2264792598144</v>
      </c>
      <c r="BU31" s="7">
        <f t="shared" ref="BU31:BV31" si="300">IF(OR(BU30="",BU27=""),"",BU27-BU30)</f>
        <v>4232.8072324906243</v>
      </c>
      <c r="BV31" s="7">
        <f t="shared" si="300"/>
        <v>5340.69566513272</v>
      </c>
      <c r="BW31" s="7">
        <f t="shared" ref="BW31:BX31" si="301">IF(OR(BW30="",BW27=""),"",BW27-BW30)</f>
        <v>5868.7789868843975</v>
      </c>
      <c r="BX31" s="7">
        <f t="shared" si="301"/>
        <v>4028.346306019288</v>
      </c>
      <c r="BY31" s="7">
        <f t="shared" ref="BY31:BZ31" si="302">IF(OR(BY30="",BY27=""),"",BY27-BY30)</f>
        <v>237.25413190646759</v>
      </c>
      <c r="BZ31" s="7">
        <f t="shared" si="302"/>
        <v>166.23010078508014</v>
      </c>
      <c r="CA31" s="7">
        <f t="shared" ref="CA31:CB31" si="303">IF(OR(CA30="",CA27=""),"",CA27-CA30)</f>
        <v>142.25106851507007</v>
      </c>
      <c r="CB31" s="7">
        <f t="shared" si="303"/>
        <v>159.26009272011834</v>
      </c>
      <c r="CC31" s="7">
        <f t="shared" ref="CC31:CD31" si="304">IF(OR(CC30="",CC27=""),"",CC27-CC30)</f>
        <v>197.07120480569756</v>
      </c>
      <c r="CD31" s="7">
        <f t="shared" si="304"/>
        <v>201.35010807091749</v>
      </c>
      <c r="CE31" s="7">
        <f t="shared" ref="CE31" si="305">IF(OR(CE30="",CE27=""),"",CE27-CE30)</f>
        <v>185.47873550330223</v>
      </c>
      <c r="CF31" s="126">
        <f>IF(OR(CF30="",CF27=""),"",CF27-CF30)+CF26</f>
        <v>6106.3262235278762</v>
      </c>
      <c r="CG31" s="7">
        <f t="shared" ref="CG31:CL31" si="306">IF(OR(CG30="",CG27=""),"",CG27-CG30)</f>
        <v>168.49405363770165</v>
      </c>
      <c r="CH31" s="7">
        <f t="shared" si="306"/>
        <v>253.16123590957977</v>
      </c>
      <c r="CI31" s="7">
        <f t="shared" si="306"/>
        <v>267.54081404718636</v>
      </c>
      <c r="CJ31" s="7">
        <f t="shared" si="306"/>
        <v>-2.3372916282128244</v>
      </c>
      <c r="CK31" s="7">
        <f t="shared" si="306"/>
        <v>-370.97217614654437</v>
      </c>
      <c r="CL31" s="7">
        <f t="shared" si="306"/>
        <v>-339.14267391398243</v>
      </c>
      <c r="CM31" s="7">
        <f t="shared" ref="CM31:CN31" si="307">IF(OR(CM30="",CM27=""),"",CM27-CM30)</f>
        <v>-282.45031902346454</v>
      </c>
      <c r="CN31" s="7">
        <f t="shared" si="307"/>
        <v>-315.45230587298101</v>
      </c>
      <c r="CO31" s="7">
        <f t="shared" ref="CO31:CP31" si="308">IF(OR(CO30="",CO27=""),"",CO27-CO30)</f>
        <v>-368.87679048586142</v>
      </c>
      <c r="CP31" s="7">
        <f t="shared" si="308"/>
        <v>-394.49589580064639</v>
      </c>
      <c r="CQ31" s="7">
        <f t="shared" ref="CQ31:CR31" si="309">IF(OR(CQ30="",CQ27=""),"",CQ27-CQ30)</f>
        <v>-382.37032976157934</v>
      </c>
      <c r="CR31" s="7">
        <f t="shared" si="309"/>
        <v>-327.88412316195536</v>
      </c>
      <c r="CS31" s="7">
        <f t="shared" ref="CS31:CT31" si="310">IF(OR(CS30="",CS27=""),"",CS27-CS30)</f>
        <v>-319.24836005922225</v>
      </c>
      <c r="CT31" s="7">
        <f t="shared" si="310"/>
        <v>-416.00185070313455</v>
      </c>
      <c r="CU31" s="7">
        <f t="shared" ref="CU31" si="311">IF(OR(CU30="",CU27=""),"",CU27-CU30)</f>
        <v>-494.98268907170495</v>
      </c>
    </row>
    <row r="32" spans="1:99" s="4" customFormat="1" hidden="1" outlineLevel="1" x14ac:dyDescent="0.25">
      <c r="A32" s="292"/>
      <c r="B32" s="17" t="s">
        <v>8</v>
      </c>
      <c r="C32" s="28"/>
      <c r="D32" s="28"/>
      <c r="E32" s="7">
        <f>IF(OR(E9="",E31=""),"",(E31+D34)*E9/12)</f>
        <v>0</v>
      </c>
      <c r="F32" s="7">
        <f t="shared" ref="F32:N32" si="312">IF(OR(F9="",F31=""),"",(F31+E34)*F9/12)</f>
        <v>0.8255809798499999</v>
      </c>
      <c r="G32" s="7">
        <f t="shared" si="312"/>
        <v>-1.0068589534574304</v>
      </c>
      <c r="H32" s="7">
        <f t="shared" si="312"/>
        <v>-38.04342526901916</v>
      </c>
      <c r="I32" s="7">
        <f t="shared" si="312"/>
        <v>-39.19548832457653</v>
      </c>
      <c r="J32" s="7">
        <f t="shared" si="312"/>
        <v>25.316101791241433</v>
      </c>
      <c r="K32" s="7">
        <f t="shared" si="312"/>
        <v>300.52843321651994</v>
      </c>
      <c r="L32" s="7">
        <f t="shared" si="312"/>
        <v>273.38393574818252</v>
      </c>
      <c r="M32" s="7">
        <f t="shared" si="312"/>
        <v>305.71343553283026</v>
      </c>
      <c r="N32" s="7">
        <f t="shared" si="312"/>
        <v>459.60027907263867</v>
      </c>
      <c r="O32" s="8">
        <f>IF(OR(O9="",O31=""),"",(O29+O31+N34)*O9/12)</f>
        <v>372.82678818148116</v>
      </c>
      <c r="P32" s="8">
        <f>IF(OR(P9="",P31=""),"",(P29+P31+O34+P26)*P9/12)</f>
        <v>5294.3093104737645</v>
      </c>
      <c r="Q32" s="8">
        <f t="shared" ref="Q32:AM32" si="313">IF(OR(Q9="",Q31=""),"",(Q29+Q31+P34)*Q9/12)</f>
        <v>6007.5624775762617</v>
      </c>
      <c r="R32" s="8">
        <f t="shared" si="313"/>
        <v>5263.9348672725127</v>
      </c>
      <c r="S32" s="8">
        <f t="shared" si="313"/>
        <v>4564.9795036702699</v>
      </c>
      <c r="T32" s="8">
        <f t="shared" si="313"/>
        <v>5166.8652470196785</v>
      </c>
      <c r="U32" s="8">
        <f t="shared" si="313"/>
        <v>4660.8174690886708</v>
      </c>
      <c r="V32" s="8">
        <f t="shared" si="313"/>
        <v>4581.7725750611253</v>
      </c>
      <c r="W32" s="8">
        <f t="shared" si="313"/>
        <v>4016.0372167419896</v>
      </c>
      <c r="X32" s="8">
        <f t="shared" si="313"/>
        <v>2945.88677481181</v>
      </c>
      <c r="Y32" s="8">
        <f t="shared" si="313"/>
        <v>2149.1932054558397</v>
      </c>
      <c r="Z32" s="8">
        <f t="shared" si="313"/>
        <v>1519.9204299095629</v>
      </c>
      <c r="AA32" s="8">
        <f t="shared" si="313"/>
        <v>-562.54602891992351</v>
      </c>
      <c r="AB32" s="8">
        <f t="shared" si="313"/>
        <v>-1929.6446952083068</v>
      </c>
      <c r="AC32" s="8">
        <f t="shared" si="313"/>
        <v>-3280.2540933795021</v>
      </c>
      <c r="AD32" s="8">
        <f t="shared" si="313"/>
        <v>-5260.7827266771046</v>
      </c>
      <c r="AE32" s="8">
        <f t="shared" si="313"/>
        <v>-5726.7183733822167</v>
      </c>
      <c r="AF32" s="8">
        <f t="shared" si="313"/>
        <v>-4573.2375408809512</v>
      </c>
      <c r="AG32" s="8">
        <f t="shared" si="313"/>
        <v>-2313.7713700853533</v>
      </c>
      <c r="AH32" s="8">
        <f t="shared" si="313"/>
        <v>200.03580045925753</v>
      </c>
      <c r="AI32" s="8">
        <f t="shared" si="313"/>
        <v>726.81119312183489</v>
      </c>
      <c r="AJ32" s="8">
        <f t="shared" si="313"/>
        <v>-182.45721726894439</v>
      </c>
      <c r="AK32" s="8">
        <f t="shared" si="313"/>
        <v>-1107.7550263704416</v>
      </c>
      <c r="AL32" s="8">
        <f t="shared" si="313"/>
        <v>-2627.6316115780096</v>
      </c>
      <c r="AM32" s="8">
        <f t="shared" si="313"/>
        <v>-4554.4236734393371</v>
      </c>
      <c r="AN32" s="8">
        <f t="shared" ref="AN32" si="314">IF(OR(AN9="",AN31=""),"",(AN29+AN31+AM34)*AN9/12)</f>
        <v>-6654.4899163949822</v>
      </c>
      <c r="AO32" s="8">
        <f t="shared" ref="AO32" si="315">IF(OR(AO9="",AO31=""),"",(AO29+AO31+AN34)*AO9/12)</f>
        <v>-8045.1880681861367</v>
      </c>
      <c r="AP32" s="8">
        <f t="shared" ref="AP32" si="316">IF(OR(AP9="",AP31=""),"",(AP29+AP31+AO34)*AP9/12)</f>
        <v>-8524.2955357193568</v>
      </c>
      <c r="AQ32" s="8">
        <f t="shared" ref="AQ32" si="317">IF(OR(AQ9="",AQ31=""),"",(AQ29+AQ31+AP34)*AQ9/12)</f>
        <v>-9565.9847029969114</v>
      </c>
      <c r="AR32" s="8">
        <f t="shared" ref="AR32" si="318">IF(OR(AR9="",AR31=""),"",(AR29+AR31+AQ34)*AR9/12)</f>
        <v>-5842.5770767012573</v>
      </c>
      <c r="AS32" s="8">
        <f>IF(OR(AS9="",AS31=""),"",(AS29+AS31+AR34)*AS9/12)+AS26</f>
        <v>-11646.625789448468</v>
      </c>
      <c r="AT32" s="8">
        <f t="shared" ref="AT32" si="319">IF(OR(AT9="",AT31=""),"",(AT29+AT31+AS34)*AT9/12)</f>
        <v>1866.4267273905355</v>
      </c>
      <c r="AU32" s="8">
        <f t="shared" ref="AU32" si="320">IF(OR(AU9="",AU31=""),"",(AU29+AU31+AT34)*AU9/12)</f>
        <v>2779.7659407100673</v>
      </c>
      <c r="AV32" s="8">
        <f t="shared" ref="AV32" si="321">IF(OR(AV9="",AV31=""),"",(AV29+AV31+AU34)*AV9/12)</f>
        <v>1564.7525696417642</v>
      </c>
      <c r="AW32" s="8">
        <f t="shared" ref="AW32" si="322">IF(OR(AW9="",AW31=""),"",(AW29+AW31+AV34)*AW9/12)</f>
        <v>732.06494889487897</v>
      </c>
      <c r="AX32" s="8">
        <f t="shared" ref="AX32" si="323">IF(OR(AX9="",AX31=""),"",(AX29+AX31+AW34)*AX9/12)</f>
        <v>-163.38977227779409</v>
      </c>
      <c r="AY32" s="8">
        <f t="shared" ref="AY32" si="324">IF(OR(AY9="",AY31=""),"",(AY29+AY31+AX34)*AY9/12)</f>
        <v>-1296.272463729247</v>
      </c>
      <c r="AZ32" s="8">
        <f t="shared" ref="AZ32" si="325">IF(OR(AZ9="",AZ31=""),"",(AZ29+AZ31+AY34)*AZ9/12)</f>
        <v>-4176.8372936348169</v>
      </c>
      <c r="BA32" s="8">
        <f t="shared" ref="BA32" si="326">IF(OR(BA9="",BA31=""),"",(BA29+BA31+AZ34)*BA9/12)</f>
        <v>-3787.8524653539448</v>
      </c>
      <c r="BB32" s="8">
        <f t="shared" ref="BB32" si="327">IF(OR(BB9="",BB31=""),"",(BB29+BB31+BA34)*BB9/12)</f>
        <v>-1959.0112554438863</v>
      </c>
      <c r="BC32" s="8">
        <f t="shared" ref="BC32" si="328">IF(OR(BC9="",BC31=""),"",(BC29+BC31+BB34)*BC9/12)</f>
        <v>-278.81760862053488</v>
      </c>
      <c r="BD32" s="8">
        <f t="shared" ref="BD32" si="329">IF(OR(BD9="",BD31=""),"",(BD29+BD31+BC34)*BD9/12)</f>
        <v>-283.05424927706468</v>
      </c>
      <c r="BE32" s="8">
        <f t="shared" ref="BE32" si="330">IF(OR(BE9="",BE31=""),"",(BE29+BE31+BD34)*BE9/12)</f>
        <v>-460.41251172314611</v>
      </c>
      <c r="BF32" s="8">
        <f t="shared" ref="BF32" si="331">IF(OR(BF9="",BF31=""),"",(BF29+BF31+BE34)*BF9/12)</f>
        <v>-340.65927237573527</v>
      </c>
      <c r="BG32" s="8">
        <f t="shared" ref="BG32" si="332">IF(OR(BG9="",BG31=""),"",(BG29+BG31+BF34)*BG9/12)</f>
        <v>-322.10522872963594</v>
      </c>
      <c r="BH32" s="8">
        <f t="shared" ref="BH32" si="333">IF(OR(BH9="",BH31=""),"",(BH29+BH31+BG34)*BH9/12)</f>
        <v>-534.16939554605699</v>
      </c>
      <c r="BI32" s="8">
        <f t="shared" ref="BI32" si="334">IF(OR(BI9="",BI31=""),"",(BI29+BI31+BH34)*BI9/12)</f>
        <v>-693.54980621845846</v>
      </c>
      <c r="BJ32" s="8">
        <f t="shared" ref="BJ32:CG32" si="335">IF(OR(BJ9="",BJ31=""),"",(BJ29+BJ31+BI34)*BJ9/12)</f>
        <v>-811.0030787151527</v>
      </c>
      <c r="BK32" s="8">
        <f t="shared" si="335"/>
        <v>-614.34624262308205</v>
      </c>
      <c r="BL32" s="8">
        <f t="shared" si="335"/>
        <v>-669.89189085695466</v>
      </c>
      <c r="BM32" s="8">
        <f t="shared" si="335"/>
        <v>-557.60787232606663</v>
      </c>
      <c r="BN32" s="8">
        <f t="shared" si="335"/>
        <v>-545.59231462256969</v>
      </c>
      <c r="BO32" s="8">
        <f t="shared" si="335"/>
        <v>-504.35121916051708</v>
      </c>
      <c r="BP32" s="8">
        <f t="shared" si="335"/>
        <v>-407.42581719607477</v>
      </c>
      <c r="BQ32" s="8">
        <f t="shared" si="335"/>
        <v>-239.82919158135164</v>
      </c>
      <c r="BR32" s="8">
        <f t="shared" si="335"/>
        <v>-289.32107476462022</v>
      </c>
      <c r="BS32" s="8">
        <f t="shared" si="335"/>
        <v>-214.11392923140355</v>
      </c>
      <c r="BT32" s="8">
        <f t="shared" si="335"/>
        <v>-134.72104636770419</v>
      </c>
      <c r="BU32" s="8">
        <f t="shared" si="335"/>
        <v>-107.40502640789749</v>
      </c>
      <c r="BV32" s="8">
        <f t="shared" si="335"/>
        <v>-118.33168507342872</v>
      </c>
      <c r="BW32" s="8">
        <f t="shared" si="335"/>
        <v>-31.941369690225681</v>
      </c>
      <c r="BX32" s="8">
        <f t="shared" si="335"/>
        <v>20.509519436720471</v>
      </c>
      <c r="BY32" s="8">
        <f t="shared" si="335"/>
        <v>55.79634342978386</v>
      </c>
      <c r="BZ32" s="8">
        <f t="shared" si="335"/>
        <v>52.740800728104723</v>
      </c>
      <c r="CA32" s="8">
        <f t="shared" si="335"/>
        <v>89.850608756352003</v>
      </c>
      <c r="CB32" s="8">
        <f t="shared" si="335"/>
        <v>153.71849734827973</v>
      </c>
      <c r="CC32" s="8">
        <f t="shared" si="335"/>
        <v>237.83431273003166</v>
      </c>
      <c r="CD32" s="8">
        <f t="shared" si="335"/>
        <v>326.18953747405857</v>
      </c>
      <c r="CE32" s="8">
        <f t="shared" si="335"/>
        <v>389.38650412373505</v>
      </c>
      <c r="CF32" s="8">
        <f t="shared" si="335"/>
        <v>517.42660285652403</v>
      </c>
      <c r="CG32" s="8">
        <f t="shared" si="335"/>
        <v>667.61179161394114</v>
      </c>
      <c r="CH32" s="8">
        <f>IF(OR(CH9="",CH31=""),"",(CH29+CH31+CG34)*CH9/12)</f>
        <v>767.22158633690833</v>
      </c>
      <c r="CI32" s="228">
        <f>IF(OR(CI9="",CI31=""),"",(CI29+CI31+CH34+CI26)*CI9/12)+CI26</f>
        <v>1102.2978751817759</v>
      </c>
      <c r="CJ32" s="227">
        <f t="shared" ref="CJ32:CU32" si="336">IF(OR(CJ9="",CJ31=""),"",(CJ29+CJ31+CI34)*CJ9/12)</f>
        <v>865.92924044119252</v>
      </c>
      <c r="CK32" s="227">
        <f t="shared" si="336"/>
        <v>823.8514976777368</v>
      </c>
      <c r="CL32" s="227">
        <f t="shared" si="336"/>
        <v>805.38863122117209</v>
      </c>
      <c r="CM32" s="227">
        <f t="shared" si="336"/>
        <v>764.92984577460868</v>
      </c>
      <c r="CN32" s="227">
        <f t="shared" si="336"/>
        <v>704.95696522844298</v>
      </c>
      <c r="CO32" s="227">
        <f t="shared" si="336"/>
        <v>617.93065520196819</v>
      </c>
      <c r="CP32" s="227">
        <f t="shared" si="336"/>
        <v>528.64451590505257</v>
      </c>
      <c r="CQ32" s="227">
        <f t="shared" si="336"/>
        <v>438.76358289406988</v>
      </c>
      <c r="CR32" s="227">
        <f t="shared" si="336"/>
        <v>371.41280555405666</v>
      </c>
      <c r="CS32" s="227">
        <f t="shared" si="336"/>
        <v>315.78600890712124</v>
      </c>
      <c r="CT32" s="227">
        <f t="shared" si="336"/>
        <v>233.19403257584835</v>
      </c>
      <c r="CU32" s="227">
        <f t="shared" si="336"/>
        <v>121.43161051119097</v>
      </c>
    </row>
    <row r="33" spans="1:99" s="4" customFormat="1" hidden="1" outlineLevel="1" x14ac:dyDescent="0.25">
      <c r="A33" s="292"/>
      <c r="B33" s="16" t="s">
        <v>14</v>
      </c>
      <c r="C33" s="24"/>
      <c r="D33" s="24"/>
      <c r="E33" s="7">
        <f>IF(OR(E31="",E32=""),"",E31+E32)</f>
        <v>0</v>
      </c>
      <c r="F33" s="7">
        <f>IF(OR(F31="",F32=""),"",F31+F32)</f>
        <v>1329.6055809798499</v>
      </c>
      <c r="G33" s="7">
        <f t="shared" ref="G33:N33" si="337">IF(OR(G31="",G32=""),"",G31+G32)</f>
        <v>-2929.236858953459</v>
      </c>
      <c r="H33" s="7">
        <f t="shared" si="337"/>
        <v>-71327.613425269024</v>
      </c>
      <c r="I33" s="7">
        <f t="shared" si="337"/>
        <v>-1883.6054883245508</v>
      </c>
      <c r="J33" s="7">
        <f t="shared" si="337"/>
        <v>114570.24046025796</v>
      </c>
      <c r="K33" s="7">
        <f t="shared" si="337"/>
        <v>437911.56206897035</v>
      </c>
      <c r="L33" s="7">
        <f t="shared" si="337"/>
        <v>-45835.256158836979</v>
      </c>
      <c r="M33" s="7">
        <f t="shared" si="337"/>
        <v>48557.072252025522</v>
      </c>
      <c r="N33" s="7">
        <f t="shared" si="337"/>
        <v>93251.244807602183</v>
      </c>
      <c r="O33" s="7">
        <f>IF(OR(O31="",O32=""),"",O31+O32)</f>
        <v>-76168.802208295398</v>
      </c>
      <c r="P33" s="7">
        <f>IF(OR(P31="",P32=""),"",P31+P32)</f>
        <v>-333095.1245421833</v>
      </c>
      <c r="Q33" s="7">
        <f t="shared" ref="Q33:AM33" si="338">IF(OR(Q31="",Q32=""),"",Q31+Q32)</f>
        <v>-216377.28129805007</v>
      </c>
      <c r="R33" s="7">
        <f>IF(OR(R31="",R32=""),"",R31+R32)</f>
        <v>-275606.58314465021</v>
      </c>
      <c r="S33" s="7">
        <f t="shared" si="338"/>
        <v>-252459.9426007258</v>
      </c>
      <c r="T33" s="7">
        <f t="shared" si="338"/>
        <v>276462.4374714155</v>
      </c>
      <c r="U33" s="7">
        <f t="shared" si="338"/>
        <v>474752.44613109302</v>
      </c>
      <c r="V33" s="7">
        <f t="shared" si="338"/>
        <v>594225.77898750559</v>
      </c>
      <c r="W33" s="7">
        <f t="shared" si="338"/>
        <v>262836.40868817683</v>
      </c>
      <c r="X33" s="7">
        <f t="shared" si="338"/>
        <v>-291752.58779204794</v>
      </c>
      <c r="Y33" s="7">
        <f t="shared" si="338"/>
        <v>-125764.8436672815</v>
      </c>
      <c r="Z33" s="7">
        <f t="shared" si="338"/>
        <v>-83701.708857641948</v>
      </c>
      <c r="AA33" s="7">
        <f t="shared" si="338"/>
        <v>-387132.39969234058</v>
      </c>
      <c r="AB33" s="7">
        <f t="shared" si="338"/>
        <v>-921564.77641911746</v>
      </c>
      <c r="AC33" s="7">
        <f t="shared" si="338"/>
        <v>-688426.55805602344</v>
      </c>
      <c r="AD33" s="7">
        <f t="shared" si="338"/>
        <v>-853322.8257231738</v>
      </c>
      <c r="AE33" s="7">
        <f t="shared" si="338"/>
        <v>-423981.53354550432</v>
      </c>
      <c r="AF33" s="7">
        <f t="shared" si="338"/>
        <v>675136.03926422889</v>
      </c>
      <c r="AG33" s="7">
        <f t="shared" si="338"/>
        <v>1175215.3273726199</v>
      </c>
      <c r="AH33" s="7">
        <f t="shared" si="338"/>
        <v>1242466.0315061791</v>
      </c>
      <c r="AI33" s="7">
        <f t="shared" si="338"/>
        <v>227359.10686141392</v>
      </c>
      <c r="AJ33" s="7">
        <f t="shared" si="338"/>
        <v>-498880.63021647703</v>
      </c>
      <c r="AK33" s="7">
        <f t="shared" si="338"/>
        <v>-469750.73187248735</v>
      </c>
      <c r="AL33" s="7">
        <f t="shared" si="338"/>
        <v>-664594.48566663009</v>
      </c>
      <c r="AM33" s="7">
        <f t="shared" si="338"/>
        <v>-810953.178939695</v>
      </c>
      <c r="AN33" s="7">
        <f t="shared" ref="AN33:BJ33" si="339">IF(OR(AN31="",AN32=""),"",AN31+AN32)</f>
        <v>-1125050.1131209582</v>
      </c>
      <c r="AO33" s="7">
        <f t="shared" si="339"/>
        <v>-847621.05598492397</v>
      </c>
      <c r="AP33" s="7">
        <f t="shared" si="339"/>
        <v>-513804.61257529282</v>
      </c>
      <c r="AQ33" s="7">
        <f t="shared" si="339"/>
        <v>-560262.81074902182</v>
      </c>
      <c r="AR33" s="7">
        <f t="shared" si="339"/>
        <v>1493782.7927887754</v>
      </c>
      <c r="AS33" s="7">
        <f>IF(OR(AS31="",AS32=""),"",AS31+AS32)</f>
        <v>1524443.5178730681</v>
      </c>
      <c r="AT33" s="7">
        <f t="shared" si="339"/>
        <v>1685083.8133042136</v>
      </c>
      <c r="AU33" s="7">
        <f t="shared" si="339"/>
        <v>365492.6279991396</v>
      </c>
      <c r="AV33" s="7">
        <f t="shared" si="339"/>
        <v>-771763.43384110369</v>
      </c>
      <c r="AW33" s="7">
        <f t="shared" si="339"/>
        <v>-543593.03099610447</v>
      </c>
      <c r="AX33" s="7">
        <f t="shared" si="339"/>
        <v>-773039.77069045918</v>
      </c>
      <c r="AY33" s="7">
        <f t="shared" si="339"/>
        <v>-927616.44622162485</v>
      </c>
      <c r="AZ33" s="7">
        <f t="shared" si="339"/>
        <v>-2552884.9731505015</v>
      </c>
      <c r="BA33" s="7">
        <f t="shared" si="339"/>
        <v>284910.53543401166</v>
      </c>
      <c r="BB33" s="7">
        <f t="shared" si="339"/>
        <v>-162191.06844375527</v>
      </c>
      <c r="BC33" s="7">
        <f t="shared" si="339"/>
        <v>-144413.78980624457</v>
      </c>
      <c r="BD33" s="7">
        <f t="shared" si="339"/>
        <v>-189163.11830637031</v>
      </c>
      <c r="BE33" s="7">
        <f t="shared" si="339"/>
        <v>-253820.70398904567</v>
      </c>
      <c r="BF33" s="7">
        <f t="shared" si="339"/>
        <v>-237858.98021340391</v>
      </c>
      <c r="BG33" s="7">
        <f t="shared" si="339"/>
        <v>-214605.49545777429</v>
      </c>
      <c r="BH33" s="7">
        <f t="shared" si="339"/>
        <v>-145640.81525745883</v>
      </c>
      <c r="BI33" s="7">
        <f t="shared" si="339"/>
        <v>-155620.55769647614</v>
      </c>
      <c r="BJ33" s="7">
        <f t="shared" si="339"/>
        <v>-206066.14583383661</v>
      </c>
      <c r="BK33" s="7">
        <f t="shared" ref="BK33:BL33" si="340">IF(OR(BK31="",BK32=""),"",BK31+BK32)</f>
        <v>-267606.84010318783</v>
      </c>
      <c r="BL33" s="7">
        <f t="shared" si="340"/>
        <v>1069.1302985733412</v>
      </c>
      <c r="BM33" s="7">
        <f t="shared" ref="BM33:BN33" si="341">IF(OR(BM31="",BM32=""),"",BM31+BM32)</f>
        <v>5112.9499836617379</v>
      </c>
      <c r="BN33" s="7">
        <f t="shared" si="341"/>
        <v>3766.8813153342917</v>
      </c>
      <c r="BO33" s="7">
        <f t="shared" ref="BO33:BP33" si="342">IF(OR(BO31="",BO32=""),"",BO31+BO32)</f>
        <v>3405.2093516266559</v>
      </c>
      <c r="BP33" s="7">
        <f t="shared" si="342"/>
        <v>3661.570495910194</v>
      </c>
      <c r="BQ33" s="7">
        <f t="shared" ref="BQ33:BR33" si="343">IF(OR(BQ31="",BQ32=""),"",BQ31+BQ32)</f>
        <v>4902.6663528195877</v>
      </c>
      <c r="BR33" s="7">
        <f t="shared" si="343"/>
        <v>4828.1820312371447</v>
      </c>
      <c r="BS33" s="7">
        <f t="shared" ref="BS33:BT33" si="344">IF(OR(BS31="",BS32=""),"",BS31+BS32)</f>
        <v>4962.9690553324326</v>
      </c>
      <c r="BT33" s="7">
        <f t="shared" si="344"/>
        <v>3933.5054328921101</v>
      </c>
      <c r="BU33" s="7">
        <f t="shared" ref="BU33:BV33" si="345">IF(OR(BU31="",BU32=""),"",BU31+BU32)</f>
        <v>4125.4022060827265</v>
      </c>
      <c r="BV33" s="7">
        <f t="shared" si="345"/>
        <v>5222.363980059291</v>
      </c>
      <c r="BW33" s="7">
        <f t="shared" ref="BW33:BX33" si="346">IF(OR(BW31="",BW32=""),"",BW31+BW32)</f>
        <v>5836.8376171941718</v>
      </c>
      <c r="BX33" s="7">
        <f t="shared" si="346"/>
        <v>4048.8558254560085</v>
      </c>
      <c r="BY33" s="7">
        <f t="shared" ref="BY33:BZ33" si="347">IF(OR(BY31="",BY32=""),"",BY31+BY32)</f>
        <v>293.05047533625145</v>
      </c>
      <c r="BZ33" s="7">
        <f t="shared" si="347"/>
        <v>218.97090151318486</v>
      </c>
      <c r="CA33" s="7">
        <f t="shared" ref="CA33:CB33" si="348">IF(OR(CA31="",CA32=""),"",CA31+CA32)</f>
        <v>232.10167727142209</v>
      </c>
      <c r="CB33" s="7">
        <f t="shared" si="348"/>
        <v>312.97859006839803</v>
      </c>
      <c r="CC33" s="7">
        <f t="shared" ref="CC33:CD33" si="349">IF(OR(CC31="",CC32=""),"",CC31+CC32)</f>
        <v>434.90551753572925</v>
      </c>
      <c r="CD33" s="7">
        <f t="shared" si="349"/>
        <v>527.53964554497611</v>
      </c>
      <c r="CE33" s="7">
        <f t="shared" ref="CE33:CF33" si="350">IF(OR(CE31="",CE32=""),"",CE31+CE32)</f>
        <v>574.86523962703723</v>
      </c>
      <c r="CF33" s="7">
        <f t="shared" si="350"/>
        <v>6623.7528263844006</v>
      </c>
      <c r="CG33" s="7">
        <f t="shared" ref="CG33:CH33" si="351">IF(OR(CG31="",CG32=""),"",CG31+CG32)</f>
        <v>836.10584525164279</v>
      </c>
      <c r="CH33" s="7">
        <f t="shared" si="351"/>
        <v>1020.3828222464881</v>
      </c>
      <c r="CI33" s="7">
        <f t="shared" ref="CI33:CJ33" si="352">IF(OR(CI31="",CI32=""),"",CI31+CI32)</f>
        <v>1369.8386892289623</v>
      </c>
      <c r="CJ33" s="7">
        <f t="shared" si="352"/>
        <v>863.59194881297969</v>
      </c>
      <c r="CK33" s="7">
        <f t="shared" ref="CK33:CL33" si="353">IF(OR(CK31="",CK32=""),"",CK31+CK32)</f>
        <v>452.87932153119243</v>
      </c>
      <c r="CL33" s="7">
        <f t="shared" si="353"/>
        <v>466.24595730718966</v>
      </c>
      <c r="CM33" s="7">
        <f t="shared" ref="CM33:CN33" si="354">IF(OR(CM31="",CM32=""),"",CM31+CM32)</f>
        <v>482.47952675114414</v>
      </c>
      <c r="CN33" s="7">
        <f t="shared" si="354"/>
        <v>389.50465935546197</v>
      </c>
      <c r="CO33" s="7">
        <f t="shared" ref="CO33:CP33" si="355">IF(OR(CO31="",CO32=""),"",CO31+CO32)</f>
        <v>249.05386471610677</v>
      </c>
      <c r="CP33" s="7">
        <f t="shared" si="355"/>
        <v>134.14862010440618</v>
      </c>
      <c r="CQ33" s="7">
        <f t="shared" ref="CQ33:CR33" si="356">IF(OR(CQ31="",CQ32=""),"",CQ31+CQ32)</f>
        <v>56.393253132490543</v>
      </c>
      <c r="CR33" s="7">
        <f t="shared" si="356"/>
        <v>43.528682392101302</v>
      </c>
      <c r="CS33" s="7">
        <f t="shared" ref="CS33:CT33" si="357">IF(OR(CS31="",CS32=""),"",CS31+CS32)</f>
        <v>-3.4623511521010073</v>
      </c>
      <c r="CT33" s="7">
        <f t="shared" si="357"/>
        <v>-182.8078181272862</v>
      </c>
      <c r="CU33" s="7">
        <f t="shared" ref="CU33" si="358">IF(OR(CU31="",CU32=""),"",CU31+CU32)</f>
        <v>-373.55107856051399</v>
      </c>
    </row>
    <row r="34" spans="1:99" s="4" customFormat="1" hidden="1" outlineLevel="1" x14ac:dyDescent="0.25">
      <c r="A34" s="292"/>
      <c r="B34" s="18" t="s">
        <v>15</v>
      </c>
      <c r="C34" s="26"/>
      <c r="D34" s="26"/>
      <c r="E34" s="7">
        <f>E33</f>
        <v>0</v>
      </c>
      <c r="F34" s="7">
        <f>IF(OR(F33="",E34=""),"",F33+E34)</f>
        <v>1329.6055809798499</v>
      </c>
      <c r="G34" s="7">
        <f t="shared" ref="G34:N34" si="359">IF(OR(G33="",F34=""),"",G33+F34)</f>
        <v>-1599.631277973609</v>
      </c>
      <c r="H34" s="7">
        <f t="shared" si="359"/>
        <v>-72927.244703242628</v>
      </c>
      <c r="I34" s="7">
        <f t="shared" si="359"/>
        <v>-74810.85019156718</v>
      </c>
      <c r="J34" s="7">
        <f t="shared" si="359"/>
        <v>39759.390268690782</v>
      </c>
      <c r="K34" s="7">
        <f t="shared" si="359"/>
        <v>477670.95233766112</v>
      </c>
      <c r="L34" s="7">
        <f t="shared" si="359"/>
        <v>431835.69617882412</v>
      </c>
      <c r="M34" s="7">
        <f t="shared" si="359"/>
        <v>480392.76843084965</v>
      </c>
      <c r="N34" s="7">
        <f t="shared" si="359"/>
        <v>573644.01323845179</v>
      </c>
      <c r="O34" s="7">
        <f>IF(OR(O33="",N34=""),"",O33+O29+N34)</f>
        <v>497475.21103015641</v>
      </c>
      <c r="P34" s="7">
        <f>IF(OR(P33="",O34=""),"",P33+P29+O34+P26)</f>
        <v>7064373.3899421608</v>
      </c>
      <c r="Q34" s="7">
        <f>IF(OR(Q33="",P34=""),"",Q33+Q29+P34)</f>
        <v>6274768.4086441109</v>
      </c>
      <c r="R34" s="7">
        <f>IF(OR(R33="",Q34=""),"",R33+R29+Q34)</f>
        <v>5498065.535499461</v>
      </c>
      <c r="S34" s="7">
        <f t="shared" ref="S34:AM34" si="360">IF(OR(S33="",R34=""),"",S33+S29+R34)</f>
        <v>4768021.8528987356</v>
      </c>
      <c r="T34" s="7">
        <f>IF(OR(T33="",S34=""),"",T33+T29+S34)</f>
        <v>4402498.9903701507</v>
      </c>
      <c r="U34" s="7">
        <f t="shared" si="360"/>
        <v>4023039.9265012438</v>
      </c>
      <c r="V34" s="7">
        <f t="shared" si="360"/>
        <v>3752514.3154887492</v>
      </c>
      <c r="W34" s="7">
        <f t="shared" si="360"/>
        <v>3331589.414176926</v>
      </c>
      <c r="X34" s="7">
        <f t="shared" si="360"/>
        <v>2439526.4163848781</v>
      </c>
      <c r="Y34" s="7">
        <f t="shared" si="360"/>
        <v>1789582.4427175967</v>
      </c>
      <c r="Z34" s="7">
        <f t="shared" si="360"/>
        <v>1029917.0738599547</v>
      </c>
      <c r="AA34" s="7">
        <f t="shared" si="360"/>
        <v>-394092.18583238591</v>
      </c>
      <c r="AB34" s="7">
        <f t="shared" si="360"/>
        <v>-1268955.6422515034</v>
      </c>
      <c r="AC34" s="7">
        <f t="shared" si="360"/>
        <v>-1919740.0403075269</v>
      </c>
      <c r="AD34" s="7">
        <f t="shared" si="360"/>
        <v>-2736720.7160307006</v>
      </c>
      <c r="AE34" s="7">
        <f t="shared" si="360"/>
        <v>-3131103.1395762051</v>
      </c>
      <c r="AF34" s="7">
        <f t="shared" si="360"/>
        <v>-2412003.9003119762</v>
      </c>
      <c r="AG34" s="7">
        <f t="shared" si="360"/>
        <v>-1185239.0929393563</v>
      </c>
      <c r="AH34" s="7">
        <f t="shared" si="360"/>
        <v>103424.51856682287</v>
      </c>
      <c r="AI34" s="7">
        <f t="shared" si="360"/>
        <v>375217.00542823679</v>
      </c>
      <c r="AJ34" s="7">
        <f t="shared" si="360"/>
        <v>-89279.674788240227</v>
      </c>
      <c r="AK34" s="7">
        <f t="shared" si="360"/>
        <v>-527124.77666072757</v>
      </c>
      <c r="AL34" s="7">
        <f t="shared" si="360"/>
        <v>-1147324.4923273576</v>
      </c>
      <c r="AM34" s="7">
        <f t="shared" si="360"/>
        <v>-1909045.4612670527</v>
      </c>
      <c r="AN34" s="7">
        <f t="shared" ref="AN34" si="361">IF(OR(AN33="",AM34=""),"",AN33+AN29+AM34)</f>
        <v>-2818023.734388011</v>
      </c>
      <c r="AO34" s="7">
        <f t="shared" ref="AO34" si="362">IF(OR(AO33="",AN34=""),"",AO33+AO29+AN34)</f>
        <v>-3471053.2003729353</v>
      </c>
      <c r="AP34" s="7">
        <f t="shared" ref="AP34" si="363">IF(OR(AP33="",AO34=""),"",AP33+AP29+AO34)</f>
        <v>-3850786.452948228</v>
      </c>
      <c r="AQ34" s="7">
        <f t="shared" ref="AQ34" si="364">IF(OR(AQ33="",AP34=""),"",AQ33+AQ29+AP34)</f>
        <v>-4297064.6236972502</v>
      </c>
      <c r="AR34" s="7">
        <f t="shared" ref="AR34" si="365">IF(OR(AR33="",AQ34=""),"",AR33+AR29+AQ34)</f>
        <v>-2651480.9509084746</v>
      </c>
      <c r="AS34" s="7">
        <f>IF(OR(AS33="",AR34=""),"",AS33+AS29+AR34)</f>
        <v>-933915.25303540658</v>
      </c>
      <c r="AT34" s="7">
        <f t="shared" ref="AT34" si="366">IF(OR(AT33="",AS34=""),"",AT33+AT29+AS34)</f>
        <v>954453.02026880695</v>
      </c>
      <c r="AU34" s="7">
        <f t="shared" ref="AU34" si="367">IF(OR(AU33="",AT34=""),"",AU33+AU29+AT34)</f>
        <v>1507477.4382679467</v>
      </c>
      <c r="AV34" s="7">
        <f t="shared" ref="AV34" si="368">IF(OR(AV33="",AU34=""),"",AV33+AV29+AU34)</f>
        <v>889816.16442684305</v>
      </c>
      <c r="AW34" s="7">
        <f t="shared" ref="AW34" si="369">IF(OR(AW33="",AV34=""),"",AW33+AW29+AV34)</f>
        <v>484478.35343073856</v>
      </c>
      <c r="AX34" s="7">
        <f t="shared" ref="AX34" si="370">IF(OR(AX33="",AW34=""),"",AX33+AX29+AW34)</f>
        <v>-102537.98725972057</v>
      </c>
      <c r="AY34" s="7">
        <f t="shared" ref="AY34" si="371">IF(OR(AY33="",AX34=""),"",AY33+AY29+AX34)</f>
        <v>-824728.10348134546</v>
      </c>
      <c r="AZ34" s="7">
        <f t="shared" ref="AZ34" si="372">IF(OR(AZ33="",AY34=""),"",AZ33+AZ29+AY34)</f>
        <v>-2783203.2266318467</v>
      </c>
      <c r="BA34" s="7">
        <f t="shared" ref="BA34" si="373">IF(OR(BA33="",AZ34=""),"",BA33+BA29+AZ34)</f>
        <v>-2410566.5311978352</v>
      </c>
      <c r="BB34" s="7">
        <f t="shared" ref="BB34" si="374">IF(OR(BB33="",BA34=""),"",BB33+BB29+BA34)</f>
        <v>-2506928.3296415904</v>
      </c>
      <c r="BC34" s="7">
        <f t="shared" ref="BC34" si="375">IF(OR(BC33="",BB34=""),"",BC33+BC29+BB34)</f>
        <v>-2592584.5994478348</v>
      </c>
      <c r="BD34" s="7">
        <f t="shared" ref="BD34" si="376">IF(OR(BD33="",BC34=""),"",BD33+BD29+BC34)</f>
        <v>-2703955.707754205</v>
      </c>
      <c r="BE34" s="7">
        <f t="shared" ref="BE34" si="377">IF(OR(BE33="",BD34=""),"",BE33+BE29+BD34)</f>
        <v>-2853328.6117432509</v>
      </c>
      <c r="BF34" s="7">
        <f t="shared" ref="BF34" si="378">IF(OR(BF33="",BE34=""),"",BF33+BF29+BE34)</f>
        <v>-2993283.7119566547</v>
      </c>
      <c r="BG34" s="7">
        <f t="shared" ref="BG34" si="379">IF(OR(BG33="",BF34=""),"",BG33+BG29+BF34)</f>
        <v>-3119582.527414429</v>
      </c>
      <c r="BH34" s="7">
        <f t="shared" ref="BH34" si="380">IF(OR(BH33="",BG34=""),"",BH33+BH29+BG34)</f>
        <v>-3205550.5426718877</v>
      </c>
      <c r="BI34" s="7">
        <f t="shared" ref="BI34" si="381">IF(OR(BI33="",BH34=""),"",BI33+BI29+BH34)</f>
        <v>-3297503.0103683639</v>
      </c>
      <c r="BJ34" s="7">
        <f t="shared" ref="BJ34:CB34" si="382">IF(OR(BJ33="",BI34=""),"",BJ33+BJ29+BI34)</f>
        <v>-3419171.0762022007</v>
      </c>
      <c r="BK34" s="7">
        <f t="shared" si="382"/>
        <v>-3576917.1863053888</v>
      </c>
      <c r="BL34" s="7">
        <f t="shared" si="382"/>
        <v>-3462390.0460068155</v>
      </c>
      <c r="BM34" s="7">
        <f t="shared" si="382"/>
        <v>-3132101.2060231538</v>
      </c>
      <c r="BN34" s="7">
        <f t="shared" si="382"/>
        <v>-2908781.4347078195</v>
      </c>
      <c r="BO34" s="7">
        <f t="shared" si="382"/>
        <v>-2699109.0053561926</v>
      </c>
      <c r="BP34" s="7">
        <f t="shared" si="382"/>
        <v>-2424851.5648602825</v>
      </c>
      <c r="BQ34" s="7">
        <f t="shared" si="382"/>
        <v>-2062562.2385074629</v>
      </c>
      <c r="BR34" s="7">
        <f t="shared" si="382"/>
        <v>-1693058.6164762257</v>
      </c>
      <c r="BS34" s="7">
        <f t="shared" si="382"/>
        <v>-1329887.1774208932</v>
      </c>
      <c r="BT34" s="7">
        <f t="shared" si="382"/>
        <v>-1077903.091988001</v>
      </c>
      <c r="BU34" s="7">
        <f t="shared" si="382"/>
        <v>-841350.61978191836</v>
      </c>
      <c r="BV34" s="7">
        <f t="shared" si="382"/>
        <v>-545291.64580185909</v>
      </c>
      <c r="BW34" s="7">
        <f t="shared" si="382"/>
        <v>-163519.43818466493</v>
      </c>
      <c r="BX34" s="7">
        <f t="shared" si="382"/>
        <v>83209.647640791081</v>
      </c>
      <c r="BY34" s="7">
        <f t="shared" si="382"/>
        <v>97333.148116127326</v>
      </c>
      <c r="BZ34" s="7">
        <f t="shared" si="382"/>
        <v>105461.25901764051</v>
      </c>
      <c r="CA34" s="7">
        <f t="shared" si="382"/>
        <v>113620.61069491193</v>
      </c>
      <c r="CB34" s="7">
        <f t="shared" si="382"/>
        <v>124298.28928498033</v>
      </c>
      <c r="CC34" s="7">
        <f t="shared" ref="CC34:CU34" si="383">IF(OR(CC33="",CB34=""),"",CC33+CC29+CB34)</f>
        <v>139005.06480251608</v>
      </c>
      <c r="CD34" s="7">
        <f t="shared" si="383"/>
        <v>152985.78444806105</v>
      </c>
      <c r="CE34" s="7">
        <f t="shared" si="383"/>
        <v>164820.69968768809</v>
      </c>
      <c r="CF34" s="7">
        <f t="shared" si="383"/>
        <v>179448.39251407248</v>
      </c>
      <c r="CG34" s="7">
        <f t="shared" si="383"/>
        <v>187582.17835932411</v>
      </c>
      <c r="CH34" s="7">
        <f t="shared" si="383"/>
        <v>200149.00118157061</v>
      </c>
      <c r="CI34" s="7">
        <f t="shared" si="383"/>
        <v>215470.09987079958</v>
      </c>
      <c r="CJ34" s="7">
        <f t="shared" si="383"/>
        <v>215207.28181961254</v>
      </c>
      <c r="CK34" s="7">
        <f t="shared" si="383"/>
        <v>198967.72114114373</v>
      </c>
      <c r="CL34" s="7">
        <f t="shared" si="383"/>
        <v>184939.07709845091</v>
      </c>
      <c r="CM34" s="7">
        <f t="shared" si="383"/>
        <v>173085.75662520205</v>
      </c>
      <c r="CN34" s="7">
        <f t="shared" si="383"/>
        <v>157512.42128455749</v>
      </c>
      <c r="CO34" s="7">
        <f t="shared" si="383"/>
        <v>136859.44514927361</v>
      </c>
      <c r="CP34" s="7">
        <f t="shared" si="383"/>
        <v>115441.39376937802</v>
      </c>
      <c r="CQ34" s="7">
        <f t="shared" si="383"/>
        <v>95561.477022510502</v>
      </c>
      <c r="CR34" s="7">
        <f t="shared" si="383"/>
        <v>81150.555704902596</v>
      </c>
      <c r="CS34" s="7">
        <f t="shared" si="383"/>
        <v>68494.853353750499</v>
      </c>
      <c r="CT34" s="7">
        <f t="shared" si="383"/>
        <v>50675.565535623216</v>
      </c>
      <c r="CU34" s="7">
        <f t="shared" si="383"/>
        <v>27214.984457062703</v>
      </c>
    </row>
    <row r="35" spans="1:99" s="4" customFormat="1" ht="8.25" hidden="1" customHeight="1" outlineLevel="1" x14ac:dyDescent="0.25">
      <c r="A35" s="40"/>
      <c r="B35" s="11"/>
      <c r="C35" s="11"/>
      <c r="D35" s="11"/>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row>
    <row r="36" spans="1:99" s="4" customFormat="1" ht="15" hidden="1" customHeight="1" outlineLevel="1" x14ac:dyDescent="0.25">
      <c r="A36" s="292" t="s">
        <v>21</v>
      </c>
      <c r="B36" s="15"/>
      <c r="C36" s="30"/>
      <c r="D36" s="30"/>
      <c r="E36" s="7"/>
      <c r="F36" s="7"/>
      <c r="G36" s="7"/>
      <c r="H36" s="7"/>
      <c r="I36" s="7"/>
      <c r="J36" s="7"/>
      <c r="K36" s="7"/>
      <c r="L36" s="7"/>
      <c r="M36" s="7"/>
      <c r="N36" s="7"/>
      <c r="O36" s="7"/>
      <c r="P36" s="68">
        <v>668388.03466751985</v>
      </c>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126">
        <v>-1416.2097759493299</v>
      </c>
      <c r="CG36" s="7"/>
      <c r="CH36" s="7"/>
      <c r="CI36" s="113">
        <f>'MEEIA 2 adjs'!EC43</f>
        <v>76.803899278672134</v>
      </c>
      <c r="CJ36" s="7"/>
      <c r="CK36" s="7"/>
      <c r="CL36" s="7"/>
      <c r="CM36" s="7"/>
      <c r="CN36" s="7"/>
      <c r="CO36" s="7"/>
      <c r="CP36" s="7"/>
      <c r="CQ36" s="7"/>
      <c r="CR36" s="7"/>
      <c r="CS36" s="7"/>
      <c r="CT36" s="7"/>
      <c r="CU36" s="7"/>
    </row>
    <row r="37" spans="1:99" s="2" customFormat="1" ht="15" hidden="1" customHeight="1" outlineLevel="1" x14ac:dyDescent="0.25">
      <c r="A37" s="292"/>
      <c r="B37" s="15" t="s">
        <v>28</v>
      </c>
      <c r="C37" s="30"/>
      <c r="D37" s="30"/>
      <c r="E37" s="20">
        <f>IF('M2 Allocations - TD'!D6="","",'M2 Allocations - TD'!D32)</f>
        <v>0</v>
      </c>
      <c r="F37" s="20">
        <f>IF('M2 Allocations - TD'!E6="","",'M2 Allocations - TD'!E32)</f>
        <v>0</v>
      </c>
      <c r="G37" s="20">
        <f>IF('M2 Allocations - TD'!F6="","",'M2 Allocations - TD'!F32)</f>
        <v>0</v>
      </c>
      <c r="H37" s="20">
        <f>IF('M2 Allocations - TD'!G6="","",'M2 Allocations - TD'!G32)</f>
        <v>4167.9399999999996</v>
      </c>
      <c r="I37" s="20">
        <f>IF('M2 Allocations - TD'!H6="","",'M2 Allocations - TD'!H32)</f>
        <v>13357.940000000002</v>
      </c>
      <c r="J37" s="20">
        <f>IF('M2 Allocations - TD'!I6="","",'M2 Allocations - TD'!I32)</f>
        <v>14670.985238775314</v>
      </c>
      <c r="K37" s="20">
        <f>IF('M2 Allocations - TD'!J6="","",'M2 Allocations - TD'!J32)</f>
        <v>22602.465674921033</v>
      </c>
      <c r="L37" s="20">
        <f>IF('M2 Allocations - TD'!K6="","",'M2 Allocations - TD'!K32)</f>
        <v>23670.862866768453</v>
      </c>
      <c r="M37" s="20">
        <f>IF('M2 Allocations - TD'!L6="","",'M2 Allocations - TD'!L32)</f>
        <v>27753.308601536653</v>
      </c>
      <c r="N37" s="20">
        <f>IF('M2 Allocations - TD'!M6="","",'M2 Allocations - TD'!M32)</f>
        <v>37258.575758638253</v>
      </c>
      <c r="O37" s="20">
        <f>IF('M2 Allocations - TD'!N6="","",'M2 Allocations - TD'!N32)</f>
        <v>47579.322188278435</v>
      </c>
      <c r="P37" s="20">
        <f>IF('M2 Allocations - TD'!O6="","",'M2 Allocations - TD'!O32)</f>
        <v>42911.041729266297</v>
      </c>
      <c r="Q37" s="20">
        <f>IF('M2 Allocations - TD'!P6="","",'M2 Allocations - TD'!P32)</f>
        <v>52823.001162257649</v>
      </c>
      <c r="R37" s="20">
        <f>IF('M2 Allocations - TD'!Q6="","",'M2 Allocations - TD'!Q32)</f>
        <v>25950.307634173645</v>
      </c>
      <c r="S37" s="20">
        <f>IF('M2 Allocations - TD'!R6="","",'M2 Allocations - TD'!R32)</f>
        <v>48983.559131334005</v>
      </c>
      <c r="T37" s="20">
        <f>IF('M2 Allocations - TD'!S6="","",'M2 Allocations - TD'!S32)</f>
        <v>90621.489340586311</v>
      </c>
      <c r="U37" s="20">
        <f>IF('M2 Allocations - TD'!T6="","",'M2 Allocations - TD'!T32)</f>
        <v>138931.90000000002</v>
      </c>
      <c r="V37" s="20">
        <f>IF('M2 Allocations - TD'!U6="","",'M2 Allocations - TD'!U32)</f>
        <v>133700.2685394297</v>
      </c>
      <c r="W37" s="20">
        <f>IF('M2 Allocations - TD'!V6="","",'M2 Allocations - TD'!V32)</f>
        <v>151757.81340251025</v>
      </c>
      <c r="X37" s="20">
        <f>IF('M2 Allocations - TD'!W6="","",'M2 Allocations - TD'!W32)</f>
        <v>116837.79257470783</v>
      </c>
      <c r="Y37" s="20">
        <f>IF('M2 Allocations - TD'!X6="","",'M2 Allocations - TD'!X32)</f>
        <v>88133.517269885691</v>
      </c>
      <c r="Z37" s="20">
        <f>IF('M2 Allocations - TD'!Y6="","",'M2 Allocations - TD'!Y32)</f>
        <v>126989.00719390194</v>
      </c>
      <c r="AA37" s="20">
        <f>IF('M2 Allocations - TD'!Z6="","",'M2 Allocations - TD'!Z32)</f>
        <v>151376.91870679389</v>
      </c>
      <c r="AB37" s="20">
        <f>IF('M2 Allocations - TD'!AA6="","",'M2 Allocations - TD'!AA32)</f>
        <v>131012.65264951537</v>
      </c>
      <c r="AC37" s="20">
        <f>IF('M2 Allocations - TD'!AB6="","",'M2 Allocations - TD'!AB32)</f>
        <v>161984.73662810036</v>
      </c>
      <c r="AD37" s="20">
        <f>IF('M2 Allocations - TD'!AC6="","",'M2 Allocations - TD'!AC32)</f>
        <v>186884.98622710272</v>
      </c>
      <c r="AE37" s="20">
        <f>IF('M2 Allocations - TD'!AD6="","",'M2 Allocations - TD'!AD32)</f>
        <v>260709.07600105793</v>
      </c>
      <c r="AF37" s="20">
        <f>IF('M2 Allocations - TD'!AE6="","",'M2 Allocations - TD'!AE32)</f>
        <v>394275.90039880731</v>
      </c>
      <c r="AG37" s="20">
        <f>IF('M2 Allocations - TD'!AF6="","",'M2 Allocations - TD'!AF32)</f>
        <v>517564.58433629415</v>
      </c>
      <c r="AH37" s="20">
        <f>IF('M2 Allocations - TD'!AG6="","",'M2 Allocations - TD'!AG32)</f>
        <v>456642.37398614379</v>
      </c>
      <c r="AI37" s="20">
        <f>IF('M2 Allocations - TD'!AH6="","",'M2 Allocations - TD'!AH32)</f>
        <v>495377.09665466635</v>
      </c>
      <c r="AJ37" s="20">
        <f>IF('M2 Allocations - TD'!AI6="","",'M2 Allocations - TD'!AI32)</f>
        <v>348239.88671273278</v>
      </c>
      <c r="AK37" s="20">
        <f>IF('M2 Allocations - TD'!AJ6="","",'M2 Allocations - TD'!AJ32)</f>
        <v>315404.35918017995</v>
      </c>
      <c r="AL37" s="20">
        <f>IF('M2 Allocations - TD'!AK6="","",'M2 Allocations - TD'!AK32)</f>
        <v>349367.88347835495</v>
      </c>
      <c r="AM37" s="20">
        <f>IF('M2 Allocations - TD'!AL6="","",'M2 Allocations - TD'!AL32)</f>
        <v>376670.80776353204</v>
      </c>
      <c r="AN37" s="20">
        <f>IF('M2 Allocations - TD'!AM6="","",'M2 Allocations - TD'!AM32)</f>
        <v>315666.15712072933</v>
      </c>
      <c r="AO37" s="20">
        <f>IF('M2 Allocations - TD'!AN6="","",'M2 Allocations - TD'!AN32)</f>
        <v>426235.9958025862</v>
      </c>
      <c r="AP37" s="20">
        <f>IF('M2 Allocations - TD'!AO6="","",'M2 Allocations - TD'!AO32)</f>
        <v>429805.50677490461</v>
      </c>
      <c r="AQ37" s="20">
        <f>IF('M2 Allocations - TD'!AP6="","",'M2 Allocations - TD'!AP32)</f>
        <v>425502.70439957909</v>
      </c>
      <c r="AR37" s="20">
        <f>IF('M2 Allocations - TD'!AQ6="","",'M2 Allocations - TD'!AQ32)</f>
        <v>711026.13316380861</v>
      </c>
      <c r="AS37" s="20">
        <f>IF('M2 Allocations - TD'!AR6="","",'M2 Allocations - TD'!AR32)</f>
        <v>906630.75933951</v>
      </c>
      <c r="AT37" s="20">
        <f>IF('M2 Allocations - TD'!AS6="","",'M2 Allocations - TD'!AS32)</f>
        <v>735303.71734464087</v>
      </c>
      <c r="AU37" s="20">
        <f>IF('M2 Allocations - TD'!AT6="","",'M2 Allocations - TD'!AT32)</f>
        <v>765682.15647802898</v>
      </c>
      <c r="AV37" s="20">
        <f>IF('M2 Allocations - TD'!AU6="","",'M2 Allocations - TD'!AU32)</f>
        <v>522721.08210263157</v>
      </c>
      <c r="AW37" s="20">
        <f>IF('M2 Allocations - TD'!AV6="","",'M2 Allocations - TD'!AV32)</f>
        <v>445892.99890309712</v>
      </c>
      <c r="AX37" s="20">
        <f>IF('M2 Allocations - TD'!AW6="","",'M2 Allocations - TD'!AW32)</f>
        <v>380966.65670412086</v>
      </c>
      <c r="AY37" s="20">
        <f>IF('M2 Allocations - TD'!AX6="","",'M2 Allocations - TD'!AX32)</f>
        <v>451558.90985025105</v>
      </c>
      <c r="AZ37" s="20">
        <f>IF('M2 Allocations - TD'!AY6="","",'M2 Allocations - TD'!AY32)</f>
        <v>349160.22599545511</v>
      </c>
      <c r="BA37" s="20">
        <f>IF('M2 Allocations - TD'!AZ6="","",'M2 Allocations - TD'!AZ32)</f>
        <v>388715.00802980497</v>
      </c>
      <c r="BB37" s="20">
        <f>IF('M2 Allocations - TD'!BA6="","",'M2 Allocations - TD'!BA32)</f>
        <v>0</v>
      </c>
      <c r="BC37" s="20">
        <f>IF('M2 Allocations - TD'!BB6="","",'M2 Allocations - TD'!BB32)</f>
        <v>-280.76739666505853</v>
      </c>
      <c r="BD37" s="20">
        <f>IF('M2 Allocations - TD'!BC6="","",'M2 Allocations - TD'!BC32)</f>
        <v>0</v>
      </c>
      <c r="BE37" s="20">
        <f>IF('M2 Allocations - TD'!BD6="","",'M2 Allocations - TD'!BD32)</f>
        <v>0</v>
      </c>
      <c r="BF37" s="20">
        <f>IF('M2 Allocations - TD'!BE6="","",'M2 Allocations - TD'!BE32)</f>
        <v>0</v>
      </c>
      <c r="BG37" s="20">
        <f>IF('M2 Allocations - TD'!BF6="","",'M2 Allocations - TD'!BF32)</f>
        <v>0</v>
      </c>
      <c r="BH37" s="20">
        <f>IF('M2 Allocations - TD'!BG6="","",'M2 Allocations - TD'!BG32)</f>
        <v>0</v>
      </c>
      <c r="BI37" s="20">
        <f>IF('M2 Allocations - TD'!BH6="","",'M2 Allocations - TD'!BH32)</f>
        <v>0</v>
      </c>
      <c r="BJ37" s="20">
        <f>IF('M2 Allocations - TD'!BI6="","",'M2 Allocations - TD'!BI32)</f>
        <v>0</v>
      </c>
      <c r="BK37" s="20">
        <f>IF('M2 Allocations - TD'!BJ6="","",'M2 Allocations - TD'!BJ32)</f>
        <v>0</v>
      </c>
      <c r="BL37" s="20">
        <f>IF('M2 Allocations - TD'!BK6="","",'M2 Allocations - TD'!BK32)</f>
        <v>255.64000000059605</v>
      </c>
      <c r="BM37" s="20">
        <f>IF('M2 Allocations - TD'!BL6="","",'M2 Allocations - TD'!BL32)</f>
        <v>592.33999999985099</v>
      </c>
      <c r="BN37" s="20">
        <f>IF('M2 Allocations - TD'!BM6="","",'M2 Allocations - TD'!BM32)</f>
        <v>632.41000000014901</v>
      </c>
      <c r="BO37" s="20">
        <f>IF('M2 Allocations - TD'!BN6="","",'M2 Allocations - TD'!BN32)</f>
        <v>892.52999999932945</v>
      </c>
      <c r="BP37" s="20">
        <f>IF('M2 Allocations - TD'!BO6="","",'M2 Allocations - TD'!BO32)</f>
        <v>1958.390000000596</v>
      </c>
      <c r="BQ37" s="20">
        <f>IF('M2 Allocations - TD'!BP6="","",'M2 Allocations - TD'!BP32)</f>
        <v>2575.9900000002235</v>
      </c>
      <c r="BR37" s="20">
        <f>IF('M2 Allocations - TD'!BQ6="","",'M2 Allocations - TD'!BQ32)</f>
        <v>2901.589999999851</v>
      </c>
      <c r="BS37" s="20">
        <f>IF('M2 Allocations - TD'!BR6="","",'M2 Allocations - TD'!BR32)</f>
        <v>2255.2100000008941</v>
      </c>
      <c r="BT37" s="20">
        <f>IF('M2 Allocations - TD'!BS6="","",'M2 Allocations - TD'!BS32)</f>
        <v>1201.0499999988824</v>
      </c>
      <c r="BU37" s="20">
        <f>IF('M2 Allocations - TD'!BT6="","",'M2 Allocations - TD'!BT32)</f>
        <v>993.04000000096858</v>
      </c>
      <c r="BV37" s="20">
        <f>IF('M2 Allocations - TD'!BU6="","",'M2 Allocations - TD'!BU32)</f>
        <v>1022.7099999990314</v>
      </c>
      <c r="BW37" s="20">
        <f>IF('M2 Allocations - TD'!BV6="","",'M2 Allocations - TD'!BV32)</f>
        <v>1061.0999999996275</v>
      </c>
      <c r="BX37" s="20">
        <f>IF('M2 Allocations - TD'!BW6="","",'M2 Allocations - TD'!BW32)</f>
        <v>818.65000000037253</v>
      </c>
      <c r="BY37" s="20">
        <f>IF('M2 Allocations - TD'!BX6="","",'M2 Allocations - TD'!BX32)</f>
        <v>0</v>
      </c>
      <c r="BZ37" s="20">
        <f>IF('M2 Allocations - TD'!BY6="","",'M2 Allocations - TD'!BY32)</f>
        <v>0</v>
      </c>
      <c r="CA37" s="20">
        <f>IF('M2 Allocations - TD'!BZ6="","",'M2 Allocations - TD'!BZ32)</f>
        <v>0</v>
      </c>
      <c r="CB37" s="20">
        <f>IF('M2 Allocations - TD'!CA6="","",'M2 Allocations - TD'!CA32)</f>
        <v>0</v>
      </c>
      <c r="CC37" s="20">
        <f>IF('M2 Allocations - TD'!CB6="","",'M2 Allocations - TD'!CB32)</f>
        <v>0</v>
      </c>
      <c r="CD37" s="20">
        <f>IF('M2 Allocations - TD'!CC6="","",'M2 Allocations - TD'!CC32)</f>
        <v>0</v>
      </c>
      <c r="CE37" s="20">
        <f>IF('M2 Allocations - TD'!CD6="","",'M2 Allocations - TD'!CD32)</f>
        <v>0</v>
      </c>
      <c r="CF37" s="20">
        <f>IF('M2 Allocations - TD'!CE6="","",'M2 Allocations - TD'!CE32)</f>
        <v>0</v>
      </c>
      <c r="CG37" s="20">
        <f>IF('M2 Allocations - TD'!CF6="","",'M2 Allocations - TD'!CF32)</f>
        <v>0</v>
      </c>
      <c r="CH37" s="20">
        <f>IF('M2 Allocations - TD'!CG6="","",'M2 Allocations - TD'!CG32)</f>
        <v>0</v>
      </c>
      <c r="CI37" s="20">
        <f>IF('M2 Allocations - TD'!CH6="","",'M2 Allocations - TD'!CH32)</f>
        <v>0</v>
      </c>
      <c r="CJ37" s="20">
        <f>IF('M2 Allocations - TD'!CI6="","",'M2 Allocations - TD'!CI32)</f>
        <v>0</v>
      </c>
      <c r="CK37" s="20">
        <f>IF('M2 Allocations - TD'!CJ6="","",'M2 Allocations - TD'!CJ32)</f>
        <v>0</v>
      </c>
      <c r="CL37" s="20">
        <f>IF('M2 Allocations - TD'!CK6="","",'M2 Allocations - TD'!CK32)</f>
        <v>0</v>
      </c>
      <c r="CM37" s="20">
        <f>IF('M2 Allocations - TD'!CL6="","",'M2 Allocations - TD'!CL32)</f>
        <v>0</v>
      </c>
      <c r="CN37" s="20">
        <f>IF('M2 Allocations - TD'!CM6="","",'M2 Allocations - TD'!CM32)</f>
        <v>0</v>
      </c>
      <c r="CO37" s="20">
        <f>IF('M2 Allocations - TD'!CN6="","",'M2 Allocations - TD'!CN32)</f>
        <v>0</v>
      </c>
      <c r="CP37" s="20">
        <f>IF('M2 Allocations - TD'!CO6="","",'M2 Allocations - TD'!CO32)</f>
        <v>0</v>
      </c>
      <c r="CQ37" s="20">
        <f>IF('M2 Allocations - TD'!CP6="","",'M2 Allocations - TD'!CP32)</f>
        <v>0</v>
      </c>
      <c r="CR37" s="20">
        <f>IF('M2 Allocations - TD'!CQ6="","",'M2 Allocations - TD'!CQ32)</f>
        <v>0</v>
      </c>
      <c r="CS37" s="20">
        <f>IF('M2 Allocations - TD'!CR6="","",'M2 Allocations - TD'!CR32)</f>
        <v>0</v>
      </c>
      <c r="CT37" s="20">
        <f>IF('M2 Allocations - TD'!CS6="","",'M2 Allocations - TD'!CS32)</f>
        <v>0</v>
      </c>
      <c r="CU37" s="20">
        <f>IF('M2 Allocations - TD'!CT6="","",'M2 Allocations - TD'!CT32)</f>
        <v>0</v>
      </c>
    </row>
    <row r="38" spans="1:99" s="4" customFormat="1" ht="15" hidden="1" customHeight="1" outlineLevel="1" x14ac:dyDescent="0.25">
      <c r="A38" s="292"/>
      <c r="B38" s="16" t="s">
        <v>26</v>
      </c>
      <c r="C38" s="24"/>
      <c r="D38" s="24"/>
      <c r="E38" s="22">
        <v>0</v>
      </c>
      <c r="F38" s="22">
        <v>0</v>
      </c>
      <c r="G38" s="22">
        <v>856.28</v>
      </c>
      <c r="H38" s="22">
        <v>12419.27</v>
      </c>
      <c r="I38" s="22">
        <v>14760.05</v>
      </c>
      <c r="J38" s="22">
        <v>14736.25</v>
      </c>
      <c r="K38" s="22">
        <v>14174.52</v>
      </c>
      <c r="L38" s="22">
        <v>12053.27</v>
      </c>
      <c r="M38" s="22">
        <v>10707.26</v>
      </c>
      <c r="N38" s="22">
        <v>12431.58</v>
      </c>
      <c r="O38" s="22">
        <v>27338.89</v>
      </c>
      <c r="P38" s="22">
        <f>144458.09+268.19</f>
        <v>144726.28</v>
      </c>
      <c r="Q38" s="22">
        <f>128591.46-105.49</f>
        <v>128485.97</v>
      </c>
      <c r="R38" s="20">
        <f>IF('M2 Allocations - TD'!Q51="","",'M2 Allocations - TD'!Q69)</f>
        <v>117754.86766427531</v>
      </c>
      <c r="S38" s="20">
        <f>IF('M2 Allocations - TD'!R51="","",'M2 Allocations - TD'!R69)</f>
        <v>117111.78358657917</v>
      </c>
      <c r="T38" s="20">
        <f>IF('M2 Allocations - TD'!S51="","",'M2 Allocations - TD'!S69)</f>
        <v>139211.1271761941</v>
      </c>
      <c r="U38" s="20">
        <f>IF('M2 Allocations - TD'!T51="","",'M2 Allocations - TD'!T69)</f>
        <v>160900.46992761682</v>
      </c>
      <c r="V38" s="20">
        <f>IF('M2 Allocations - TD'!U51="","",'M2 Allocations - TD'!U69)</f>
        <v>162415.72720926077</v>
      </c>
      <c r="W38" s="20">
        <f>IF('M2 Allocations - TD'!V51="","",'M2 Allocations - TD'!V69)</f>
        <v>145481.1603029698</v>
      </c>
      <c r="X38" s="20">
        <f>IF('M2 Allocations - TD'!W51="","",'M2 Allocations - TD'!W69)</f>
        <v>137867.15538119225</v>
      </c>
      <c r="Y38" s="20">
        <f>IF('M2 Allocations - TD'!X51="","",'M2 Allocations - TD'!X69)</f>
        <v>122671.59779667509</v>
      </c>
      <c r="Z38" s="20">
        <f>IF('M2 Allocations - TD'!Y51="","",'M2 Allocations - TD'!Y69)</f>
        <v>134648.09810155624</v>
      </c>
      <c r="AA38" s="20">
        <f>IF('M2 Allocations - TD'!Z51="","",'M2 Allocations - TD'!Z69)</f>
        <v>193970.45230344273</v>
      </c>
      <c r="AB38" s="20">
        <f>IF('M2 Allocations - TD'!AA51="","",'M2 Allocations - TD'!AA69)</f>
        <v>337014.49</v>
      </c>
      <c r="AC38" s="20">
        <f>IF('M2 Allocations - TD'!AB51="","",'M2 Allocations - TD'!AB69)</f>
        <v>295708.57620644657</v>
      </c>
      <c r="AD38" s="20">
        <f>IF('M2 Allocations - TD'!AC51="","",'M2 Allocations - TD'!AC69)</f>
        <v>291406.59328999976</v>
      </c>
      <c r="AE38" s="20">
        <f>IF('M2 Allocations - TD'!AD51="","",'M2 Allocations - TD'!AD69)</f>
        <v>264923.25566753082</v>
      </c>
      <c r="AF38" s="20">
        <f>IF('M2 Allocations - TD'!AE51="","",'M2 Allocations - TD'!AE69)</f>
        <v>333657.21503767214</v>
      </c>
      <c r="AG38" s="20">
        <f>IF('M2 Allocations - TD'!AF51="","",'M2 Allocations - TD'!AF69)</f>
        <v>367915.86365673423</v>
      </c>
      <c r="AH38" s="20">
        <f>IF('M2 Allocations - TD'!AG51="","",'M2 Allocations - TD'!AG69)</f>
        <v>344001.06732957577</v>
      </c>
      <c r="AI38" s="20">
        <f>IF('M2 Allocations - TD'!AH51="","",'M2 Allocations - TD'!AH69)</f>
        <v>338126.29031171976</v>
      </c>
      <c r="AJ38" s="20">
        <f>IF('M2 Allocations - TD'!AI51="","",'M2 Allocations - TD'!AI69)</f>
        <v>297845.76900715684</v>
      </c>
      <c r="AK38" s="20">
        <f>IF('M2 Allocations - TD'!AJ51="","",'M2 Allocations - TD'!AJ69)</f>
        <v>267618.62093979405</v>
      </c>
      <c r="AL38" s="20">
        <f>IF('M2 Allocations - TD'!AK51="","",'M2 Allocations - TD'!AK69)</f>
        <v>322555.10705520917</v>
      </c>
      <c r="AM38" s="20">
        <f>IF('M2 Allocations - TD'!AL51="","",'M2 Allocations - TD'!AL69)</f>
        <v>371341.16797562933</v>
      </c>
      <c r="AN38" s="20">
        <f>IF('M2 Allocations - TD'!AM51="","",'M2 Allocations - TD'!AM69)</f>
        <v>701136.2388481237</v>
      </c>
      <c r="AO38" s="20">
        <f>IF('M2 Allocations - TD'!AN51="","",'M2 Allocations - TD'!AN69)</f>
        <v>660367.02395744435</v>
      </c>
      <c r="AP38" s="20">
        <f>IF('M2 Allocations - TD'!AO51="","",'M2 Allocations - TD'!AO69)</f>
        <v>536256.50994038768</v>
      </c>
      <c r="AQ38" s="20">
        <f>IF('M2 Allocations - TD'!AP51="","",'M2 Allocations - TD'!AP69)</f>
        <v>506299.41162084811</v>
      </c>
      <c r="AR38" s="20">
        <f>IF('M2 Allocations - TD'!AQ51="","",'M2 Allocations - TD'!AQ69)</f>
        <v>591277.49932374491</v>
      </c>
      <c r="AS38" s="20">
        <f>IF('M2 Allocations - TD'!AR51="","",'M2 Allocations - TD'!AR69)</f>
        <v>676039.62753147213</v>
      </c>
      <c r="AT38" s="20">
        <f>IF('M2 Allocations - TD'!AS51="","",'M2 Allocations - TD'!AS69)</f>
        <v>694696.60025960801</v>
      </c>
      <c r="AU38" s="20">
        <f>IF('M2 Allocations - TD'!AT51="","",'M2 Allocations - TD'!AT69)</f>
        <v>670877.10139883822</v>
      </c>
      <c r="AV38" s="20">
        <f>IF('M2 Allocations - TD'!AU51="","",'M2 Allocations - TD'!AU69)</f>
        <v>604713.02387172775</v>
      </c>
      <c r="AW38" s="20">
        <f>IF('M2 Allocations - TD'!AV51="","",'M2 Allocations - TD'!AV69)</f>
        <v>541098.36747130833</v>
      </c>
      <c r="AX38" s="20">
        <f>IF('M2 Allocations - TD'!AW51="","",'M2 Allocations - TD'!AW69)</f>
        <v>635047.56064080668</v>
      </c>
      <c r="AY38" s="20">
        <f>IF('M2 Allocations - TD'!AX51="","",'M2 Allocations - TD'!AX69)</f>
        <v>677042.48835283797</v>
      </c>
      <c r="AZ38" s="20">
        <f>IF('M2 Allocations - TD'!AY51="","",'M2 Allocations - TD'!AY69)</f>
        <v>415381.06618172349</v>
      </c>
      <c r="BA38" s="20">
        <f>IF('M2 Allocations - TD'!AZ51="","",'M2 Allocations - TD'!AZ69)</f>
        <v>87488.365088698483</v>
      </c>
      <c r="BB38" s="20">
        <f>IF('M2 Allocations - TD'!BA51="","",'M2 Allocations - TD'!BA69)</f>
        <v>64808.481988010986</v>
      </c>
      <c r="BC38" s="20">
        <f>IF('M2 Allocations - TD'!BB51="","",'M2 Allocations - TD'!BB69)</f>
        <v>59023.185490174175</v>
      </c>
      <c r="BD38" s="20">
        <f>IF('M2 Allocations - TD'!BC51="","",'M2 Allocations - TD'!BC69)</f>
        <v>73834.949720540346</v>
      </c>
      <c r="BE38" s="20">
        <f>IF('M2 Allocations - TD'!BD51="","",'M2 Allocations - TD'!BD69)</f>
        <v>92018.552084119583</v>
      </c>
      <c r="BF38" s="20">
        <f>IF('M2 Allocations - TD'!BE51="","",'M2 Allocations - TD'!BE69)</f>
        <v>90580.739582948823</v>
      </c>
      <c r="BG38" s="20">
        <f>IF('M2 Allocations - TD'!BF51="","",'M2 Allocations - TD'!BF69)</f>
        <v>86046.105340623792</v>
      </c>
      <c r="BH38" s="20">
        <f>IF('M2 Allocations - TD'!BG51="","",'M2 Allocations - TD'!BG69)</f>
        <v>69862.512633552527</v>
      </c>
      <c r="BI38" s="20">
        <f>IF('M2 Allocations - TD'!BH51="","",'M2 Allocations - TD'!BH69)</f>
        <v>69704.10872407959</v>
      </c>
      <c r="BJ38" s="20">
        <f>IF('M2 Allocations - TD'!BI51="","",'M2 Allocations - TD'!BI69)</f>
        <v>80360.687024982573</v>
      </c>
      <c r="BK38" s="20">
        <f>IF('M2 Allocations - TD'!BJ51="","",'M2 Allocations - TD'!BJ69)</f>
        <v>95761.440926806667</v>
      </c>
      <c r="BL38" s="20">
        <f>IF('M2 Allocations - TD'!BK51="","",'M2 Allocations - TD'!BK69)</f>
        <v>-1907.9937762007746</v>
      </c>
      <c r="BM38" s="20">
        <f>IF('M2 Allocations - TD'!BL51="","",'M2 Allocations - TD'!BL69)</f>
        <v>-102362.10040602235</v>
      </c>
      <c r="BN38" s="20">
        <f>IF('M2 Allocations - TD'!BM51="","",'M2 Allocations - TD'!BM69)</f>
        <v>-81659.759942022312</v>
      </c>
      <c r="BO38" s="20">
        <f>IF('M2 Allocations - TD'!BN51="","",'M2 Allocations - TD'!BN69)</f>
        <v>-80583.41964173934</v>
      </c>
      <c r="BP38" s="20">
        <f>IF('M2 Allocations - TD'!BO51="","",'M2 Allocations - TD'!BO69)</f>
        <v>-95520.020947600293</v>
      </c>
      <c r="BQ38" s="20">
        <f>IF('M2 Allocations - TD'!BP51="","",'M2 Allocations - TD'!BP69)</f>
        <v>-112468.59809397052</v>
      </c>
      <c r="BR38" s="20">
        <f>IF('M2 Allocations - TD'!BQ51="","",'M2 Allocations - TD'!BQ69)</f>
        <v>-112970.29647430769</v>
      </c>
      <c r="BS38" s="20">
        <f>IF('M2 Allocations - TD'!BR51="","",'M2 Allocations - TD'!BR69)</f>
        <v>-114176.56432782451</v>
      </c>
      <c r="BT38" s="20">
        <f>IF('M2 Allocations - TD'!BS51="","",'M2 Allocations - TD'!BS69)</f>
        <v>-95359.199900074542</v>
      </c>
      <c r="BU38" s="20">
        <f>IF('M2 Allocations - TD'!BT51="","",'M2 Allocations - TD'!BT69)</f>
        <v>-85048.337899656035</v>
      </c>
      <c r="BV38" s="20">
        <f>IF('M2 Allocations - TD'!BU51="","",'M2 Allocations - TD'!BU69)</f>
        <v>-96923.929909834478</v>
      </c>
      <c r="BW38" s="20">
        <f>IF('M2 Allocations - TD'!BV51="","",'M2 Allocations - TD'!BV69)</f>
        <v>-114316.61954150567</v>
      </c>
      <c r="BX38" s="20">
        <f>IF('M2 Allocations - TD'!BW51="","",'M2 Allocations - TD'!BW69)</f>
        <v>-70347.05152582172</v>
      </c>
      <c r="BY38" s="20">
        <f>IF('M2 Allocations - TD'!BX51="","",'M2 Allocations - TD'!BX69)</f>
        <v>-3800.9561632831483</v>
      </c>
      <c r="BZ38" s="20">
        <f>IF('M2 Allocations - TD'!BY51="","",'M2 Allocations - TD'!BY69)</f>
        <v>-3430.8126987825262</v>
      </c>
      <c r="CA38" s="20">
        <f>IF('M2 Allocations - TD'!BZ51="","",'M2 Allocations - TD'!BZ69)</f>
        <v>-3159.8932354852132</v>
      </c>
      <c r="CB38" s="20">
        <f>IF('M2 Allocations - TD'!CA51="","",'M2 Allocations - TD'!CA69)</f>
        <v>-3581.5162113053066</v>
      </c>
      <c r="CC38" s="20">
        <f>IF('M2 Allocations - TD'!CB51="","",'M2 Allocations - TD'!CB69)</f>
        <v>-4119.5944291965261</v>
      </c>
      <c r="CD38" s="20">
        <f>IF('M2 Allocations - TD'!CC51="","",'M2 Allocations - TD'!CC69)</f>
        <v>-4322.0730845019007</v>
      </c>
      <c r="CE38" s="20">
        <f>IF('M2 Allocations - TD'!CD51="","",'M2 Allocations - TD'!CD69)</f>
        <v>-3929.9254185913205</v>
      </c>
      <c r="CF38" s="20">
        <f>IF('M2 Allocations - TD'!CE51="","",'M2 Allocations - TD'!CE69)</f>
        <v>-3276.9745441742421</v>
      </c>
      <c r="CG38" s="20">
        <f>IF('M2 Allocations - TD'!CF51="","",'M2 Allocations - TD'!CF69)</f>
        <v>-3126.7202336261671</v>
      </c>
      <c r="CH38" s="20">
        <f>IF('M2 Allocations - TD'!CG51="","",'M2 Allocations - TD'!CG69)</f>
        <v>-3790.1875290561552</v>
      </c>
      <c r="CI38" s="20">
        <f>IF('M2 Allocations - TD'!CH51="","",'M2 Allocations - TD'!CH69)</f>
        <v>-4362.528537781639</v>
      </c>
      <c r="CJ38" s="20">
        <f>IF('M2 Allocations - TD'!CI51="","",'M2 Allocations - TD'!CI69)</f>
        <v>-59.450608927867215</v>
      </c>
      <c r="CK38" s="20">
        <f>IF('M2 Allocations - TD'!CJ51="","",'M2 Allocations - TD'!CJ69)</f>
        <v>4524.2006448409011</v>
      </c>
      <c r="CL38" s="20">
        <f>IF('M2 Allocations - TD'!CK51="","",'M2 Allocations - TD'!CK69)</f>
        <v>4143.0276488103909</v>
      </c>
      <c r="CM38" s="20">
        <f>IF('M2 Allocations - TD'!CL51="","",'M2 Allocations - TD'!CL69)</f>
        <v>3845.7337142260185</v>
      </c>
      <c r="CN38" s="20">
        <f>IF('M2 Allocations - TD'!CM51="","",'M2 Allocations - TD'!CM69)</f>
        <v>4680.4644940813678</v>
      </c>
      <c r="CO38" s="20">
        <f>IF('M2 Allocations - TD'!CN51="","",'M2 Allocations - TD'!CN69)</f>
        <v>5373.591493144434</v>
      </c>
      <c r="CP38" s="20">
        <f>IF('M2 Allocations - TD'!CO51="","",'M2 Allocations - TD'!CO69)</f>
        <v>5513.3199284737602</v>
      </c>
      <c r="CQ38" s="20">
        <f>IF('M2 Allocations - TD'!CP51="","",'M2 Allocations - TD'!CP69)</f>
        <v>5569.4194265403466</v>
      </c>
      <c r="CR38" s="20">
        <f>IF('M2 Allocations - TD'!CQ51="","",'M2 Allocations - TD'!CQ69)</f>
        <v>4526.9681321419803</v>
      </c>
      <c r="CS38" s="20">
        <f>IF('M2 Allocations - TD'!CR51="","",'M2 Allocations - TD'!CR69)</f>
        <v>4148.9419096512729</v>
      </c>
      <c r="CT38" s="20">
        <f>IF('M2 Allocations - TD'!CS51="","",'M2 Allocations - TD'!CS69)</f>
        <v>4775.904287314298</v>
      </c>
      <c r="CU38" s="20">
        <f>IF('M2 Allocations - TD'!CT51="","",'M2 Allocations - TD'!CT69)</f>
        <v>5756.9554438203631</v>
      </c>
    </row>
    <row r="39" spans="1:99" s="4" customFormat="1" ht="15" hidden="1" customHeight="1" outlineLevel="1" x14ac:dyDescent="0.25">
      <c r="A39" s="292"/>
      <c r="B39" s="16" t="s">
        <v>51</v>
      </c>
      <c r="C39" s="24"/>
      <c r="D39" s="24"/>
      <c r="E39" s="22"/>
      <c r="F39" s="22"/>
      <c r="G39" s="22"/>
      <c r="H39" s="22"/>
      <c r="I39" s="22"/>
      <c r="J39" s="22"/>
      <c r="K39" s="22"/>
      <c r="L39" s="22"/>
      <c r="M39" s="22"/>
      <c r="N39" s="22"/>
      <c r="O39" s="22">
        <f>+'M2 TD amort'!C15</f>
        <v>0</v>
      </c>
      <c r="P39" s="22">
        <f>IF(P38="","",-'M2 TD amort'!D15)</f>
        <v>-57670.81</v>
      </c>
      <c r="Q39" s="22">
        <f>IF(Q38="","",-'M2 TD amort'!E15)</f>
        <v>-51199.34</v>
      </c>
      <c r="R39" s="20">
        <f>IF(R38="","",-'M2 TD amort'!F15)</f>
        <v>-48454.46</v>
      </c>
      <c r="S39" s="20">
        <f>IF(S38="","",-'M2 TD amort'!G15)</f>
        <v>-47961.66</v>
      </c>
      <c r="T39" s="20">
        <f>IF(T38="","",-'M2 TD amort'!H15)</f>
        <v>-56993.58</v>
      </c>
      <c r="U39" s="20">
        <f>IF(U38="","",-'M2 TD amort'!I15)</f>
        <v>-66068.81</v>
      </c>
      <c r="V39" s="20">
        <f>IF(V38="","",-'M2 TD amort'!J15)</f>
        <v>-66699.539999999994</v>
      </c>
      <c r="W39" s="20">
        <f>IF(W38="","",-'M2 TD amort'!K15)</f>
        <v>-59653.25</v>
      </c>
      <c r="X39" s="20">
        <f>IF(X38="","",-'M2 TD amort'!L15)</f>
        <v>-56484.08</v>
      </c>
      <c r="Y39" s="20">
        <f>IF(Y38="","",-'M2 TD amort'!M15)</f>
        <v>-50487.58</v>
      </c>
      <c r="Z39" s="20">
        <f>IF(Z38="","",-'M2 TD amort'!N15)</f>
        <v>-55758.36</v>
      </c>
      <c r="AA39" s="20">
        <f>IF(AA38="","",-'M2 TD amort'!O15)</f>
        <v>-80581.48</v>
      </c>
      <c r="AB39" s="20">
        <f>IF(AB38="","",-'M2 TD amort'!P15)</f>
        <v>-22915.75</v>
      </c>
      <c r="AC39" s="20">
        <f>IF(AC38="","",-'M2 TD amort'!Q15)</f>
        <v>-20081.22</v>
      </c>
      <c r="AD39" s="20">
        <f>IF(AD38="","",-'M2 TD amort'!R15)</f>
        <v>-19791.830000000002</v>
      </c>
      <c r="AE39" s="20">
        <f>IF(AE38="","",-'M2 TD amort'!S15)</f>
        <v>-17914.810000000001</v>
      </c>
      <c r="AF39" s="20">
        <f>IF(AF38="","",-'M2 TD amort'!T15)</f>
        <v>-22552.86</v>
      </c>
      <c r="AG39" s="20">
        <f>IF(AG38="","",-'M2 TD amort'!U15)</f>
        <v>-24883.18</v>
      </c>
      <c r="AH39" s="20">
        <f>IF(AH38="","",-'M2 TD amort'!V15)</f>
        <v>-23251.17</v>
      </c>
      <c r="AI39" s="20">
        <f>IF(AI38="","",-'M2 TD amort'!W15)</f>
        <v>-22846.74</v>
      </c>
      <c r="AJ39" s="20">
        <f>IF(AJ38="","",-'M2 TD amort'!X15)</f>
        <v>-20130.740000000002</v>
      </c>
      <c r="AK39" s="20">
        <f>IF(AK38="","",-'M2 TD amort'!Y15)</f>
        <v>-18136.46</v>
      </c>
      <c r="AL39" s="20">
        <f>IF(AL38="","",-'M2 TD amort'!Z15)</f>
        <v>-21919.72</v>
      </c>
      <c r="AM39" s="20">
        <f>IF(AM38="","",-'M2 TD amort'!AA15)</f>
        <v>-25229.34</v>
      </c>
      <c r="AN39" s="20">
        <f>IF(AN38="","",-'M2 TD amort'!AB15)</f>
        <v>-41190.97</v>
      </c>
      <c r="AO39" s="20">
        <f>IF(AO38="","",-'M2 TD amort'!AC15)</f>
        <v>-38787.67</v>
      </c>
      <c r="AP39" s="20">
        <f>IF(AP38="","",-'M2 TD amort'!AD15)</f>
        <v>-31443.78</v>
      </c>
      <c r="AQ39" s="20">
        <f>IF(AQ38="","",-'M2 TD amort'!AE15)</f>
        <v>-29644</v>
      </c>
      <c r="AR39" s="20">
        <f>IF(AR38="","",-'M2 TD amort'!AF15)</f>
        <v>-34609.08</v>
      </c>
      <c r="AS39" s="20">
        <f>IF(AS38="","",-'M2 TD amort'!AG15)</f>
        <v>-39585.75</v>
      </c>
      <c r="AT39" s="20">
        <f>IF(AT38="","",-'M2 TD amort'!AH15)</f>
        <v>-40683.480000000003</v>
      </c>
      <c r="AU39" s="20">
        <f>IF(AU38="","",-'M2 TD amort'!AI15)</f>
        <v>-39274.67</v>
      </c>
      <c r="AV39" s="20">
        <f>IF(AV38="","",-'M2 TD amort'!AJ15)</f>
        <v>-35394.61</v>
      </c>
      <c r="AW39" s="20">
        <f>IF(AW38="","",-'M2 TD amort'!AK15)</f>
        <v>-31714.62</v>
      </c>
      <c r="AX39" s="20">
        <f>IF(AX38="","",-'M2 TD amort'!AL15)</f>
        <v>-37264.32</v>
      </c>
      <c r="AY39" s="20">
        <f>IF(AY38="","",-'M2 TD amort'!AM15)</f>
        <v>-39738.61</v>
      </c>
      <c r="AZ39" s="20">
        <f>IF(AZ38="","",-'M2 TD amort'!AN15)</f>
        <v>259244.3</v>
      </c>
      <c r="BA39" s="20">
        <f>IF(BA38="","",-'M2 TD amort'!AO15)</f>
        <v>54461.07</v>
      </c>
      <c r="BB39" s="20">
        <f>IF(BB38="","",-'M2 TD amort'!AP15)</f>
        <v>40308.699999999997</v>
      </c>
      <c r="BC39" s="20">
        <f>IF(BC38="","",-'M2 TD amort'!AQ15)</f>
        <v>36689.64</v>
      </c>
      <c r="BD39" s="20">
        <f>IF(BD38="","",-'M2 TD amort'!AR15)</f>
        <v>45879.44</v>
      </c>
      <c r="BE39" s="20">
        <f>IF(BE38="","",-'M2 TD amort'!AS15)</f>
        <v>57185.74</v>
      </c>
      <c r="BF39" s="20">
        <f>IF(BF38="","",-'M2 TD amort'!AT15)</f>
        <v>56277.09</v>
      </c>
      <c r="BG39" s="20">
        <f>IF(BG38="","",-'M2 TD amort'!AU15)</f>
        <v>53447.12</v>
      </c>
      <c r="BH39" s="20">
        <f>IF(BH38="","",-'M2 TD amort'!AV15)</f>
        <v>43395.75</v>
      </c>
      <c r="BI39" s="20">
        <f>IF(BI38="","",-'M2 TD amort'!AW15)</f>
        <v>43326.04</v>
      </c>
      <c r="BJ39" s="20">
        <f>IF(BJ38="","",-'M2 TD amort'!AX15)</f>
        <v>49988.83</v>
      </c>
      <c r="BK39" s="20">
        <f>IF(BK38="","",-'M2 TD amort'!AY15)</f>
        <v>59615.22</v>
      </c>
      <c r="BL39" s="20">
        <f>IF(BL38="","",-'M2 TD amort'!AZ15)</f>
        <v>2335.62</v>
      </c>
      <c r="BM39" s="20">
        <f>IF(BM38="","",-'M2 TD amort'!BA15)</f>
        <v>104083.7</v>
      </c>
      <c r="BN39" s="20">
        <f>IF(BN38="","",-'M2 TD amort'!BB15)</f>
        <v>82832.47</v>
      </c>
      <c r="BO39" s="20">
        <f>IF(BO38="","",-'M2 TD amort'!BC15)</f>
        <v>81630.89</v>
      </c>
      <c r="BP39" s="20">
        <f>IF(BP38="","",-'M2 TD amort'!BD15)</f>
        <v>96732.3</v>
      </c>
      <c r="BQ39" s="20">
        <f>IF(BQ38="","",-'M2 TD amort'!BE15)</f>
        <v>113949.84</v>
      </c>
      <c r="BR39" s="20">
        <f>IF(BR38="","",-'M2 TD amort'!BF15)</f>
        <v>114477</v>
      </c>
      <c r="BS39" s="20">
        <f>IF(BS38="","",-'M2 TD amort'!BG15)</f>
        <v>115688.1</v>
      </c>
      <c r="BT39" s="20">
        <f>IF(BT38="","",-'M2 TD amort'!BH15)</f>
        <v>96527.89</v>
      </c>
      <c r="BU39" s="20">
        <f>IF(BU38="","",-'M2 TD amort'!BI15)</f>
        <v>86249.99</v>
      </c>
      <c r="BV39" s="20">
        <f>IF(BV38="","",-'M2 TD amort'!BJ15)</f>
        <v>98347.18</v>
      </c>
      <c r="BW39" s="20">
        <f>IF(BW38="","",-'M2 TD amort'!BK15)</f>
        <v>116084.16</v>
      </c>
      <c r="BX39" s="20">
        <f>IF(BX38="","",-'M2 TD amort'!BL15)</f>
        <v>72696.31</v>
      </c>
      <c r="BY39" s="20">
        <f>IF(BY38="","",-'M2 TD amort'!BM15)</f>
        <v>3930.01</v>
      </c>
      <c r="BZ39" s="20">
        <f>IF(BZ38="","",-'M2 TD amort'!BN15)</f>
        <v>3532.61</v>
      </c>
      <c r="CA39" s="20">
        <f>IF(CA38="","",-'M2 TD amort'!BO15)</f>
        <v>3250.65</v>
      </c>
      <c r="CB39" s="20">
        <f>IF(CB38="","",-'M2 TD amort'!BP15)</f>
        <v>3684.79</v>
      </c>
      <c r="CC39" s="20">
        <f>IF(CC38="","",-'M2 TD amort'!BQ15)</f>
        <v>4244.25</v>
      </c>
      <c r="CD39" s="20">
        <f>IF(CD38="","",-'M2 TD amort'!BR15)</f>
        <v>4450.8100000000004</v>
      </c>
      <c r="CE39" s="20">
        <f>IF(CE38="","",-'M2 TD amort'!BS15)</f>
        <v>4045.9</v>
      </c>
      <c r="CF39" s="20">
        <f>IF(CF38="","",-'M2 TD amort'!BT15)</f>
        <v>3372.86</v>
      </c>
      <c r="CG39" s="20">
        <f>IF(CG38="","",-'M2 TD amort'!BU15)</f>
        <v>3221.24</v>
      </c>
      <c r="CH39" s="20">
        <f>IF(CH38="","",-'M2 TD amort'!BV15)</f>
        <v>3921.68</v>
      </c>
      <c r="CI39" s="20">
        <f>IF(CI38="","",-'M2 TD amort'!BW15)</f>
        <v>4514.43</v>
      </c>
      <c r="CJ39" s="20">
        <f>IF(CJ38="","",-'M2 TD amort'!BX15)</f>
        <v>58.87</v>
      </c>
      <c r="CK39" s="20">
        <f>IF(CK38="","",-'M2 TD amort'!BY15)</f>
        <v>-4613.01</v>
      </c>
      <c r="CL39" s="20">
        <f>IF(CL38="","",-'M2 TD amort'!BZ15)</f>
        <v>-4219.75</v>
      </c>
      <c r="CM39" s="20">
        <f>IF(CM38="","",-'M2 TD amort'!CA15)</f>
        <v>-3905.78</v>
      </c>
      <c r="CN39" s="20">
        <f>IF(CN38="","",-'M2 TD amort'!CB15)</f>
        <v>-4751.55</v>
      </c>
      <c r="CO39" s="20">
        <f>IF(CO38="","",-'M2 TD amort'!CC15)</f>
        <v>-5463.54</v>
      </c>
      <c r="CP39" s="20">
        <f>IF(CP38="","",-'M2 TD amort'!CD15)</f>
        <v>-5606.45</v>
      </c>
      <c r="CQ39" s="20">
        <f>IF(CQ38="","",-'M2 TD amort'!CE15)</f>
        <v>-5658.03</v>
      </c>
      <c r="CR39" s="20">
        <f>IF(CR38="","",-'M2 TD amort'!CF15)</f>
        <v>-4599.68</v>
      </c>
      <c r="CS39" s="20">
        <f>IF(CS38="","",-'M2 TD amort'!CG15)</f>
        <v>-4218.8100000000004</v>
      </c>
      <c r="CT39" s="20">
        <f>IF(CT38="","",-'M2 TD amort'!CH15)</f>
        <v>-4872.8999999999996</v>
      </c>
      <c r="CU39" s="20">
        <f>IF(CU38="","",-'M2 TD amort'!CI15)</f>
        <v>-5883.72</v>
      </c>
    </row>
    <row r="40" spans="1:99" s="4" customFormat="1" ht="15" hidden="1" customHeight="1" outlineLevel="1" x14ac:dyDescent="0.25">
      <c r="A40" s="292"/>
      <c r="B40" s="16" t="s">
        <v>52</v>
      </c>
      <c r="C40" s="24"/>
      <c r="D40" s="24"/>
      <c r="E40" s="7"/>
      <c r="F40" s="7"/>
      <c r="G40" s="7"/>
      <c r="H40" s="7"/>
      <c r="I40" s="7"/>
      <c r="J40" s="7"/>
      <c r="K40" s="7"/>
      <c r="L40" s="7"/>
      <c r="M40" s="7"/>
      <c r="N40" s="7"/>
      <c r="O40" s="7">
        <f>IF(OR(O39="",O38=""),"",O38+O39)</f>
        <v>27338.89</v>
      </c>
      <c r="P40" s="7">
        <f t="shared" ref="P40" si="384">IF(OR(P39="",P38=""),"",P38+P39)</f>
        <v>87055.47</v>
      </c>
      <c r="Q40" s="7">
        <f t="shared" ref="Q40" si="385">IF(OR(Q39="",Q38=""),"",Q38+Q39)</f>
        <v>77286.63</v>
      </c>
      <c r="R40" s="7">
        <f t="shared" ref="R40" si="386">IF(OR(R39="",R38=""),"",R38+R39)</f>
        <v>69300.407664275321</v>
      </c>
      <c r="S40" s="7">
        <f t="shared" ref="S40" si="387">IF(OR(S39="",S38=""),"",S38+S39)</f>
        <v>69150.123586579168</v>
      </c>
      <c r="T40" s="7">
        <f t="shared" ref="T40" si="388">IF(OR(T39="",T38=""),"",T38+T39)</f>
        <v>82217.547176194101</v>
      </c>
      <c r="U40" s="7">
        <f t="shared" ref="U40" si="389">IF(OR(U39="",U38=""),"",U38+U39)</f>
        <v>94831.659927616827</v>
      </c>
      <c r="V40" s="7">
        <f t="shared" ref="V40" si="390">IF(OR(V39="",V38=""),"",V38+V39)</f>
        <v>95716.187209260781</v>
      </c>
      <c r="W40" s="7">
        <f t="shared" ref="W40" si="391">IF(OR(W39="",W38=""),"",W38+W39)</f>
        <v>85827.910302969802</v>
      </c>
      <c r="X40" s="7">
        <f t="shared" ref="X40" si="392">IF(OR(X39="",X38=""),"",X38+X39)</f>
        <v>81383.075381192248</v>
      </c>
      <c r="Y40" s="7">
        <f t="shared" ref="Y40" si="393">IF(OR(Y39="",Y38=""),"",Y38+Y39)</f>
        <v>72184.017796675093</v>
      </c>
      <c r="Z40" s="7">
        <f t="shared" ref="Z40" si="394">IF(OR(Z39="",Z38=""),"",Z38+Z39)</f>
        <v>78889.738101556242</v>
      </c>
      <c r="AA40" s="7">
        <f t="shared" ref="AA40" si="395">IF(OR(AA39="",AA38=""),"",AA38+AA39)</f>
        <v>113388.97230344273</v>
      </c>
      <c r="AB40" s="7">
        <f t="shared" ref="AB40" si="396">IF(OR(AB39="",AB38=""),"",AB38+AB39)</f>
        <v>314098.74</v>
      </c>
      <c r="AC40" s="7">
        <f t="shared" ref="AC40" si="397">IF(OR(AC39="",AC38=""),"",AC38+AC39)</f>
        <v>275627.35620644654</v>
      </c>
      <c r="AD40" s="7">
        <f t="shared" ref="AD40" si="398">IF(OR(AD39="",AD38=""),"",AD38+AD39)</f>
        <v>271614.76328999974</v>
      </c>
      <c r="AE40" s="7">
        <f t="shared" ref="AE40" si="399">IF(OR(AE39="",AE38=""),"",AE38+AE39)</f>
        <v>247008.44566753082</v>
      </c>
      <c r="AF40" s="7">
        <f t="shared" ref="AF40" si="400">IF(OR(AF39="",AF38=""),"",AF38+AF39)</f>
        <v>311104.35503767215</v>
      </c>
      <c r="AG40" s="7">
        <f t="shared" ref="AG40" si="401">IF(OR(AG39="",AG38=""),"",AG38+AG39)</f>
        <v>343032.68365673424</v>
      </c>
      <c r="AH40" s="7">
        <f t="shared" ref="AH40" si="402">IF(OR(AH39="",AH38=""),"",AH38+AH39)</f>
        <v>320749.89732957579</v>
      </c>
      <c r="AI40" s="7">
        <f t="shared" ref="AI40" si="403">IF(OR(AI39="",AI38=""),"",AI38+AI39)</f>
        <v>315279.55031171977</v>
      </c>
      <c r="AJ40" s="7">
        <f t="shared" ref="AJ40" si="404">IF(OR(AJ39="",AJ38=""),"",AJ38+AJ39)</f>
        <v>277715.02900715685</v>
      </c>
      <c r="AK40" s="7">
        <f t="shared" ref="AK40" si="405">IF(OR(AK39="",AK38=""),"",AK38+AK39)</f>
        <v>249482.16093979406</v>
      </c>
      <c r="AL40" s="7">
        <f t="shared" ref="AL40" si="406">IF(OR(AL39="",AL38=""),"",AL38+AL39)</f>
        <v>300635.38705520914</v>
      </c>
      <c r="AM40" s="7">
        <f t="shared" ref="AM40:BJ40" si="407">IF(OR(AM39="",AM38=""),"",AM38+AM39)</f>
        <v>346111.82797562931</v>
      </c>
      <c r="AN40" s="7">
        <f t="shared" si="407"/>
        <v>659945.26884812373</v>
      </c>
      <c r="AO40" s="7">
        <f t="shared" si="407"/>
        <v>621579.35395744431</v>
      </c>
      <c r="AP40" s="7">
        <f t="shared" si="407"/>
        <v>504812.72994038765</v>
      </c>
      <c r="AQ40" s="7">
        <f t="shared" si="407"/>
        <v>476655.41162084811</v>
      </c>
      <c r="AR40" s="7">
        <f t="shared" si="407"/>
        <v>556668.41932374495</v>
      </c>
      <c r="AS40" s="7">
        <f t="shared" si="407"/>
        <v>636453.87753147213</v>
      </c>
      <c r="AT40" s="7">
        <f t="shared" si="407"/>
        <v>654013.12025960803</v>
      </c>
      <c r="AU40" s="7">
        <f t="shared" si="407"/>
        <v>631602.43139883818</v>
      </c>
      <c r="AV40" s="7">
        <f t="shared" si="407"/>
        <v>569318.41387172777</v>
      </c>
      <c r="AW40" s="7">
        <f t="shared" si="407"/>
        <v>509383.74747130834</v>
      </c>
      <c r="AX40" s="7">
        <f t="shared" si="407"/>
        <v>597783.24064080673</v>
      </c>
      <c r="AY40" s="7">
        <f t="shared" si="407"/>
        <v>637303.87835283799</v>
      </c>
      <c r="AZ40" s="7">
        <f t="shared" si="407"/>
        <v>674625.36618172354</v>
      </c>
      <c r="BA40" s="7">
        <f t="shared" si="407"/>
        <v>141949.43508869849</v>
      </c>
      <c r="BB40" s="7">
        <f t="shared" si="407"/>
        <v>105117.18198801098</v>
      </c>
      <c r="BC40" s="7">
        <f t="shared" si="407"/>
        <v>95712.825490174175</v>
      </c>
      <c r="BD40" s="7">
        <f t="shared" si="407"/>
        <v>119714.38972054035</v>
      </c>
      <c r="BE40" s="7">
        <f t="shared" si="407"/>
        <v>149204.29208411957</v>
      </c>
      <c r="BF40" s="7">
        <f t="shared" si="407"/>
        <v>146857.82958294882</v>
      </c>
      <c r="BG40" s="7">
        <f t="shared" si="407"/>
        <v>139493.22534062379</v>
      </c>
      <c r="BH40" s="7">
        <f t="shared" si="407"/>
        <v>113258.26263355253</v>
      </c>
      <c r="BI40" s="7">
        <f t="shared" si="407"/>
        <v>113030.1487240796</v>
      </c>
      <c r="BJ40" s="7">
        <f t="shared" si="407"/>
        <v>130349.51702498258</v>
      </c>
      <c r="BK40" s="7">
        <f t="shared" ref="BK40:BL40" si="408">IF(OR(BK39="",BK38=""),"",BK38+BK39)</f>
        <v>155376.66092680668</v>
      </c>
      <c r="BL40" s="7">
        <f t="shared" si="408"/>
        <v>427.62622379922527</v>
      </c>
      <c r="BM40" s="7">
        <f t="shared" ref="BM40:BN40" si="409">IF(OR(BM39="",BM38=""),"",BM38+BM39)</f>
        <v>1721.5995939776476</v>
      </c>
      <c r="BN40" s="7">
        <f t="shared" si="409"/>
        <v>1172.7100579776888</v>
      </c>
      <c r="BO40" s="7">
        <f t="shared" ref="BO40:BP40" si="410">IF(OR(BO39="",BO38=""),"",BO38+BO39)</f>
        <v>1047.4703582606599</v>
      </c>
      <c r="BP40" s="7">
        <f t="shared" si="410"/>
        <v>1212.2790523997101</v>
      </c>
      <c r="BQ40" s="7">
        <f t="shared" ref="BQ40:BR40" si="411">IF(OR(BQ39="",BQ38=""),"",BQ38+BQ39)</f>
        <v>1481.2419060294778</v>
      </c>
      <c r="BR40" s="7">
        <f t="shared" si="411"/>
        <v>1506.7035256923118</v>
      </c>
      <c r="BS40" s="7">
        <f t="shared" ref="BS40:BT40" si="412">IF(OR(BS39="",BS38=""),"",BS38+BS39)</f>
        <v>1511.5356721754943</v>
      </c>
      <c r="BT40" s="7">
        <f t="shared" si="412"/>
        <v>1168.6900999254576</v>
      </c>
      <c r="BU40" s="7">
        <f t="shared" ref="BU40:BV40" si="413">IF(OR(BU39="",BU38=""),"",BU38+BU39)</f>
        <v>1201.6521003439702</v>
      </c>
      <c r="BV40" s="7">
        <f t="shared" si="413"/>
        <v>1423.2500901655148</v>
      </c>
      <c r="BW40" s="7">
        <f t="shared" ref="BW40:BX40" si="414">IF(OR(BW39="",BW38=""),"",BW38+BW39)</f>
        <v>1767.5404584943317</v>
      </c>
      <c r="BX40" s="7">
        <f t="shared" si="414"/>
        <v>2349.2584741782775</v>
      </c>
      <c r="BY40" s="7">
        <f t="shared" ref="BY40:BZ40" si="415">IF(OR(BY39="",BY38=""),"",BY38+BY39)</f>
        <v>129.05383671685195</v>
      </c>
      <c r="BZ40" s="7">
        <f t="shared" si="415"/>
        <v>101.79730121747389</v>
      </c>
      <c r="CA40" s="7">
        <f t="shared" ref="CA40:CB40" si="416">IF(OR(CA39="",CA38=""),"",CA38+CA39)</f>
        <v>90.756764514786937</v>
      </c>
      <c r="CB40" s="7">
        <f t="shared" si="416"/>
        <v>103.27378869469339</v>
      </c>
      <c r="CC40" s="7">
        <f t="shared" ref="CC40:CD40" si="417">IF(OR(CC39="",CC38=""),"",CC38+CC39)</f>
        <v>124.65557080347389</v>
      </c>
      <c r="CD40" s="7">
        <f t="shared" si="417"/>
        <v>128.73691549809973</v>
      </c>
      <c r="CE40" s="7">
        <f t="shared" ref="CE40:CF40" si="418">IF(OR(CE39="",CE38=""),"",CE38+CE39)</f>
        <v>115.97458140867957</v>
      </c>
      <c r="CF40" s="7">
        <f t="shared" si="418"/>
        <v>95.885455825758072</v>
      </c>
      <c r="CG40" s="7">
        <f t="shared" ref="CG40:CH40" si="419">IF(OR(CG39="",CG38=""),"",CG38+CG39)</f>
        <v>94.519766373832681</v>
      </c>
      <c r="CH40" s="7">
        <f t="shared" si="419"/>
        <v>131.49247094384464</v>
      </c>
      <c r="CI40" s="7">
        <f t="shared" ref="CI40:CJ40" si="420">IF(OR(CI39="",CI38=""),"",CI38+CI39)</f>
        <v>151.9014622183613</v>
      </c>
      <c r="CJ40" s="7">
        <f t="shared" si="420"/>
        <v>-0.58060892786721752</v>
      </c>
      <c r="CK40" s="7">
        <f t="shared" ref="CK40:CL40" si="421">IF(OR(CK39="",CK38=""),"",CK38+CK39)</f>
        <v>-88.809355159099141</v>
      </c>
      <c r="CL40" s="7">
        <f t="shared" si="421"/>
        <v>-76.722351189609071</v>
      </c>
      <c r="CM40" s="7">
        <f t="shared" ref="CM40:CN40" si="422">IF(OR(CM39="",CM38=""),"",CM38+CM39)</f>
        <v>-60.046285773981708</v>
      </c>
      <c r="CN40" s="7">
        <f t="shared" si="422"/>
        <v>-71.085505918632407</v>
      </c>
      <c r="CO40" s="7">
        <f t="shared" ref="CO40:CP40" si="423">IF(OR(CO39="",CO38=""),"",CO38+CO39)</f>
        <v>-89.948506855565938</v>
      </c>
      <c r="CP40" s="7">
        <f t="shared" si="423"/>
        <v>-93.13007152623959</v>
      </c>
      <c r="CQ40" s="7">
        <f t="shared" ref="CQ40:CR40" si="424">IF(OR(CQ39="",CQ38=""),"",CQ38+CQ39)</f>
        <v>-88.610573459653097</v>
      </c>
      <c r="CR40" s="7">
        <f t="shared" si="424"/>
        <v>-72.711867858020014</v>
      </c>
      <c r="CS40" s="7">
        <f t="shared" ref="CS40:CT40" si="425">IF(OR(CS39="",CS38=""),"",CS38+CS39)</f>
        <v>-69.868090348727492</v>
      </c>
      <c r="CT40" s="7">
        <f t="shared" si="425"/>
        <v>-96.995712685701619</v>
      </c>
      <c r="CU40" s="7">
        <f t="shared" ref="CU40" si="426">IF(OR(CU39="",CU38=""),"",CU38+CU39)</f>
        <v>-126.76455617963711</v>
      </c>
    </row>
    <row r="41" spans="1:99" s="4" customFormat="1" hidden="1" outlineLevel="1" x14ac:dyDescent="0.25">
      <c r="A41" s="292"/>
      <c r="B41" s="16" t="s">
        <v>13</v>
      </c>
      <c r="C41" s="24"/>
      <c r="D41" s="24"/>
      <c r="E41" s="7">
        <f t="shared" ref="E41:N41" si="427">IF(OR(E38="",E37=""),"",E37-E38)</f>
        <v>0</v>
      </c>
      <c r="F41" s="7">
        <f t="shared" si="427"/>
        <v>0</v>
      </c>
      <c r="G41" s="7">
        <f t="shared" si="427"/>
        <v>-856.28</v>
      </c>
      <c r="H41" s="7">
        <f t="shared" si="427"/>
        <v>-8251.3300000000017</v>
      </c>
      <c r="I41" s="7">
        <f t="shared" si="427"/>
        <v>-1402.1099999999969</v>
      </c>
      <c r="J41" s="7">
        <f t="shared" si="427"/>
        <v>-65.264761224685572</v>
      </c>
      <c r="K41" s="7">
        <f t="shared" si="427"/>
        <v>8427.9456749210331</v>
      </c>
      <c r="L41" s="7">
        <f t="shared" si="427"/>
        <v>11617.592866768453</v>
      </c>
      <c r="M41" s="7">
        <f t="shared" si="427"/>
        <v>17046.048601536655</v>
      </c>
      <c r="N41" s="7">
        <f t="shared" si="427"/>
        <v>24826.995758638252</v>
      </c>
      <c r="O41" s="7">
        <f>IF(OR(O40="",O37=""),"",O37-O40)</f>
        <v>20240.432188278435</v>
      </c>
      <c r="P41" s="7">
        <f t="shared" ref="P41:AM41" si="428">IF(OR(P40="",P37=""),"",P37-P40)</f>
        <v>-44144.428270733704</v>
      </c>
      <c r="Q41" s="7">
        <f t="shared" si="428"/>
        <v>-24463.628837742355</v>
      </c>
      <c r="R41" s="7">
        <f>IF(OR(R40="",R37=""),"",R37-R40)</f>
        <v>-43350.100030101676</v>
      </c>
      <c r="S41" s="7">
        <f t="shared" si="428"/>
        <v>-20166.564455245163</v>
      </c>
      <c r="T41" s="7">
        <f t="shared" si="428"/>
        <v>8403.9421643922105</v>
      </c>
      <c r="U41" s="7">
        <f t="shared" si="428"/>
        <v>44100.240072383196</v>
      </c>
      <c r="V41" s="7">
        <f t="shared" si="428"/>
        <v>37984.08133016892</v>
      </c>
      <c r="W41" s="7">
        <f t="shared" si="428"/>
        <v>65929.903099540446</v>
      </c>
      <c r="X41" s="7">
        <f t="shared" si="428"/>
        <v>35454.717193515578</v>
      </c>
      <c r="Y41" s="7">
        <f t="shared" si="428"/>
        <v>15949.499473210599</v>
      </c>
      <c r="Z41" s="7">
        <f t="shared" si="428"/>
        <v>48099.269092345698</v>
      </c>
      <c r="AA41" s="7">
        <f t="shared" si="428"/>
        <v>37987.946403351161</v>
      </c>
      <c r="AB41" s="7">
        <f t="shared" si="428"/>
        <v>-183086.08735048462</v>
      </c>
      <c r="AC41" s="7">
        <f t="shared" si="428"/>
        <v>-113642.61957834617</v>
      </c>
      <c r="AD41" s="7">
        <f t="shared" si="428"/>
        <v>-84729.777062897017</v>
      </c>
      <c r="AE41" s="7">
        <f t="shared" si="428"/>
        <v>13700.630333527108</v>
      </c>
      <c r="AF41" s="7">
        <f t="shared" si="428"/>
        <v>83171.545361135155</v>
      </c>
      <c r="AG41" s="7">
        <f t="shared" si="428"/>
        <v>174531.90067955991</v>
      </c>
      <c r="AH41" s="7">
        <f t="shared" si="428"/>
        <v>135892.476656568</v>
      </c>
      <c r="AI41" s="7">
        <f t="shared" si="428"/>
        <v>180097.54634294659</v>
      </c>
      <c r="AJ41" s="7">
        <f t="shared" si="428"/>
        <v>70524.857705575938</v>
      </c>
      <c r="AK41" s="7">
        <f t="shared" si="428"/>
        <v>65922.198240385886</v>
      </c>
      <c r="AL41" s="7">
        <f t="shared" si="428"/>
        <v>48732.496423145814</v>
      </c>
      <c r="AM41" s="7">
        <f t="shared" si="428"/>
        <v>30558.979787902732</v>
      </c>
      <c r="AN41" s="7">
        <f t="shared" ref="AN41:BJ41" si="429">IF(OR(AN40="",AN37=""),"",AN37-AN40)</f>
        <v>-344279.1117273944</v>
      </c>
      <c r="AO41" s="7">
        <f t="shared" si="429"/>
        <v>-195343.35815485811</v>
      </c>
      <c r="AP41" s="7">
        <f t="shared" si="429"/>
        <v>-75007.223165483039</v>
      </c>
      <c r="AQ41" s="7">
        <f t="shared" si="429"/>
        <v>-51152.707221269025</v>
      </c>
      <c r="AR41" s="7">
        <f t="shared" si="429"/>
        <v>154357.71384006366</v>
      </c>
      <c r="AS41" s="7">
        <f t="shared" si="429"/>
        <v>270176.88180803787</v>
      </c>
      <c r="AT41" s="7">
        <f t="shared" si="429"/>
        <v>81290.597085032845</v>
      </c>
      <c r="AU41" s="7">
        <f t="shared" si="429"/>
        <v>134079.7250791908</v>
      </c>
      <c r="AV41" s="7">
        <f t="shared" si="429"/>
        <v>-46597.331769096199</v>
      </c>
      <c r="AW41" s="7">
        <f t="shared" si="429"/>
        <v>-63490.748568211216</v>
      </c>
      <c r="AX41" s="7">
        <f t="shared" si="429"/>
        <v>-216816.58393668587</v>
      </c>
      <c r="AY41" s="7">
        <f t="shared" si="429"/>
        <v>-185744.96850258694</v>
      </c>
      <c r="AZ41" s="7">
        <f t="shared" si="429"/>
        <v>-325465.14018626843</v>
      </c>
      <c r="BA41" s="7">
        <f t="shared" si="429"/>
        <v>246765.57294110648</v>
      </c>
      <c r="BB41" s="7">
        <f t="shared" si="429"/>
        <v>-105117.18198801098</v>
      </c>
      <c r="BC41" s="7">
        <f t="shared" si="429"/>
        <v>-95993.592886839237</v>
      </c>
      <c r="BD41" s="7">
        <f t="shared" si="429"/>
        <v>-119714.38972054035</v>
      </c>
      <c r="BE41" s="7">
        <f t="shared" si="429"/>
        <v>-149204.29208411957</v>
      </c>
      <c r="BF41" s="7">
        <f t="shared" si="429"/>
        <v>-146857.82958294882</v>
      </c>
      <c r="BG41" s="7">
        <f t="shared" si="429"/>
        <v>-139493.22534062379</v>
      </c>
      <c r="BH41" s="7">
        <f t="shared" si="429"/>
        <v>-113258.26263355253</v>
      </c>
      <c r="BI41" s="7">
        <f t="shared" si="429"/>
        <v>-113030.1487240796</v>
      </c>
      <c r="BJ41" s="7">
        <f t="shared" si="429"/>
        <v>-130349.51702498258</v>
      </c>
      <c r="BK41" s="7">
        <f t="shared" ref="BK41:BL41" si="430">IF(OR(BK40="",BK37=""),"",BK37-BK40)</f>
        <v>-155376.66092680668</v>
      </c>
      <c r="BL41" s="7">
        <f t="shared" si="430"/>
        <v>-171.98622379862923</v>
      </c>
      <c r="BM41" s="7">
        <f t="shared" ref="BM41:BN41" si="431">IF(OR(BM40="",BM37=""),"",BM37-BM40)</f>
        <v>-1129.2595939777966</v>
      </c>
      <c r="BN41" s="7">
        <f t="shared" si="431"/>
        <v>-540.30005797753984</v>
      </c>
      <c r="BO41" s="7">
        <f t="shared" ref="BO41:BP41" si="432">IF(OR(BO40="",BO37=""),"",BO37-BO40)</f>
        <v>-154.9403582613304</v>
      </c>
      <c r="BP41" s="7">
        <f t="shared" si="432"/>
        <v>746.11094760088599</v>
      </c>
      <c r="BQ41" s="7">
        <f t="shared" ref="BQ41:BR41" si="433">IF(OR(BQ40="",BQ37=""),"",BQ37-BQ40)</f>
        <v>1094.7480939707457</v>
      </c>
      <c r="BR41" s="7">
        <f t="shared" si="433"/>
        <v>1394.8864743075392</v>
      </c>
      <c r="BS41" s="7">
        <f t="shared" ref="BS41:BT41" si="434">IF(OR(BS40="",BS37=""),"",BS37-BS40)</f>
        <v>743.67432782539981</v>
      </c>
      <c r="BT41" s="7">
        <f t="shared" si="434"/>
        <v>32.359900073424797</v>
      </c>
      <c r="BU41" s="7">
        <f t="shared" ref="BU41:BV41" si="435">IF(OR(BU40="",BU37=""),"",BU37-BU40)</f>
        <v>-208.61210034300166</v>
      </c>
      <c r="BV41" s="7">
        <f t="shared" si="435"/>
        <v>-400.54009016648342</v>
      </c>
      <c r="BW41" s="7">
        <f t="shared" ref="BW41:BX41" si="436">IF(OR(BW40="",BW37=""),"",BW37-BW40)</f>
        <v>-706.44045849470422</v>
      </c>
      <c r="BX41" s="7">
        <f t="shared" si="436"/>
        <v>-1530.608474177905</v>
      </c>
      <c r="BY41" s="7">
        <f t="shared" ref="BY41:BZ41" si="437">IF(OR(BY40="",BY37=""),"",BY37-BY40)</f>
        <v>-129.05383671685195</v>
      </c>
      <c r="BZ41" s="7">
        <f t="shared" si="437"/>
        <v>-101.79730121747389</v>
      </c>
      <c r="CA41" s="7">
        <f t="shared" ref="CA41:CB41" si="438">IF(OR(CA40="",CA37=""),"",CA37-CA40)</f>
        <v>-90.756764514786937</v>
      </c>
      <c r="CB41" s="7">
        <f t="shared" si="438"/>
        <v>-103.27378869469339</v>
      </c>
      <c r="CC41" s="7">
        <f t="shared" ref="CC41:CD41" si="439">IF(OR(CC40="",CC37=""),"",CC37-CC40)</f>
        <v>-124.65557080347389</v>
      </c>
      <c r="CD41" s="7">
        <f t="shared" si="439"/>
        <v>-128.73691549809973</v>
      </c>
      <c r="CE41" s="7">
        <f t="shared" ref="CE41" si="440">IF(OR(CE40="",CE37=""),"",CE37-CE40)</f>
        <v>-115.97458140867957</v>
      </c>
      <c r="CF41" s="126">
        <f>IF(OR(CF40="",CF37=""),"",CF37-CF40)+CF36</f>
        <v>-1512.095231775088</v>
      </c>
      <c r="CG41" s="7">
        <f t="shared" ref="CG41:CL41" si="441">IF(OR(CG40="",CG37=""),"",CG37-CG40)</f>
        <v>-94.519766373832681</v>
      </c>
      <c r="CH41" s="7">
        <f t="shared" si="441"/>
        <v>-131.49247094384464</v>
      </c>
      <c r="CI41" s="7">
        <f t="shared" si="441"/>
        <v>-151.9014622183613</v>
      </c>
      <c r="CJ41" s="7">
        <f t="shared" si="441"/>
        <v>0.58060892786721752</v>
      </c>
      <c r="CK41" s="7">
        <f t="shared" si="441"/>
        <v>88.809355159099141</v>
      </c>
      <c r="CL41" s="7">
        <f t="shared" si="441"/>
        <v>76.722351189609071</v>
      </c>
      <c r="CM41" s="7">
        <f t="shared" ref="CM41:CN41" si="442">IF(OR(CM40="",CM37=""),"",CM37-CM40)</f>
        <v>60.046285773981708</v>
      </c>
      <c r="CN41" s="7">
        <f t="shared" si="442"/>
        <v>71.085505918632407</v>
      </c>
      <c r="CO41" s="7">
        <f t="shared" ref="CO41:CP41" si="443">IF(OR(CO40="",CO37=""),"",CO37-CO40)</f>
        <v>89.948506855565938</v>
      </c>
      <c r="CP41" s="7">
        <f t="shared" si="443"/>
        <v>93.13007152623959</v>
      </c>
      <c r="CQ41" s="7">
        <f t="shared" ref="CQ41:CR41" si="444">IF(OR(CQ40="",CQ37=""),"",CQ37-CQ40)</f>
        <v>88.610573459653097</v>
      </c>
      <c r="CR41" s="7">
        <f t="shared" si="444"/>
        <v>72.711867858020014</v>
      </c>
      <c r="CS41" s="7">
        <f t="shared" ref="CS41:CT41" si="445">IF(OR(CS40="",CS37=""),"",CS37-CS40)</f>
        <v>69.868090348727492</v>
      </c>
      <c r="CT41" s="7">
        <f t="shared" si="445"/>
        <v>96.995712685701619</v>
      </c>
      <c r="CU41" s="7">
        <f t="shared" ref="CU41" si="446">IF(OR(CU40="",CU37=""),"",CU37-CU40)</f>
        <v>126.76455617963711</v>
      </c>
    </row>
    <row r="42" spans="1:99" s="4" customFormat="1" hidden="1" outlineLevel="1" x14ac:dyDescent="0.25">
      <c r="A42" s="292"/>
      <c r="B42" s="17" t="s">
        <v>8</v>
      </c>
      <c r="C42" s="28"/>
      <c r="D42" s="28"/>
      <c r="E42" s="7">
        <f t="shared" ref="E42:N42" si="447">IF(OR(E9="",E41=""),"",(E41+D44)*E9/12)</f>
        <v>0</v>
      </c>
      <c r="F42" s="7">
        <f t="shared" si="447"/>
        <v>0</v>
      </c>
      <c r="G42" s="7">
        <f t="shared" si="447"/>
        <v>-0.5393094052666666</v>
      </c>
      <c r="H42" s="7">
        <f t="shared" si="447"/>
        <v>-4.7538619098044377</v>
      </c>
      <c r="I42" s="7">
        <f t="shared" si="447"/>
        <v>-5.5119961919362872</v>
      </c>
      <c r="J42" s="7">
        <f t="shared" si="447"/>
        <v>-6.7446125522088956</v>
      </c>
      <c r="K42" s="7">
        <f t="shared" si="447"/>
        <v>-1.3627163896022407</v>
      </c>
      <c r="L42" s="7">
        <f t="shared" si="447"/>
        <v>5.9873784623920256</v>
      </c>
      <c r="M42" s="7">
        <f t="shared" si="447"/>
        <v>16.877210385758971</v>
      </c>
      <c r="N42" s="7">
        <f t="shared" si="447"/>
        <v>41.17234852035925</v>
      </c>
      <c r="O42" s="8">
        <f>IF(OR(O9="",O41=""),"",(O39+O41+N44)*O9/12)</f>
        <v>53.721866077378365</v>
      </c>
      <c r="P42" s="8">
        <f>IF(OR(P9="",P41=""),"",(P39+P41+O44+P36)*P9/12)</f>
        <v>478.69175477452603</v>
      </c>
      <c r="Q42" s="8">
        <f t="shared" ref="Q42:AM42" si="448">IF(OR(Q9="",Q41=""),"",(Q39+Q41+P44)*Q9/12)</f>
        <v>539.61008778516134</v>
      </c>
      <c r="R42" s="8">
        <f t="shared" si="448"/>
        <v>452.14784409044137</v>
      </c>
      <c r="S42" s="8">
        <f t="shared" si="448"/>
        <v>387.29160400475143</v>
      </c>
      <c r="T42" s="8">
        <f t="shared" si="448"/>
        <v>418.21542721847476</v>
      </c>
      <c r="U42" s="8">
        <f t="shared" si="448"/>
        <v>387.83629844195974</v>
      </c>
      <c r="V42" s="8">
        <f t="shared" si="448"/>
        <v>374.1400605921101</v>
      </c>
      <c r="W42" s="8">
        <f t="shared" si="448"/>
        <v>377.3976007996996</v>
      </c>
      <c r="X42" s="8">
        <f t="shared" si="448"/>
        <v>353.09439018686572</v>
      </c>
      <c r="Y42" s="8">
        <f t="shared" si="448"/>
        <v>310.0531538233613</v>
      </c>
      <c r="Z42" s="8">
        <f t="shared" si="448"/>
        <v>370.24863184733528</v>
      </c>
      <c r="AA42" s="8">
        <f t="shared" si="448"/>
        <v>297.75036265972221</v>
      </c>
      <c r="AB42" s="8">
        <f t="shared" si="448"/>
        <v>3.9406562977996047</v>
      </c>
      <c r="AC42" s="8">
        <f t="shared" si="448"/>
        <v>-224.44909216069141</v>
      </c>
      <c r="AD42" s="8">
        <f t="shared" si="448"/>
        <v>-454.30115981031298</v>
      </c>
      <c r="AE42" s="8">
        <f t="shared" si="448"/>
        <v>-440.76120617858192</v>
      </c>
      <c r="AF42" s="8">
        <f t="shared" si="448"/>
        <v>-342.63517834923005</v>
      </c>
      <c r="AG42" s="8">
        <f t="shared" si="448"/>
        <v>-60.758323521348053</v>
      </c>
      <c r="AH42" s="8">
        <f t="shared" si="448"/>
        <v>157.9706483243875</v>
      </c>
      <c r="AI42" s="8">
        <f t="shared" si="448"/>
        <v>463.7087116264438</v>
      </c>
      <c r="AJ42" s="8">
        <f t="shared" si="448"/>
        <v>593.43289154580566</v>
      </c>
      <c r="AK42" s="8">
        <f t="shared" si="448"/>
        <v>712.14839637795876</v>
      </c>
      <c r="AL42" s="8">
        <f t="shared" si="448"/>
        <v>839.43109276045823</v>
      </c>
      <c r="AM42" s="8">
        <f t="shared" si="448"/>
        <v>889.26436458247372</v>
      </c>
      <c r="AN42" s="8">
        <f t="shared" ref="AN42" si="449">IF(OR(AN9="",AN41=""),"",(AN39+AN41+AM44)*AN9/12)</f>
        <v>-30.116302752414814</v>
      </c>
      <c r="AO42" s="8">
        <f t="shared" ref="AO42" si="450">IF(OR(AO9="",AO41=""),"",(AO39+AO41+AN44)*AO9/12)</f>
        <v>-573.5571385907167</v>
      </c>
      <c r="AP42" s="8">
        <f t="shared" ref="AP42" si="451">IF(OR(AP9="",AP41=""),"",(AP39+AP41+AO44)*AP9/12)</f>
        <v>-785.1692767648583</v>
      </c>
      <c r="AQ42" s="8">
        <f t="shared" ref="AQ42" si="452">IF(OR(AQ9="",AQ41=""),"",(AQ39+AQ41+AP44)*AQ9/12)</f>
        <v>-971.63891160630089</v>
      </c>
      <c r="AR42" s="8">
        <f t="shared" ref="AR42" si="453">IF(OR(AR9="",AR41=""),"",(AR39+AR41+AQ44)*AR9/12)</f>
        <v>-699.42520004406572</v>
      </c>
      <c r="AS42" s="8">
        <f t="shared" ref="AS42" si="454">IF(OR(AS9="",AS41=""),"",(AS39+AS41+AR44)*AS9/12)</f>
        <v>-187.74380263959725</v>
      </c>
      <c r="AT42" s="8">
        <f t="shared" ref="AT42" si="455">IF(OR(AT9="",AT41=""),"",(AT39+AT41+AS44)*AT9/12)</f>
        <v>-90.918466029773697</v>
      </c>
      <c r="AU42" s="8">
        <f t="shared" ref="AU42" si="456">IF(OR(AU9="",AU41=""),"",(AU39+AU41+AT44)*AU9/12)</f>
        <v>89.249677878880377</v>
      </c>
      <c r="AV42" s="8">
        <f t="shared" ref="AV42" si="457">IF(OR(AV9="",AV41=""),"",(AV39+AV41+AU44)*AV9/12)</f>
        <v>-59.175137378642411</v>
      </c>
      <c r="AW42" s="8">
        <f t="shared" ref="AW42" si="458">IF(OR(AW9="",AW41=""),"",(AW39+AW41+AV44)*AW9/12)</f>
        <v>-195.00097790125935</v>
      </c>
      <c r="AX42" s="8">
        <f t="shared" ref="AX42" si="459">IF(OR(AX9="",AX41=""),"",(AX39+AX41+AW44)*AX9/12)</f>
        <v>-611.47828436867201</v>
      </c>
      <c r="AY42" s="8">
        <f t="shared" ref="AY42" si="460">IF(OR(AY9="",AY41=""),"",(AY39+AY41+AX44)*AY9/12)</f>
        <v>-959.06445756177061</v>
      </c>
      <c r="AZ42" s="8">
        <f t="shared" ref="AZ42" si="461">IF(OR(AZ9="",AZ41=""),"",(AZ39+AZ41+AY44)*AZ9/12)</f>
        <v>-1016.6300162275015</v>
      </c>
      <c r="BA42" s="8">
        <f t="shared" ref="BA42" si="462">IF(OR(BA9="",BA41=""),"",(BA39+BA41+AZ44)*BA9/12)</f>
        <v>-592.06872207218237</v>
      </c>
      <c r="BB42" s="8">
        <f t="shared" ref="BB42" si="463">IF(OR(BB9="",BB41=""),"",(BB39+BB41+BA44)*BB9/12)</f>
        <v>-345.35129076763513</v>
      </c>
      <c r="BC42" s="8">
        <f t="shared" ref="BC42" si="464">IF(OR(BC9="",BC41=""),"",(BC39+BC41+BB44)*BC9/12)</f>
        <v>-53.912013038185101</v>
      </c>
      <c r="BD42" s="8">
        <f t="shared" ref="BD42" si="465">IF(OR(BD9="",BD41=""),"",(BD39+BD41+BC44)*BD9/12)</f>
        <v>-60.212386137477118</v>
      </c>
      <c r="BE42" s="8">
        <f t="shared" ref="BE42" si="466">IF(OR(BE9="",BE41=""),"",(BE39+BE41+BD44)*BE9/12)</f>
        <v>-107.67894982065157</v>
      </c>
      <c r="BF42" s="8">
        <f t="shared" ref="BF42" si="467">IF(OR(BF9="",BF41=""),"",(BF39+BF41+BE44)*BF9/12)</f>
        <v>-86.265128885081481</v>
      </c>
      <c r="BG42" s="8">
        <f t="shared" ref="BG42" si="468">IF(OR(BG9="",BG41=""),"",(BG39+BG41+BF44)*BG9/12)</f>
        <v>-87.157885700694521</v>
      </c>
      <c r="BH42" s="8">
        <f t="shared" ref="BH42" si="469">IF(OR(BH9="",BH41=""),"",(BH39+BH41+BG44)*BH9/12)</f>
        <v>-152.33080771503441</v>
      </c>
      <c r="BI42" s="8">
        <f t="shared" ref="BI42" si="470">IF(OR(BI9="",BI41=""),"",(BI39+BI41+BH44)*BI9/12)</f>
        <v>-206.97069129837439</v>
      </c>
      <c r="BJ42" s="8">
        <f t="shared" ref="BJ42:CH42" si="471">IF(OR(BJ9="",BJ41=""),"",(BJ39+BJ41+BI44)*BJ9/12)</f>
        <v>-252.53013484700446</v>
      </c>
      <c r="BK42" s="8">
        <f t="shared" si="471"/>
        <v>-199.34034932726351</v>
      </c>
      <c r="BL42" s="8">
        <f t="shared" si="471"/>
        <v>-224.17815469412071</v>
      </c>
      <c r="BM42" s="8">
        <f t="shared" si="471"/>
        <v>-187.98475113686871</v>
      </c>
      <c r="BN42" s="8">
        <f t="shared" si="471"/>
        <v>-182.65432905234135</v>
      </c>
      <c r="BO42" s="8">
        <f t="shared" si="471"/>
        <v>-166.77069230383159</v>
      </c>
      <c r="BP42" s="8">
        <f t="shared" si="471"/>
        <v>-133.60232045723757</v>
      </c>
      <c r="BQ42" s="8">
        <f t="shared" si="471"/>
        <v>-79.090355427234613</v>
      </c>
      <c r="BR42" s="8">
        <f t="shared" si="471"/>
        <v>-96.450446471347718</v>
      </c>
      <c r="BS42" s="8">
        <f t="shared" si="471"/>
        <v>-72.137120768288469</v>
      </c>
      <c r="BT42" s="8">
        <f t="shared" si="471"/>
        <v>-43.936502451226438</v>
      </c>
      <c r="BU42" s="8">
        <f t="shared" si="471"/>
        <v>-33.896799027812584</v>
      </c>
      <c r="BV42" s="8">
        <f t="shared" si="471"/>
        <v>-36.374195914962691</v>
      </c>
      <c r="BW42" s="8">
        <f t="shared" si="471"/>
        <v>-10.206485686119455</v>
      </c>
      <c r="BX42" s="8">
        <f t="shared" si="471"/>
        <v>4.6633211652036026</v>
      </c>
      <c r="BY42" s="8">
        <f t="shared" si="471"/>
        <v>13.032095954644355</v>
      </c>
      <c r="BZ42" s="8">
        <f t="shared" si="471"/>
        <v>13.091305131004477</v>
      </c>
      <c r="CA42" s="8">
        <f t="shared" si="471"/>
        <v>23.218272374650894</v>
      </c>
      <c r="CB42" s="8">
        <f t="shared" si="471"/>
        <v>40.789731656348017</v>
      </c>
      <c r="CC42" s="8">
        <f t="shared" si="471"/>
        <v>63.590408621350605</v>
      </c>
      <c r="CD42" s="8">
        <f t="shared" si="471"/>
        <v>88.648398406388353</v>
      </c>
      <c r="CE42" s="8">
        <f t="shared" si="471"/>
        <v>107.76376676305294</v>
      </c>
      <c r="CF42" s="8">
        <f t="shared" si="471"/>
        <v>137.28760163302044</v>
      </c>
      <c r="CG42" s="8">
        <f t="shared" si="471"/>
        <v>181.22817604087831</v>
      </c>
      <c r="CH42" s="8">
        <f t="shared" si="471"/>
        <v>210.52714946748316</v>
      </c>
      <c r="CI42" s="227">
        <f>IF(OR(CI9="",CI41=""),"",(CI39+CI41+CH44+CI36)*CI9/12)+CI36</f>
        <v>313.4673769339787</v>
      </c>
      <c r="CJ42" s="227">
        <f t="shared" ref="CJ42:CU42" si="472">IF(OR(CJ9="",CJ41=""),"",(CJ39+CJ41+CI44)*CJ9/12)</f>
        <v>241.01047839256373</v>
      </c>
      <c r="CK42" s="227">
        <f t="shared" si="472"/>
        <v>230.23461987316185</v>
      </c>
      <c r="CL42" s="227">
        <f t="shared" si="472"/>
        <v>225.08594408960838</v>
      </c>
      <c r="CM42" s="227">
        <f t="shared" si="472"/>
        <v>212.36158566572666</v>
      </c>
      <c r="CN42" s="227">
        <f t="shared" si="472"/>
        <v>194.98685850970682</v>
      </c>
      <c r="CO42" s="227">
        <f t="shared" si="472"/>
        <v>173.2281904274686</v>
      </c>
      <c r="CP42" s="227">
        <f t="shared" si="472"/>
        <v>151.13831952147396</v>
      </c>
      <c r="CQ42" s="227">
        <f t="shared" si="472"/>
        <v>126.54695383047071</v>
      </c>
      <c r="CR42" s="227">
        <f t="shared" si="472"/>
        <v>105.91034170554202</v>
      </c>
      <c r="CS42" s="227">
        <f t="shared" si="472"/>
        <v>87.963547548620099</v>
      </c>
      <c r="CT42" s="227">
        <f t="shared" si="472"/>
        <v>66.12538796894556</v>
      </c>
      <c r="CU42" s="227">
        <f t="shared" si="472"/>
        <v>38.602035384502472</v>
      </c>
    </row>
    <row r="43" spans="1:99" s="4" customFormat="1" hidden="1" outlineLevel="1" x14ac:dyDescent="0.25">
      <c r="A43" s="292"/>
      <c r="B43" s="16" t="s">
        <v>14</v>
      </c>
      <c r="C43" s="24"/>
      <c r="D43" s="24"/>
      <c r="E43" s="7">
        <f t="shared" ref="E43:N43" si="473">IF(OR(E41="",E42=""),"",E41+E42)</f>
        <v>0</v>
      </c>
      <c r="F43" s="7">
        <f t="shared" si="473"/>
        <v>0</v>
      </c>
      <c r="G43" s="7">
        <f t="shared" si="473"/>
        <v>-856.81930940526661</v>
      </c>
      <c r="H43" s="7">
        <f t="shared" si="473"/>
        <v>-8256.0838619098067</v>
      </c>
      <c r="I43" s="7">
        <f t="shared" si="473"/>
        <v>-1407.6219961919332</v>
      </c>
      <c r="J43" s="7">
        <f t="shared" si="473"/>
        <v>-72.009373776894464</v>
      </c>
      <c r="K43" s="7">
        <f t="shared" si="473"/>
        <v>8426.5829585314314</v>
      </c>
      <c r="L43" s="7">
        <f t="shared" si="473"/>
        <v>11623.580245230845</v>
      </c>
      <c r="M43" s="7">
        <f t="shared" si="473"/>
        <v>17062.925811922414</v>
      </c>
      <c r="N43" s="7">
        <f t="shared" si="473"/>
        <v>24868.16810715861</v>
      </c>
      <c r="O43" s="7">
        <f>IF(OR(O41="",O42=""),"",O41+O42)</f>
        <v>20294.154054355815</v>
      </c>
      <c r="P43" s="7">
        <f t="shared" ref="P43:AM43" si="474">IF(OR(P41="",P42=""),"",P41+P42)</f>
        <v>-43665.736515959179</v>
      </c>
      <c r="Q43" s="7">
        <f t="shared" si="474"/>
        <v>-23924.018749957195</v>
      </c>
      <c r="R43" s="7">
        <f t="shared" si="474"/>
        <v>-42897.952186011236</v>
      </c>
      <c r="S43" s="7">
        <f t="shared" si="474"/>
        <v>-19779.27285124041</v>
      </c>
      <c r="T43" s="7">
        <f t="shared" si="474"/>
        <v>8822.1575916106849</v>
      </c>
      <c r="U43" s="7">
        <f t="shared" si="474"/>
        <v>44488.076370825154</v>
      </c>
      <c r="V43" s="7">
        <f t="shared" si="474"/>
        <v>38358.221390761028</v>
      </c>
      <c r="W43" s="7">
        <f t="shared" si="474"/>
        <v>66307.300700340144</v>
      </c>
      <c r="X43" s="7">
        <f t="shared" si="474"/>
        <v>35807.811583702445</v>
      </c>
      <c r="Y43" s="7">
        <f t="shared" si="474"/>
        <v>16259.55262703396</v>
      </c>
      <c r="Z43" s="7">
        <f t="shared" si="474"/>
        <v>48469.517724193036</v>
      </c>
      <c r="AA43" s="7">
        <f t="shared" si="474"/>
        <v>38285.696766010886</v>
      </c>
      <c r="AB43" s="7">
        <f t="shared" si="474"/>
        <v>-183082.14669418681</v>
      </c>
      <c r="AC43" s="7">
        <f t="shared" si="474"/>
        <v>-113867.06867050687</v>
      </c>
      <c r="AD43" s="7">
        <f t="shared" si="474"/>
        <v>-85184.078222707336</v>
      </c>
      <c r="AE43" s="7">
        <f t="shared" si="474"/>
        <v>13259.869127348526</v>
      </c>
      <c r="AF43" s="7">
        <f t="shared" si="474"/>
        <v>82828.910182785927</v>
      </c>
      <c r="AG43" s="7">
        <f t="shared" si="474"/>
        <v>174471.14235603856</v>
      </c>
      <c r="AH43" s="7">
        <f t="shared" si="474"/>
        <v>136050.44730489238</v>
      </c>
      <c r="AI43" s="7">
        <f t="shared" si="474"/>
        <v>180561.25505457303</v>
      </c>
      <c r="AJ43" s="7">
        <f t="shared" si="474"/>
        <v>71118.290597121741</v>
      </c>
      <c r="AK43" s="7">
        <f t="shared" si="474"/>
        <v>66634.346636763847</v>
      </c>
      <c r="AL43" s="7">
        <f t="shared" si="474"/>
        <v>49571.927515906274</v>
      </c>
      <c r="AM43" s="7">
        <f t="shared" si="474"/>
        <v>31448.244152485204</v>
      </c>
      <c r="AN43" s="7">
        <f t="shared" ref="AN43:BJ43" si="475">IF(OR(AN41="",AN42=""),"",AN41+AN42)</f>
        <v>-344309.2280301468</v>
      </c>
      <c r="AO43" s="7">
        <f t="shared" si="475"/>
        <v>-195916.91529344884</v>
      </c>
      <c r="AP43" s="7">
        <f t="shared" si="475"/>
        <v>-75792.392442247903</v>
      </c>
      <c r="AQ43" s="7">
        <f t="shared" si="475"/>
        <v>-52124.346132875326</v>
      </c>
      <c r="AR43" s="7">
        <f t="shared" si="475"/>
        <v>153658.2886400196</v>
      </c>
      <c r="AS43" s="7">
        <f t="shared" si="475"/>
        <v>269989.13800539827</v>
      </c>
      <c r="AT43" s="7">
        <f t="shared" si="475"/>
        <v>81199.678619003069</v>
      </c>
      <c r="AU43" s="7">
        <f t="shared" si="475"/>
        <v>134168.97475706969</v>
      </c>
      <c r="AV43" s="7">
        <f t="shared" si="475"/>
        <v>-46656.506906474839</v>
      </c>
      <c r="AW43" s="7">
        <f t="shared" si="475"/>
        <v>-63685.749546112478</v>
      </c>
      <c r="AX43" s="7">
        <f t="shared" si="475"/>
        <v>-217428.06222105454</v>
      </c>
      <c r="AY43" s="7">
        <f t="shared" si="475"/>
        <v>-186704.0329601487</v>
      </c>
      <c r="AZ43" s="7">
        <f t="shared" si="475"/>
        <v>-326481.77020249591</v>
      </c>
      <c r="BA43" s="7">
        <f t="shared" si="475"/>
        <v>246173.50421903431</v>
      </c>
      <c r="BB43" s="7">
        <f t="shared" si="475"/>
        <v>-105462.53327877862</v>
      </c>
      <c r="BC43" s="7">
        <f t="shared" si="475"/>
        <v>-96047.504899877415</v>
      </c>
      <c r="BD43" s="7">
        <f t="shared" si="475"/>
        <v>-119774.60210667782</v>
      </c>
      <c r="BE43" s="7">
        <f t="shared" si="475"/>
        <v>-149311.97103394024</v>
      </c>
      <c r="BF43" s="7">
        <f t="shared" si="475"/>
        <v>-146944.0947118339</v>
      </c>
      <c r="BG43" s="7">
        <f t="shared" si="475"/>
        <v>-139580.38322632448</v>
      </c>
      <c r="BH43" s="7">
        <f t="shared" si="475"/>
        <v>-113410.59344126756</v>
      </c>
      <c r="BI43" s="7">
        <f t="shared" si="475"/>
        <v>-113237.11941537797</v>
      </c>
      <c r="BJ43" s="7">
        <f t="shared" si="475"/>
        <v>-130602.04715982958</v>
      </c>
      <c r="BK43" s="7">
        <f t="shared" ref="BK43:BL43" si="476">IF(OR(BK41="",BK42=""),"",BK41+BK42)</f>
        <v>-155576.00127613393</v>
      </c>
      <c r="BL43" s="7">
        <f t="shared" si="476"/>
        <v>-396.16437849274996</v>
      </c>
      <c r="BM43" s="7">
        <f t="shared" ref="BM43:BN43" si="477">IF(OR(BM41="",BM42=""),"",BM41+BM42)</f>
        <v>-1317.2443451146653</v>
      </c>
      <c r="BN43" s="7">
        <f t="shared" si="477"/>
        <v>-722.95438702988122</v>
      </c>
      <c r="BO43" s="7">
        <f t="shared" ref="BO43:BP43" si="478">IF(OR(BO41="",BO42=""),"",BO41+BO42)</f>
        <v>-321.711050565162</v>
      </c>
      <c r="BP43" s="7">
        <f t="shared" si="478"/>
        <v>612.50862714364848</v>
      </c>
      <c r="BQ43" s="7">
        <f t="shared" ref="BQ43:BR43" si="479">IF(OR(BQ41="",BQ42=""),"",BQ41+BQ42)</f>
        <v>1015.6577385435111</v>
      </c>
      <c r="BR43" s="7">
        <f t="shared" si="479"/>
        <v>1298.4360278361914</v>
      </c>
      <c r="BS43" s="7">
        <f t="shared" ref="BS43:BT43" si="480">IF(OR(BS41="",BS42=""),"",BS41+BS42)</f>
        <v>671.53720705711135</v>
      </c>
      <c r="BT43" s="7">
        <f t="shared" si="480"/>
        <v>-11.576602377801642</v>
      </c>
      <c r="BU43" s="7">
        <f t="shared" ref="BU43:BV43" si="481">IF(OR(BU41="",BU42=""),"",BU41+BU42)</f>
        <v>-242.50889937081425</v>
      </c>
      <c r="BV43" s="7">
        <f t="shared" si="481"/>
        <v>-436.91428608144611</v>
      </c>
      <c r="BW43" s="7">
        <f t="shared" ref="BW43:BX43" si="482">IF(OR(BW41="",BW42=""),"",BW41+BW42)</f>
        <v>-716.64694418082365</v>
      </c>
      <c r="BX43" s="7">
        <f t="shared" si="482"/>
        <v>-1525.9451530127014</v>
      </c>
      <c r="BY43" s="7">
        <f t="shared" ref="BY43:BZ43" si="483">IF(OR(BY41="",BY42=""),"",BY41+BY42)</f>
        <v>-116.0217407622076</v>
      </c>
      <c r="BZ43" s="7">
        <f t="shared" si="483"/>
        <v>-88.705996086469412</v>
      </c>
      <c r="CA43" s="7">
        <f t="shared" ref="CA43:CB43" si="484">IF(OR(CA41="",CA42=""),"",CA41+CA42)</f>
        <v>-67.538492140136043</v>
      </c>
      <c r="CB43" s="7">
        <f t="shared" si="484"/>
        <v>-62.484057038345377</v>
      </c>
      <c r="CC43" s="7">
        <f t="shared" ref="CC43:CD43" si="485">IF(OR(CC41="",CC42=""),"",CC41+CC42)</f>
        <v>-61.065162182123288</v>
      </c>
      <c r="CD43" s="7">
        <f t="shared" si="485"/>
        <v>-40.088517091711381</v>
      </c>
      <c r="CE43" s="7">
        <f t="shared" ref="CE43:CF43" si="486">IF(OR(CE41="",CE42=""),"",CE41+CE42)</f>
        <v>-8.2108146456266269</v>
      </c>
      <c r="CF43" s="7">
        <f t="shared" si="486"/>
        <v>-1374.8076301420676</v>
      </c>
      <c r="CG43" s="7">
        <f t="shared" ref="CG43:CH43" si="487">IF(OR(CG41="",CG42=""),"",CG41+CG42)</f>
        <v>86.708409667045629</v>
      </c>
      <c r="CH43" s="7">
        <f t="shared" si="487"/>
        <v>79.034678523638519</v>
      </c>
      <c r="CI43" s="7">
        <f t="shared" ref="CI43:CJ43" si="488">IF(OR(CI41="",CI42=""),"",CI41+CI42)</f>
        <v>161.5659147156174</v>
      </c>
      <c r="CJ43" s="7">
        <f t="shared" si="488"/>
        <v>241.59108732043094</v>
      </c>
      <c r="CK43" s="7">
        <f t="shared" ref="CK43:CL43" si="489">IF(OR(CK41="",CK42=""),"",CK41+CK42)</f>
        <v>319.04397503226096</v>
      </c>
      <c r="CL43" s="7">
        <f t="shared" si="489"/>
        <v>301.80829527921742</v>
      </c>
      <c r="CM43" s="7">
        <f t="shared" ref="CM43:CN43" si="490">IF(OR(CM41="",CM42=""),"",CM41+CM42)</f>
        <v>272.4078714397084</v>
      </c>
      <c r="CN43" s="7">
        <f t="shared" si="490"/>
        <v>266.07236442833926</v>
      </c>
      <c r="CO43" s="7">
        <f t="shared" ref="CO43:CP43" si="491">IF(OR(CO41="",CO42=""),"",CO41+CO42)</f>
        <v>263.17669728303451</v>
      </c>
      <c r="CP43" s="7">
        <f t="shared" si="491"/>
        <v>244.26839104771355</v>
      </c>
      <c r="CQ43" s="7">
        <f t="shared" ref="CQ43:CR43" si="492">IF(OR(CQ41="",CQ42=""),"",CQ41+CQ42)</f>
        <v>215.15752729012382</v>
      </c>
      <c r="CR43" s="7">
        <f t="shared" si="492"/>
        <v>178.62220956356202</v>
      </c>
      <c r="CS43" s="7">
        <f t="shared" ref="CS43:CT43" si="493">IF(OR(CS41="",CS42=""),"",CS41+CS42)</f>
        <v>157.8316378973476</v>
      </c>
      <c r="CT43" s="7">
        <f t="shared" si="493"/>
        <v>163.12110065464719</v>
      </c>
      <c r="CU43" s="7">
        <f t="shared" ref="CU43" si="494">IF(OR(CU41="",CU42=""),"",CU41+CU42)</f>
        <v>165.36659156413958</v>
      </c>
    </row>
    <row r="44" spans="1:99" s="4" customFormat="1" hidden="1" outlineLevel="1" x14ac:dyDescent="0.25">
      <c r="A44" s="292"/>
      <c r="B44" s="18" t="s">
        <v>16</v>
      </c>
      <c r="C44" s="26"/>
      <c r="D44" s="26"/>
      <c r="E44" s="7">
        <f>E43</f>
        <v>0</v>
      </c>
      <c r="F44" s="7">
        <f>IF(OR(F43="",E44=""),"",F43+E44)</f>
        <v>0</v>
      </c>
      <c r="G44" s="7">
        <f t="shared" ref="G44:N44" si="495">IF(OR(G43="",F44=""),"",G43+F44)</f>
        <v>-856.81930940526661</v>
      </c>
      <c r="H44" s="7">
        <f t="shared" si="495"/>
        <v>-9112.9031713150725</v>
      </c>
      <c r="I44" s="7">
        <f t="shared" si="495"/>
        <v>-10520.525167507007</v>
      </c>
      <c r="J44" s="7">
        <f t="shared" si="495"/>
        <v>-10592.534541283901</v>
      </c>
      <c r="K44" s="7">
        <f t="shared" si="495"/>
        <v>-2165.9515827524701</v>
      </c>
      <c r="L44" s="7">
        <f t="shared" si="495"/>
        <v>9457.6286624783752</v>
      </c>
      <c r="M44" s="7">
        <f t="shared" si="495"/>
        <v>26520.554474400789</v>
      </c>
      <c r="N44" s="7">
        <f t="shared" si="495"/>
        <v>51388.722581559399</v>
      </c>
      <c r="O44" s="7">
        <f>IF(OR(O43="",N44=""),"",O43+O39+N44)</f>
        <v>71682.876635915221</v>
      </c>
      <c r="P44" s="7">
        <f>IF(OR(P43="",O44=""),"",P43+P39+O44+P36)</f>
        <v>638734.3647874759</v>
      </c>
      <c r="Q44" s="7">
        <f t="shared" ref="Q44" si="496">IF(OR(Q43="",P44=""),"",Q43+Q39+P44)</f>
        <v>563611.00603751873</v>
      </c>
      <c r="R44" s="7">
        <f t="shared" ref="R44" si="497">IF(OR(R43="",Q44=""),"",R43+R39+Q44)</f>
        <v>472258.59385150752</v>
      </c>
      <c r="S44" s="7">
        <f t="shared" ref="S44" si="498">IF(OR(S43="",R44=""),"",S43+S39+R44)</f>
        <v>404517.66100026714</v>
      </c>
      <c r="T44" s="7">
        <f t="shared" ref="T44" si="499">IF(OR(T43="",S44=""),"",T43+T39+S44)</f>
        <v>356346.2385918778</v>
      </c>
      <c r="U44" s="7">
        <f t="shared" ref="U44" si="500">IF(OR(U43="",T44=""),"",U43+U39+T44)</f>
        <v>334765.50496270298</v>
      </c>
      <c r="V44" s="7">
        <f t="shared" ref="V44" si="501">IF(OR(V43="",U44=""),"",V43+V39+U44)</f>
        <v>306424.18635346403</v>
      </c>
      <c r="W44" s="7">
        <f t="shared" ref="W44" si="502">IF(OR(W43="",V44=""),"",W43+W39+V44)</f>
        <v>313078.23705380416</v>
      </c>
      <c r="X44" s="7">
        <f t="shared" ref="X44" si="503">IF(OR(X43="",W44=""),"",X43+X39+W44)</f>
        <v>292401.96863750659</v>
      </c>
      <c r="Y44" s="7">
        <f t="shared" ref="Y44" si="504">IF(OR(Y43="",X44=""),"",Y43+Y39+X44)</f>
        <v>258173.94126454054</v>
      </c>
      <c r="Z44" s="7">
        <f t="shared" ref="Z44" si="505">IF(OR(Z43="",Y44=""),"",Z43+Z39+Y44)</f>
        <v>250885.09898873357</v>
      </c>
      <c r="AA44" s="7">
        <f t="shared" ref="AA44" si="506">IF(OR(AA43="",Z44=""),"",AA43+AA39+Z44)</f>
        <v>208589.31575474446</v>
      </c>
      <c r="AB44" s="7">
        <f t="shared" ref="AB44" si="507">IF(OR(AB43="",AA44=""),"",AB43+AB39+AA44)</f>
        <v>2591.4190605576441</v>
      </c>
      <c r="AC44" s="7">
        <f t="shared" ref="AC44" si="508">IF(OR(AC43="",AB44=""),"",AC43+AC39+AB44)</f>
        <v>-131356.86960994921</v>
      </c>
      <c r="AD44" s="7">
        <f t="shared" ref="AD44" si="509">IF(OR(AD43="",AC44=""),"",AD43+AD39+AC44)</f>
        <v>-236332.77783265655</v>
      </c>
      <c r="AE44" s="7">
        <f t="shared" ref="AE44" si="510">IF(OR(AE43="",AD44=""),"",AE43+AE39+AD44)</f>
        <v>-240987.71870530801</v>
      </c>
      <c r="AF44" s="7">
        <f t="shared" ref="AF44" si="511">IF(OR(AF43="",AE44=""),"",AF43+AF39+AE44)</f>
        <v>-180711.66852252209</v>
      </c>
      <c r="AG44" s="7">
        <f t="shared" ref="AG44" si="512">IF(OR(AG43="",AF44=""),"",AG43+AG39+AF44)</f>
        <v>-31123.70616648352</v>
      </c>
      <c r="AH44" s="7">
        <f t="shared" ref="AH44" si="513">IF(OR(AH43="",AG44=""),"",AH43+AH39+AG44)</f>
        <v>81675.571138408864</v>
      </c>
      <c r="AI44" s="7">
        <f t="shared" ref="AI44" si="514">IF(OR(AI43="",AH44=""),"",AI43+AI39+AH44)</f>
        <v>239390.08619298192</v>
      </c>
      <c r="AJ44" s="7">
        <f t="shared" ref="AJ44" si="515">IF(OR(AJ43="",AI44=""),"",AJ43+AJ39+AI44)</f>
        <v>290377.63679010363</v>
      </c>
      <c r="AK44" s="7">
        <f t="shared" ref="AK44" si="516">IF(OR(AK43="",AJ44=""),"",AK43+AK39+AJ44)</f>
        <v>338875.5234268675</v>
      </c>
      <c r="AL44" s="7">
        <f t="shared" ref="AL44" si="517">IF(OR(AL43="",AK44=""),"",AL43+AL39+AK44)</f>
        <v>366527.73094277375</v>
      </c>
      <c r="AM44" s="7">
        <f t="shared" ref="AM44" si="518">IF(OR(AM43="",AL44=""),"",AM43+AM39+AL44)</f>
        <v>372746.63509525894</v>
      </c>
      <c r="AN44" s="7">
        <f t="shared" ref="AN44" si="519">IF(OR(AN43="",AM44=""),"",AN43+AN39+AM44)</f>
        <v>-12753.562934887828</v>
      </c>
      <c r="AO44" s="7">
        <f t="shared" ref="AO44" si="520">IF(OR(AO43="",AN44=""),"",AO43+AO39+AN44)</f>
        <v>-247458.14822833665</v>
      </c>
      <c r="AP44" s="7">
        <f t="shared" ref="AP44" si="521">IF(OR(AP43="",AO44=""),"",AP43+AP39+AO44)</f>
        <v>-354694.32067058457</v>
      </c>
      <c r="AQ44" s="7">
        <f t="shared" ref="AQ44" si="522">IF(OR(AQ43="",AP44=""),"",AQ43+AQ39+AP44)</f>
        <v>-436462.66680345987</v>
      </c>
      <c r="AR44" s="7">
        <f t="shared" ref="AR44" si="523">IF(OR(AR43="",AQ44=""),"",AR43+AR39+AQ44)</f>
        <v>-317413.45816344029</v>
      </c>
      <c r="AS44" s="7">
        <f t="shared" ref="AS44" si="524">IF(OR(AS43="",AR44=""),"",AS43+AS39+AR44)</f>
        <v>-87010.070158042014</v>
      </c>
      <c r="AT44" s="7">
        <f t="shared" ref="AT44" si="525">IF(OR(AT43="",AS44=""),"",AT43+AT39+AS44)</f>
        <v>-46493.871539038948</v>
      </c>
      <c r="AU44" s="7">
        <f t="shared" ref="AU44" si="526">IF(OR(AU43="",AT44=""),"",AU43+AU39+AT44)</f>
        <v>48400.433218030747</v>
      </c>
      <c r="AV44" s="7">
        <f t="shared" ref="AV44" si="527">IF(OR(AV43="",AU44=""),"",AV43+AV39+AU44)</f>
        <v>-33650.683688444093</v>
      </c>
      <c r="AW44" s="7">
        <f t="shared" ref="AW44" si="528">IF(OR(AW43="",AV44=""),"",AW43+AW39+AV44)</f>
        <v>-129051.05323455657</v>
      </c>
      <c r="AX44" s="7">
        <f t="shared" ref="AX44" si="529">IF(OR(AX43="",AW44=""),"",AX43+AX39+AW44)</f>
        <v>-383743.43545561109</v>
      </c>
      <c r="AY44" s="7">
        <f t="shared" ref="AY44" si="530">IF(OR(AY43="",AX44=""),"",AY43+AY39+AX44)</f>
        <v>-610186.07841575984</v>
      </c>
      <c r="AZ44" s="7">
        <f t="shared" ref="AZ44" si="531">IF(OR(AZ43="",AY44=""),"",AZ43+AZ39+AY44)</f>
        <v>-677423.54861825577</v>
      </c>
      <c r="BA44" s="7">
        <f t="shared" ref="BA44" si="532">IF(OR(BA43="",AZ44=""),"",BA43+BA39+AZ44)</f>
        <v>-376788.97439922148</v>
      </c>
      <c r="BB44" s="7">
        <f t="shared" ref="BB44" si="533">IF(OR(BB43="",BA44=""),"",BB43+BB39+BA44)</f>
        <v>-441942.80767800007</v>
      </c>
      <c r="BC44" s="7">
        <f t="shared" ref="BC44" si="534">IF(OR(BC43="",BB44=""),"",BC43+BC39+BB44)</f>
        <v>-501300.67257787747</v>
      </c>
      <c r="BD44" s="7">
        <f t="shared" ref="BD44" si="535">IF(OR(BD43="",BC44=""),"",BD43+BD39+BC44)</f>
        <v>-575195.8346845553</v>
      </c>
      <c r="BE44" s="7">
        <f t="shared" ref="BE44" si="536">IF(OR(BE43="",BD44=""),"",BE43+BE39+BD44)</f>
        <v>-667322.06571849552</v>
      </c>
      <c r="BF44" s="7">
        <f t="shared" ref="BF44" si="537">IF(OR(BF43="",BE44=""),"",BF43+BF39+BE44)</f>
        <v>-757989.07043032942</v>
      </c>
      <c r="BG44" s="7">
        <f t="shared" ref="BG44" si="538">IF(OR(BG43="",BF44=""),"",BG43+BG39+BF44)</f>
        <v>-844122.33365665388</v>
      </c>
      <c r="BH44" s="7">
        <f t="shared" ref="BH44" si="539">IF(OR(BH43="",BG44=""),"",BH43+BH39+BG44)</f>
        <v>-914137.17709792149</v>
      </c>
      <c r="BI44" s="7">
        <f t="shared" ref="BI44" si="540">IF(OR(BI43="",BH44=""),"",BI43+BI39+BH44)</f>
        <v>-984048.25651329942</v>
      </c>
      <c r="BJ44" s="7">
        <f t="shared" ref="BJ44:BM44" si="541">IF(OR(BJ43="",BI44=""),"",BJ43+BJ39+BI44)</f>
        <v>-1064661.473673129</v>
      </c>
      <c r="BK44" s="7">
        <f t="shared" si="541"/>
        <v>-1160622.2549492628</v>
      </c>
      <c r="BL44" s="7">
        <f t="shared" si="541"/>
        <v>-1158682.7993277556</v>
      </c>
      <c r="BM44" s="7">
        <f t="shared" si="541"/>
        <v>-1055916.3436728702</v>
      </c>
      <c r="BN44" s="7">
        <f t="shared" ref="BN44:CU44" si="542">IF(OR(BN43="",BM44=""),"",BN43+BN39+BM44)</f>
        <v>-973806.82805990009</v>
      </c>
      <c r="BO44" s="7">
        <f t="shared" si="542"/>
        <v>-892497.64911046531</v>
      </c>
      <c r="BP44" s="7">
        <f t="shared" si="542"/>
        <v>-795152.84048332169</v>
      </c>
      <c r="BQ44" s="7">
        <f t="shared" si="542"/>
        <v>-680187.34274477814</v>
      </c>
      <c r="BR44" s="7">
        <f t="shared" si="542"/>
        <v>-564411.90671694197</v>
      </c>
      <c r="BS44" s="7">
        <f t="shared" si="542"/>
        <v>-448052.26950988488</v>
      </c>
      <c r="BT44" s="7">
        <f t="shared" si="542"/>
        <v>-351535.95611226268</v>
      </c>
      <c r="BU44" s="7">
        <f t="shared" si="542"/>
        <v>-265528.47501163348</v>
      </c>
      <c r="BV44" s="7">
        <f t="shared" si="542"/>
        <v>-167618.20929771493</v>
      </c>
      <c r="BW44" s="7">
        <f t="shared" si="542"/>
        <v>-52250.696241895756</v>
      </c>
      <c r="BX44" s="7">
        <f t="shared" si="542"/>
        <v>18919.668605091545</v>
      </c>
      <c r="BY44" s="7">
        <f t="shared" si="542"/>
        <v>22733.656864329336</v>
      </c>
      <c r="BZ44" s="7">
        <f t="shared" si="542"/>
        <v>26177.560868242865</v>
      </c>
      <c r="CA44" s="7">
        <f t="shared" si="542"/>
        <v>29360.672376102728</v>
      </c>
      <c r="CB44" s="7">
        <f t="shared" si="542"/>
        <v>32982.978319064379</v>
      </c>
      <c r="CC44" s="7">
        <f t="shared" si="542"/>
        <v>37166.163156882256</v>
      </c>
      <c r="CD44" s="7">
        <f t="shared" si="542"/>
        <v>41576.884639790544</v>
      </c>
      <c r="CE44" s="7">
        <f t="shared" si="542"/>
        <v>45614.573825144915</v>
      </c>
      <c r="CF44" s="7">
        <f t="shared" si="542"/>
        <v>47612.626195002849</v>
      </c>
      <c r="CG44" s="7">
        <f t="shared" si="542"/>
        <v>50920.574604669891</v>
      </c>
      <c r="CH44" s="7">
        <f t="shared" si="542"/>
        <v>54921.289283193531</v>
      </c>
      <c r="CI44" s="7">
        <f t="shared" si="542"/>
        <v>59597.28519790915</v>
      </c>
      <c r="CJ44" s="7">
        <f t="shared" si="542"/>
        <v>59897.746285229579</v>
      </c>
      <c r="CK44" s="7">
        <f t="shared" si="542"/>
        <v>55603.780260261839</v>
      </c>
      <c r="CL44" s="7">
        <f t="shared" si="542"/>
        <v>51685.838555541057</v>
      </c>
      <c r="CM44" s="7">
        <f t="shared" si="542"/>
        <v>48052.466426980762</v>
      </c>
      <c r="CN44" s="7">
        <f t="shared" si="542"/>
        <v>43566.988791409101</v>
      </c>
      <c r="CO44" s="7">
        <f t="shared" si="542"/>
        <v>38366.625488692138</v>
      </c>
      <c r="CP44" s="7">
        <f t="shared" si="542"/>
        <v>33004.443879739854</v>
      </c>
      <c r="CQ44" s="7">
        <f t="shared" si="542"/>
        <v>27561.57140702998</v>
      </c>
      <c r="CR44" s="7">
        <f t="shared" si="542"/>
        <v>23140.51361659354</v>
      </c>
      <c r="CS44" s="7">
        <f t="shared" si="542"/>
        <v>19079.535254490889</v>
      </c>
      <c r="CT44" s="7">
        <f t="shared" si="542"/>
        <v>14369.756355145537</v>
      </c>
      <c r="CU44" s="7">
        <f t="shared" si="542"/>
        <v>8651.4029467096771</v>
      </c>
    </row>
    <row r="45" spans="1:99" s="4" customFormat="1" ht="8.25" hidden="1" customHeight="1" outlineLevel="1" x14ac:dyDescent="0.25">
      <c r="A45" s="40"/>
      <c r="B45" s="11"/>
      <c r="C45" s="11"/>
      <c r="D45" s="11"/>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row>
    <row r="46" spans="1:99" s="4" customFormat="1" ht="15" hidden="1" customHeight="1" outlineLevel="1" x14ac:dyDescent="0.25">
      <c r="A46" s="292" t="s">
        <v>22</v>
      </c>
      <c r="B46" s="15"/>
      <c r="C46" s="30"/>
      <c r="D46" s="30"/>
      <c r="E46" s="7"/>
      <c r="F46" s="7"/>
      <c r="G46" s="7"/>
      <c r="H46" s="7"/>
      <c r="I46" s="7"/>
      <c r="J46" s="7"/>
      <c r="K46" s="7"/>
      <c r="L46" s="7"/>
      <c r="M46" s="7"/>
      <c r="N46" s="7"/>
      <c r="O46" s="7"/>
      <c r="P46" s="68">
        <v>905880.95458707912</v>
      </c>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126">
        <v>-2892.28773686762</v>
      </c>
      <c r="CG46" s="7"/>
      <c r="CH46" s="7"/>
      <c r="CI46" s="113">
        <f>'MEEIA 2 adjs'!EC53</f>
        <v>108.16251961473517</v>
      </c>
      <c r="CJ46" s="7"/>
      <c r="CK46" s="7"/>
      <c r="CL46" s="7"/>
      <c r="CM46" s="7"/>
      <c r="CN46" s="7"/>
      <c r="CO46" s="7"/>
      <c r="CP46" s="7"/>
      <c r="CQ46" s="7"/>
      <c r="CR46" s="7"/>
      <c r="CS46" s="7"/>
      <c r="CT46" s="7"/>
      <c r="CU46" s="7"/>
    </row>
    <row r="47" spans="1:99" s="2" customFormat="1" ht="15" hidden="1" customHeight="1" outlineLevel="1" x14ac:dyDescent="0.25">
      <c r="A47" s="292"/>
      <c r="B47" s="15" t="s">
        <v>28</v>
      </c>
      <c r="C47" s="30"/>
      <c r="D47" s="30"/>
      <c r="E47" s="20">
        <f>IF('M2 Allocations - TD'!D7="","",'M2 Allocations - TD'!D33)</f>
        <v>0</v>
      </c>
      <c r="F47" s="20">
        <f>IF('M2 Allocations - TD'!E7="","",'M2 Allocations - TD'!E33)</f>
        <v>0</v>
      </c>
      <c r="G47" s="20">
        <f>IF('M2 Allocations - TD'!F7="","",'M2 Allocations - TD'!F33)</f>
        <v>0</v>
      </c>
      <c r="H47" s="20">
        <f>IF('M2 Allocations - TD'!G7="","",'M2 Allocations - TD'!G33)</f>
        <v>6853.38</v>
      </c>
      <c r="I47" s="20">
        <f>IF('M2 Allocations - TD'!H7="","",'M2 Allocations - TD'!H33)</f>
        <v>24493.5</v>
      </c>
      <c r="J47" s="20">
        <f>IF('M2 Allocations - TD'!I7="","",'M2 Allocations - TD'!I33)</f>
        <v>33902.946879751129</v>
      </c>
      <c r="K47" s="20">
        <f>IF('M2 Allocations - TD'!J7="","",'M2 Allocations - TD'!J33)</f>
        <v>57130.941306139037</v>
      </c>
      <c r="L47" s="20">
        <f>IF('M2 Allocations - TD'!K7="","",'M2 Allocations - TD'!K33)</f>
        <v>48568.434840680449</v>
      </c>
      <c r="M47" s="20">
        <f>IF('M2 Allocations - TD'!L7="","",'M2 Allocations - TD'!L33)</f>
        <v>56402.832716238408</v>
      </c>
      <c r="N47" s="20">
        <f>IF('M2 Allocations - TD'!M7="","",'M2 Allocations - TD'!M33)</f>
        <v>76416.403445979842</v>
      </c>
      <c r="O47" s="20">
        <f>IF('M2 Allocations - TD'!N7="","",'M2 Allocations - TD'!N33)</f>
        <v>98464.472713338357</v>
      </c>
      <c r="P47" s="20">
        <f>IF('M2 Allocations - TD'!O7="","",'M2 Allocations - TD'!O33)</f>
        <v>92820.247439449406</v>
      </c>
      <c r="Q47" s="20">
        <f>IF('M2 Allocations - TD'!P7="","",'M2 Allocations - TD'!P33)</f>
        <v>115878.51859125202</v>
      </c>
      <c r="R47" s="20">
        <f>IF('M2 Allocations - TD'!Q7="","",'M2 Allocations - TD'!Q33)</f>
        <v>64178.344243350926</v>
      </c>
      <c r="S47" s="20">
        <f>IF('M2 Allocations - TD'!R7="","",'M2 Allocations - TD'!R33)</f>
        <v>102867.21859456625</v>
      </c>
      <c r="T47" s="20">
        <f>IF('M2 Allocations - TD'!S7="","",'M2 Allocations - TD'!S33)</f>
        <v>225026.10782354834</v>
      </c>
      <c r="U47" s="20">
        <f>IF('M2 Allocations - TD'!T7="","",'M2 Allocations - TD'!T33)</f>
        <v>332206.05000000005</v>
      </c>
      <c r="V47" s="20">
        <f>IF('M2 Allocations - TD'!U7="","",'M2 Allocations - TD'!U33)</f>
        <v>326565.43828407576</v>
      </c>
      <c r="W47" s="20">
        <f>IF('M2 Allocations - TD'!V7="","",'M2 Allocations - TD'!V33)</f>
        <v>357152.1332604558</v>
      </c>
      <c r="X47" s="20">
        <f>IF('M2 Allocations - TD'!W7="","",'M2 Allocations - TD'!W33)</f>
        <v>233165.34998028661</v>
      </c>
      <c r="Y47" s="20">
        <f>IF('M2 Allocations - TD'!X7="","",'M2 Allocations - TD'!X33)</f>
        <v>242735.19909115109</v>
      </c>
      <c r="Z47" s="20">
        <f>IF('M2 Allocations - TD'!Y7="","",'M2 Allocations - TD'!Y33)</f>
        <v>270260.8911173091</v>
      </c>
      <c r="AA47" s="20">
        <f>IF('M2 Allocations - TD'!Z7="","",'M2 Allocations - TD'!Z33)</f>
        <v>318931.98735694966</v>
      </c>
      <c r="AB47" s="20">
        <f>IF('M2 Allocations - TD'!AA7="","",'M2 Allocations - TD'!AA33)</f>
        <v>278425.9450890508</v>
      </c>
      <c r="AC47" s="20">
        <f>IF('M2 Allocations - TD'!AB7="","",'M2 Allocations - TD'!AB33)</f>
        <v>325174.04680208978</v>
      </c>
      <c r="AD47" s="20">
        <f>IF('M2 Allocations - TD'!AC7="","",'M2 Allocations - TD'!AC33)</f>
        <v>343158.29248776339</v>
      </c>
      <c r="AE47" s="20">
        <f>IF('M2 Allocations - TD'!AD7="","",'M2 Allocations - TD'!AD33)</f>
        <v>457118.03014316031</v>
      </c>
      <c r="AF47" s="20">
        <f>IF('M2 Allocations - TD'!AE7="","",'M2 Allocations - TD'!AE33)</f>
        <v>886825.58305134752</v>
      </c>
      <c r="AG47" s="20">
        <f>IF('M2 Allocations - TD'!AF7="","",'M2 Allocations - TD'!AF33)</f>
        <v>1197518.2821251666</v>
      </c>
      <c r="AH47" s="20">
        <f>IF('M2 Allocations - TD'!AG7="","",'M2 Allocations - TD'!AG33)</f>
        <v>1030275.3853313371</v>
      </c>
      <c r="AI47" s="20">
        <f>IF('M2 Allocations - TD'!AH7="","",'M2 Allocations - TD'!AH33)</f>
        <v>1033786.813176945</v>
      </c>
      <c r="AJ47" s="20">
        <f>IF('M2 Allocations - TD'!AI7="","",'M2 Allocations - TD'!AI33)</f>
        <v>565137.42472021224</v>
      </c>
      <c r="AK47" s="20">
        <f>IF('M2 Allocations - TD'!AJ7="","",'M2 Allocations - TD'!AJ33)</f>
        <v>515386.54786655982</v>
      </c>
      <c r="AL47" s="20">
        <f>IF('M2 Allocations - TD'!AK7="","",'M2 Allocations - TD'!AK33)</f>
        <v>600621.60749234632</v>
      </c>
      <c r="AM47" s="20">
        <f>IF('M2 Allocations - TD'!AL7="","",'M2 Allocations - TD'!AL33)</f>
        <v>677840.83886779845</v>
      </c>
      <c r="AN47" s="20">
        <f>IF('M2 Allocations - TD'!AM7="","",'M2 Allocations - TD'!AM33)</f>
        <v>590569.34077565547</v>
      </c>
      <c r="AO47" s="20">
        <f>IF('M2 Allocations - TD'!AN7="","",'M2 Allocations - TD'!AN33)</f>
        <v>785533.21729427099</v>
      </c>
      <c r="AP47" s="20">
        <f>IF('M2 Allocations - TD'!AO7="","",'M2 Allocations - TD'!AO33)</f>
        <v>759722.89069128735</v>
      </c>
      <c r="AQ47" s="20">
        <f>IF('M2 Allocations - TD'!AP7="","",'M2 Allocations - TD'!AP33)</f>
        <v>730573.86433008127</v>
      </c>
      <c r="AR47" s="20">
        <f>IF('M2 Allocations - TD'!AQ7="","",'M2 Allocations - TD'!AQ33)</f>
        <v>1701261.2984572235</v>
      </c>
      <c r="AS47" s="20">
        <f>IF('M2 Allocations - TD'!AR7="","",'M2 Allocations - TD'!AR33)</f>
        <v>2138329.3142225798</v>
      </c>
      <c r="AT47" s="20">
        <f>IF('M2 Allocations - TD'!AS7="","",'M2 Allocations - TD'!AS33)</f>
        <v>1807748.5219926799</v>
      </c>
      <c r="AU47" s="20">
        <f>IF('M2 Allocations - TD'!AT7="","",'M2 Allocations - TD'!AT33)</f>
        <v>1650674.4488178033</v>
      </c>
      <c r="AV47" s="20">
        <f>IF('M2 Allocations - TD'!AU7="","",'M2 Allocations - TD'!AU33)</f>
        <v>846164.39074269368</v>
      </c>
      <c r="AW47" s="20">
        <f>IF('M2 Allocations - TD'!AV7="","",'M2 Allocations - TD'!AV33)</f>
        <v>722912.52035272913</v>
      </c>
      <c r="AX47" s="20">
        <f>IF('M2 Allocations - TD'!AW7="","",'M2 Allocations - TD'!AW33)</f>
        <v>787449.04813982907</v>
      </c>
      <c r="AY47" s="20">
        <f>IF('M2 Allocations - TD'!AX7="","",'M2 Allocations - TD'!AX33)</f>
        <v>821876.98404895363</v>
      </c>
      <c r="AZ47" s="20">
        <f>IF('M2 Allocations - TD'!AY7="","",'M2 Allocations - TD'!AY33)</f>
        <v>663143.00246334542</v>
      </c>
      <c r="BA47" s="20">
        <f>IF('M2 Allocations - TD'!AZ7="","",'M2 Allocations - TD'!AZ33)</f>
        <v>717865.1381538827</v>
      </c>
      <c r="BB47" s="20">
        <f>IF('M2 Allocations - TD'!BA7="","",'M2 Allocations - TD'!BA33)</f>
        <v>2286.3100000023842</v>
      </c>
      <c r="BC47" s="20">
        <f>IF('M2 Allocations - TD'!BB7="","",'M2 Allocations - TD'!BB33)</f>
        <v>1973.3555017490889</v>
      </c>
      <c r="BD47" s="20">
        <f>IF('M2 Allocations - TD'!BC7="","",'M2 Allocations - TD'!BC33)</f>
        <v>12223.310000002384</v>
      </c>
      <c r="BE47" s="20">
        <f>IF('M2 Allocations - TD'!BD7="","",'M2 Allocations - TD'!BD33)</f>
        <v>22853.179999999702</v>
      </c>
      <c r="BF47" s="20">
        <f>IF('M2 Allocations - TD'!BE7="","",'M2 Allocations - TD'!BE33)</f>
        <v>20540.269999999553</v>
      </c>
      <c r="BG47" s="20">
        <f>IF('M2 Allocations - TD'!BF7="","",'M2 Allocations - TD'!BF33)</f>
        <v>15022.210000000894</v>
      </c>
      <c r="BH47" s="20">
        <f>IF('M2 Allocations - TD'!BG7="","",'M2 Allocations - TD'!BG33)</f>
        <v>6711.089999999851</v>
      </c>
      <c r="BI47" s="20">
        <f>IF('M2 Allocations - TD'!BH7="","",'M2 Allocations - TD'!BH33)</f>
        <v>6702.839999999851</v>
      </c>
      <c r="BJ47" s="20">
        <f>IF('M2 Allocations - TD'!BI7="","",'M2 Allocations - TD'!BI33)</f>
        <v>8127.0399999991059</v>
      </c>
      <c r="BK47" s="20">
        <f>IF('M2 Allocations - TD'!BJ7="","",'M2 Allocations - TD'!BJ33)</f>
        <v>8329.3000000007451</v>
      </c>
      <c r="BL47" s="20">
        <f>IF('M2 Allocations - TD'!BK7="","",'M2 Allocations - TD'!BK33)</f>
        <v>8800.269999999553</v>
      </c>
      <c r="BM47" s="20">
        <f>IF('M2 Allocations - TD'!BL7="","",'M2 Allocations - TD'!BL33)</f>
        <v>10333.070000000298</v>
      </c>
      <c r="BN47" s="20">
        <f>IF('M2 Allocations - TD'!BM7="","",'M2 Allocations - TD'!BM33)</f>
        <v>8760.0100000016391</v>
      </c>
      <c r="BO47" s="20">
        <f>IF('M2 Allocations - TD'!BN7="","",'M2 Allocations - TD'!BN33)</f>
        <v>11044.909999996424</v>
      </c>
      <c r="BP47" s="20">
        <f>IF('M2 Allocations - TD'!BO7="","",'M2 Allocations - TD'!BO33)</f>
        <v>31907.310000002384</v>
      </c>
      <c r="BQ47" s="20">
        <f>IF('M2 Allocations - TD'!BP7="","",'M2 Allocations - TD'!BP33)</f>
        <v>40946.179999999702</v>
      </c>
      <c r="BR47" s="20">
        <f>IF('M2 Allocations - TD'!BQ7="","",'M2 Allocations - TD'!BQ33)</f>
        <v>36410.359999999404</v>
      </c>
      <c r="BS47" s="20">
        <f>IF('M2 Allocations - TD'!BR7="","",'M2 Allocations - TD'!BR33)</f>
        <v>22318.39999999851</v>
      </c>
      <c r="BT47" s="20">
        <f>IF('M2 Allocations - TD'!BS7="","",'M2 Allocations - TD'!BS33)</f>
        <v>8944.2900000028312</v>
      </c>
      <c r="BU47" s="20">
        <f>IF('M2 Allocations - TD'!BT7="","",'M2 Allocations - TD'!BT33)</f>
        <v>9312.6499999985099</v>
      </c>
      <c r="BV47" s="20">
        <f>IF('M2 Allocations - TD'!BU7="","",'M2 Allocations - TD'!BU33)</f>
        <v>11751.719999998808</v>
      </c>
      <c r="BW47" s="20">
        <f>IF('M2 Allocations - TD'!BV7="","",'M2 Allocations - TD'!BV33)</f>
        <v>12005.310000002384</v>
      </c>
      <c r="BX47" s="20">
        <f>IF('M2 Allocations - TD'!BW7="","",'M2 Allocations - TD'!BW33)</f>
        <v>10126.529999997467</v>
      </c>
      <c r="BY47" s="20">
        <f>IF('M2 Allocations - TD'!BX7="","",'M2 Allocations - TD'!BX33)</f>
        <v>0</v>
      </c>
      <c r="BZ47" s="20">
        <f>IF('M2 Allocations - TD'!BY7="","",'M2 Allocations - TD'!BY33)</f>
        <v>0</v>
      </c>
      <c r="CA47" s="20">
        <f>IF('M2 Allocations - TD'!BZ7="","",'M2 Allocations - TD'!BZ33)</f>
        <v>0</v>
      </c>
      <c r="CB47" s="20">
        <f>IF('M2 Allocations - TD'!CA7="","",'M2 Allocations - TD'!CA33)</f>
        <v>0</v>
      </c>
      <c r="CC47" s="20">
        <f>IF('M2 Allocations - TD'!CB7="","",'M2 Allocations - TD'!CB33)</f>
        <v>0</v>
      </c>
      <c r="CD47" s="20">
        <f>IF('M2 Allocations - TD'!CC7="","",'M2 Allocations - TD'!CC33)</f>
        <v>0</v>
      </c>
      <c r="CE47" s="20">
        <f>IF('M2 Allocations - TD'!CD7="","",'M2 Allocations - TD'!CD33)</f>
        <v>0</v>
      </c>
      <c r="CF47" s="20">
        <f>IF('M2 Allocations - TD'!CE7="","",'M2 Allocations - TD'!CE33)</f>
        <v>0</v>
      </c>
      <c r="CG47" s="20">
        <f>IF('M2 Allocations - TD'!CF7="","",'M2 Allocations - TD'!CF33)</f>
        <v>0</v>
      </c>
      <c r="CH47" s="20">
        <f>IF('M2 Allocations - TD'!CG7="","",'M2 Allocations - TD'!CG33)</f>
        <v>0</v>
      </c>
      <c r="CI47" s="20">
        <f>IF('M2 Allocations - TD'!CH7="","",'M2 Allocations - TD'!CH33)</f>
        <v>0</v>
      </c>
      <c r="CJ47" s="20">
        <f>IF('M2 Allocations - TD'!CI7="","",'M2 Allocations - TD'!CI33)</f>
        <v>0</v>
      </c>
      <c r="CK47" s="20">
        <f>IF('M2 Allocations - TD'!CJ7="","",'M2 Allocations - TD'!CJ33)</f>
        <v>0</v>
      </c>
      <c r="CL47" s="20">
        <f>IF('M2 Allocations - TD'!CK7="","",'M2 Allocations - TD'!CK33)</f>
        <v>0</v>
      </c>
      <c r="CM47" s="20">
        <f>IF('M2 Allocations - TD'!CL7="","",'M2 Allocations - TD'!CL33)</f>
        <v>0</v>
      </c>
      <c r="CN47" s="20">
        <f>IF('M2 Allocations - TD'!CM7="","",'M2 Allocations - TD'!CM33)</f>
        <v>0</v>
      </c>
      <c r="CO47" s="20">
        <f>IF('M2 Allocations - TD'!CN7="","",'M2 Allocations - TD'!CN33)</f>
        <v>0</v>
      </c>
      <c r="CP47" s="20">
        <f>IF('M2 Allocations - TD'!CO7="","",'M2 Allocations - TD'!CO33)</f>
        <v>0</v>
      </c>
      <c r="CQ47" s="20">
        <f>IF('M2 Allocations - TD'!CP7="","",'M2 Allocations - TD'!CP33)</f>
        <v>0</v>
      </c>
      <c r="CR47" s="20">
        <f>IF('M2 Allocations - TD'!CQ7="","",'M2 Allocations - TD'!CQ33)</f>
        <v>0</v>
      </c>
      <c r="CS47" s="20">
        <f>IF('M2 Allocations - TD'!CR7="","",'M2 Allocations - TD'!CR33)</f>
        <v>0</v>
      </c>
      <c r="CT47" s="20">
        <f>IF('M2 Allocations - TD'!CS7="","",'M2 Allocations - TD'!CS33)</f>
        <v>0</v>
      </c>
      <c r="CU47" s="20">
        <f>IF('M2 Allocations - TD'!CT7="","",'M2 Allocations - TD'!CT33)</f>
        <v>0</v>
      </c>
    </row>
    <row r="48" spans="1:99" s="4" customFormat="1" ht="15" hidden="1" customHeight="1" outlineLevel="1" x14ac:dyDescent="0.25">
      <c r="A48" s="292"/>
      <c r="B48" s="16" t="s">
        <v>26</v>
      </c>
      <c r="C48" s="24"/>
      <c r="D48" s="24"/>
      <c r="E48" s="22">
        <v>0</v>
      </c>
      <c r="F48" s="22">
        <v>0</v>
      </c>
      <c r="G48" s="22">
        <v>2460.2199999999998</v>
      </c>
      <c r="H48" s="22">
        <v>40611.43</v>
      </c>
      <c r="I48" s="22">
        <v>46133.34</v>
      </c>
      <c r="J48" s="22">
        <v>46227.56</v>
      </c>
      <c r="K48" s="22">
        <v>46423.360000000001</v>
      </c>
      <c r="L48" s="22">
        <v>40852.160000000003</v>
      </c>
      <c r="M48" s="22">
        <v>37249.85</v>
      </c>
      <c r="N48" s="22">
        <v>38727.83</v>
      </c>
      <c r="O48" s="22">
        <v>63808.639999999999</v>
      </c>
      <c r="P48" s="22">
        <f>327646.54+7266.21</f>
        <v>334912.75</v>
      </c>
      <c r="Q48" s="22">
        <f>311663.08+196.57</f>
        <v>311859.65000000002</v>
      </c>
      <c r="R48" s="20">
        <f>IF('M2 Allocations - TD'!Q52="","",'M2 Allocations - TD'!Q70)</f>
        <v>297067.25661237026</v>
      </c>
      <c r="S48" s="20">
        <f>IF('M2 Allocations - TD'!R52="","",'M2 Allocations - TD'!R70)</f>
        <v>306858.76704664429</v>
      </c>
      <c r="T48" s="20">
        <f>IF('M2 Allocations - TD'!S52="","",'M2 Allocations - TD'!S70)</f>
        <v>347930.82125503593</v>
      </c>
      <c r="U48" s="20">
        <f>IF('M2 Allocations - TD'!T52="","",'M2 Allocations - TD'!T70)</f>
        <v>377801.41744412482</v>
      </c>
      <c r="V48" s="20">
        <f>IF('M2 Allocations - TD'!U52="","",'M2 Allocations - TD'!U70)</f>
        <v>384838.10767902108</v>
      </c>
      <c r="W48" s="20">
        <f>IF('M2 Allocations - TD'!V52="","",'M2 Allocations - TD'!V70)</f>
        <v>363327.24534638016</v>
      </c>
      <c r="X48" s="20">
        <f>IF('M2 Allocations - TD'!W52="","",'M2 Allocations - TD'!W70)</f>
        <v>349151.70540680212</v>
      </c>
      <c r="Y48" s="20">
        <f>IF('M2 Allocations - TD'!X52="","",'M2 Allocations - TD'!X70)</f>
        <v>312029.63241835893</v>
      </c>
      <c r="Z48" s="20">
        <f>IF('M2 Allocations - TD'!Y52="","",'M2 Allocations - TD'!Y70)</f>
        <v>324930.27431740938</v>
      </c>
      <c r="AA48" s="20">
        <f>IF('M2 Allocations - TD'!Z52="","",'M2 Allocations - TD'!Z70)</f>
        <v>389339.8693849984</v>
      </c>
      <c r="AB48" s="20">
        <f>IF('M2 Allocations - TD'!AA52="","",'M2 Allocations - TD'!AA70)</f>
        <v>556625.86</v>
      </c>
      <c r="AC48" s="20">
        <f>IF('M2 Allocations - TD'!AB52="","",'M2 Allocations - TD'!AB70)</f>
        <v>519727.84944586566</v>
      </c>
      <c r="AD48" s="20">
        <f>IF('M2 Allocations - TD'!AC52="","",'M2 Allocations - TD'!AC70)</f>
        <v>524323.57207482436</v>
      </c>
      <c r="AE48" s="20">
        <f>IF('M2 Allocations - TD'!AD52="","",'M2 Allocations - TD'!AD70)</f>
        <v>522730.47478252684</v>
      </c>
      <c r="AF48" s="20">
        <f>IF('M2 Allocations - TD'!AE52="","",'M2 Allocations - TD'!AE70)</f>
        <v>623624.8655420111</v>
      </c>
      <c r="AG48" s="20">
        <f>IF('M2 Allocations - TD'!AF52="","",'M2 Allocations - TD'!AF70)</f>
        <v>661725.50586693978</v>
      </c>
      <c r="AH48" s="20">
        <f>IF('M2 Allocations - TD'!AG52="","",'M2 Allocations - TD'!AG70)</f>
        <v>626757.48216571088</v>
      </c>
      <c r="AI48" s="20">
        <f>IF('M2 Allocations - TD'!AH52="","",'M2 Allocations - TD'!AH70)</f>
        <v>638007.84216665139</v>
      </c>
      <c r="AJ48" s="20">
        <f>IF('M2 Allocations - TD'!AI52="","",'M2 Allocations - TD'!AI70)</f>
        <v>579490.47761485481</v>
      </c>
      <c r="AK48" s="20">
        <f>IF('M2 Allocations - TD'!AJ52="","",'M2 Allocations - TD'!AJ70)</f>
        <v>513641.84877388977</v>
      </c>
      <c r="AL48" s="20">
        <f>IF('M2 Allocations - TD'!AK52="","",'M2 Allocations - TD'!AK70)</f>
        <v>557457.11362508603</v>
      </c>
      <c r="AM48" s="20">
        <f>IF('M2 Allocations - TD'!AL52="","",'M2 Allocations - TD'!AL70)</f>
        <v>608808.22123092401</v>
      </c>
      <c r="AN48" s="20">
        <f>IF('M2 Allocations - TD'!AM52="","",'M2 Allocations - TD'!AM70)</f>
        <v>1107018.1450648431</v>
      </c>
      <c r="AO48" s="20">
        <f>IF('M2 Allocations - TD'!AN52="","",'M2 Allocations - TD'!AN70)</f>
        <v>1050923.1514029966</v>
      </c>
      <c r="AP48" s="20">
        <f>IF('M2 Allocations - TD'!AO52="","",'M2 Allocations - TD'!AO70)</f>
        <v>946394.49189445085</v>
      </c>
      <c r="AQ48" s="20">
        <f>IF('M2 Allocations - TD'!AP52="","",'M2 Allocations - TD'!AP70)</f>
        <v>980269.66694109701</v>
      </c>
      <c r="AR48" s="20">
        <f>IF('M2 Allocations - TD'!AQ52="","",'M2 Allocations - TD'!AQ70)</f>
        <v>1091122.5576982794</v>
      </c>
      <c r="AS48" s="20">
        <f>IF('M2 Allocations - TD'!AR52="","",'M2 Allocations - TD'!AR70)</f>
        <v>1173345.4165751</v>
      </c>
      <c r="AT48" s="20">
        <f>IF('M2 Allocations - TD'!AS52="","",'M2 Allocations - TD'!AS70)</f>
        <v>1200301.9882335844</v>
      </c>
      <c r="AU48" s="20">
        <f>IF('M2 Allocations - TD'!AT52="","",'M2 Allocations - TD'!AT70)</f>
        <v>1212308.9277305761</v>
      </c>
      <c r="AV48" s="20">
        <f>IF('M2 Allocations - TD'!AU52="","",'M2 Allocations - TD'!AU70)</f>
        <v>1113467.1918631792</v>
      </c>
      <c r="AW48" s="20">
        <f>IF('M2 Allocations - TD'!AV52="","",'M2 Allocations - TD'!AV70)</f>
        <v>981117.22422696999</v>
      </c>
      <c r="AX48" s="20">
        <f>IF('M2 Allocations - TD'!AW52="","",'M2 Allocations - TD'!AW70)</f>
        <v>1062930.0447087046</v>
      </c>
      <c r="AY48" s="20">
        <f>IF('M2 Allocations - TD'!AX52="","",'M2 Allocations - TD'!AX70)</f>
        <v>1099098.7608177634</v>
      </c>
      <c r="AZ48" s="20">
        <f>IF('M2 Allocations - TD'!AY52="","",'M2 Allocations - TD'!AY70)</f>
        <v>764411.39598139795</v>
      </c>
      <c r="BA48" s="20">
        <f>IF('M2 Allocations - TD'!AZ52="","",'M2 Allocations - TD'!AZ70)</f>
        <v>318623.73714683513</v>
      </c>
      <c r="BB48" s="20">
        <f>IF('M2 Allocations - TD'!BA52="","",'M2 Allocations - TD'!BA70)</f>
        <v>268197.12227908301</v>
      </c>
      <c r="BC48" s="20">
        <f>IF('M2 Allocations - TD'!BB52="","",'M2 Allocations - TD'!BB70)</f>
        <v>249075.16076692482</v>
      </c>
      <c r="BD48" s="20">
        <f>IF('M2 Allocations - TD'!BC52="","",'M2 Allocations - TD'!BC70)</f>
        <v>296551.86746010336</v>
      </c>
      <c r="BE48" s="20">
        <f>IF('M2 Allocations - TD'!BD52="","",'M2 Allocations - TD'!BD70)</f>
        <v>346227.00320999854</v>
      </c>
      <c r="BF48" s="20">
        <f>IF('M2 Allocations - TD'!BE52="","",'M2 Allocations - TD'!BE70)</f>
        <v>344571.98080537363</v>
      </c>
      <c r="BG48" s="20">
        <f>IF('M2 Allocations - TD'!BF52="","",'M2 Allocations - TD'!BF70)</f>
        <v>343418.65957003599</v>
      </c>
      <c r="BH48" s="20">
        <f>IF('M2 Allocations - TD'!BG52="","",'M2 Allocations - TD'!BG70)</f>
        <v>293034.59528354992</v>
      </c>
      <c r="BI48" s="20">
        <f>IF('M2 Allocations - TD'!BH52="","",'M2 Allocations - TD'!BH70)</f>
        <v>285307.32387214003</v>
      </c>
      <c r="BJ48" s="20">
        <f>IF('M2 Allocations - TD'!BI52="","",'M2 Allocations - TD'!BI70)</f>
        <v>306551.46210147406</v>
      </c>
      <c r="BK48" s="20">
        <f>IF('M2 Allocations - TD'!BJ52="","",'M2 Allocations - TD'!BJ70)</f>
        <v>328395.30665898882</v>
      </c>
      <c r="BL48" s="20">
        <f>IF('M2 Allocations - TD'!BK52="","",'M2 Allocations - TD'!BK70)</f>
        <v>129041.97894362173</v>
      </c>
      <c r="BM48" s="20">
        <f>IF('M2 Allocations - TD'!BL52="","",'M2 Allocations - TD'!BL70)</f>
        <v>-116248.37555983226</v>
      </c>
      <c r="BN48" s="20">
        <f>IF('M2 Allocations - TD'!BM52="","",'M2 Allocations - TD'!BM70)</f>
        <v>-104613.38045356744</v>
      </c>
      <c r="BO48" s="20">
        <f>IF('M2 Allocations - TD'!BN52="","",'M2 Allocations - TD'!BN70)</f>
        <v>-106758.31587632833</v>
      </c>
      <c r="BP48" s="20">
        <f>IF('M2 Allocations - TD'!BO52="","",'M2 Allocations - TD'!BO70)</f>
        <v>-119183.41184852651</v>
      </c>
      <c r="BQ48" s="20">
        <f>IF('M2 Allocations - TD'!BP52="","",'M2 Allocations - TD'!BP70)</f>
        <v>-138596.39079341319</v>
      </c>
      <c r="BR48" s="20">
        <f>IF('M2 Allocations - TD'!BQ52="","",'M2 Allocations - TD'!BQ70)</f>
        <v>-137793.28735156739</v>
      </c>
      <c r="BS48" s="20">
        <f>IF('M2 Allocations - TD'!BR52="","",'M2 Allocations - TD'!BR70)</f>
        <v>-140452.99254978076</v>
      </c>
      <c r="BT48" s="20">
        <f>IF('M2 Allocations - TD'!BS52="","",'M2 Allocations - TD'!BS70)</f>
        <v>-123659.88827741763</v>
      </c>
      <c r="BU48" s="20">
        <f>IF('M2 Allocations - TD'!BT52="","",'M2 Allocations - TD'!BT70)</f>
        <v>-109523.64277962862</v>
      </c>
      <c r="BV48" s="20">
        <f>IF('M2 Allocations - TD'!BU52="","",'M2 Allocations - TD'!BU70)</f>
        <v>-119570.42005814648</v>
      </c>
      <c r="BW48" s="20">
        <f>IF('M2 Allocations - TD'!BV52="","",'M2 Allocations - TD'!BV70)</f>
        <v>-127589.09913487616</v>
      </c>
      <c r="BX48" s="20">
        <f>IF('M2 Allocations - TD'!BW52="","",'M2 Allocations - TD'!BW70)</f>
        <v>-90032.567630487814</v>
      </c>
      <c r="BY48" s="20">
        <f>IF('M2 Allocations - TD'!BX52="","",'M2 Allocations - TD'!BX70)</f>
        <v>-29850.366428408659</v>
      </c>
      <c r="BZ48" s="20">
        <f>IF('M2 Allocations - TD'!BY52="","",'M2 Allocations - TD'!BY70)</f>
        <v>-27677.731835119779</v>
      </c>
      <c r="CA48" s="20">
        <f>IF('M2 Allocations - TD'!BZ52="","",'M2 Allocations - TD'!BZ70)</f>
        <v>-28367.49080792554</v>
      </c>
      <c r="CB48" s="20">
        <f>IF('M2 Allocations - TD'!CA52="","",'M2 Allocations - TD'!CA70)</f>
        <v>-31712.240190643679</v>
      </c>
      <c r="CC48" s="20">
        <f>IF('M2 Allocations - TD'!CB52="","",'M2 Allocations - TD'!CB70)</f>
        <v>-36266.351017925241</v>
      </c>
      <c r="CD48" s="20">
        <f>IF('M2 Allocations - TD'!CC52="","",'M2 Allocations - TD'!CC70)</f>
        <v>-35382.790747787352</v>
      </c>
      <c r="CE48" s="20">
        <f>IF('M2 Allocations - TD'!CD52="","",'M2 Allocations - TD'!CD70)</f>
        <v>-33777.721147319782</v>
      </c>
      <c r="CF48" s="20">
        <f>IF('M2 Allocations - TD'!CE52="","",'M2 Allocations - TD'!CE70)</f>
        <v>-29077.038685363284</v>
      </c>
      <c r="CG48" s="20">
        <f>IF('M2 Allocations - TD'!CF52="","",'M2 Allocations - TD'!CF70)</f>
        <v>-27430.212146395083</v>
      </c>
      <c r="CH48" s="20">
        <f>IF('M2 Allocations - TD'!CG52="","",'M2 Allocations - TD'!CG70)</f>
        <v>-31670.308000207406</v>
      </c>
      <c r="CI48" s="20">
        <f>IF('M2 Allocations - TD'!CH52="","",'M2 Allocations - TD'!CH70)</f>
        <v>-32611.705138027606</v>
      </c>
      <c r="CJ48" s="20">
        <f>IF('M2 Allocations - TD'!CI52="","",'M2 Allocations - TD'!CI70)</f>
        <v>-16555.481068991823</v>
      </c>
      <c r="CK48" s="20">
        <f>IF('M2 Allocations - TD'!CJ52="","",'M2 Allocations - TD'!CJ70)</f>
        <v>3230.8735523843402</v>
      </c>
      <c r="CL48" s="20">
        <f>IF('M2 Allocations - TD'!CK52="","",'M2 Allocations - TD'!CK70)</f>
        <v>3208.5524523745844</v>
      </c>
      <c r="CM48" s="20">
        <f>IF('M2 Allocations - TD'!CL52="","",'M2 Allocations - TD'!CL70)</f>
        <v>3375.7446884847041</v>
      </c>
      <c r="CN48" s="20">
        <f>IF('M2 Allocations - TD'!CM52="","",'M2 Allocations - TD'!CM70)</f>
        <v>3694.4912721367164</v>
      </c>
      <c r="CO48" s="20">
        <f>IF('M2 Allocations - TD'!CN52="","",'M2 Allocations - TD'!CN70)</f>
        <v>3963.639586443905</v>
      </c>
      <c r="CP48" s="20">
        <f>IF('M2 Allocations - TD'!CO52="","",'M2 Allocations - TD'!CO70)</f>
        <v>4066.5380749420337</v>
      </c>
      <c r="CQ48" s="20">
        <f>IF('M2 Allocations - TD'!CP52="","",'M2 Allocations - TD'!CP70)</f>
        <v>4093.357048655002</v>
      </c>
      <c r="CR48" s="20">
        <f>IF('M2 Allocations - TD'!CQ52="","",'M2 Allocations - TD'!CQ70)</f>
        <v>3620.366461183919</v>
      </c>
      <c r="CS48" s="20">
        <f>IF('M2 Allocations - TD'!CR52="","",'M2 Allocations - TD'!CR70)</f>
        <v>3330.5779273524163</v>
      </c>
      <c r="CT48" s="20">
        <f>IF('M2 Allocations - TD'!CS52="","",'M2 Allocations - TD'!CS70)</f>
        <v>3253.6495836108102</v>
      </c>
      <c r="CU48" s="20">
        <f>IF('M2 Allocations - TD'!CT52="","",'M2 Allocations - TD'!CT70)</f>
        <v>3857.7983746408054</v>
      </c>
    </row>
    <row r="49" spans="1:99" s="4" customFormat="1" ht="15" hidden="1" customHeight="1" outlineLevel="1" x14ac:dyDescent="0.25">
      <c r="A49" s="292"/>
      <c r="B49" s="16" t="s">
        <v>51</v>
      </c>
      <c r="C49" s="24"/>
      <c r="D49" s="24"/>
      <c r="E49" s="22"/>
      <c r="F49" s="22"/>
      <c r="G49" s="22"/>
      <c r="H49" s="22"/>
      <c r="I49" s="22"/>
      <c r="J49" s="22"/>
      <c r="K49" s="22"/>
      <c r="L49" s="22"/>
      <c r="M49" s="22"/>
      <c r="N49" s="22"/>
      <c r="O49" s="22">
        <f>+'M2 TD amort'!C22</f>
        <v>0</v>
      </c>
      <c r="P49" s="22">
        <f>IF(P48="","",-'M2 TD amort'!D22)</f>
        <v>-71898.7</v>
      </c>
      <c r="Q49" s="22">
        <f>IF(Q48="","",-'M2 TD amort'!E22)</f>
        <v>-66949.69</v>
      </c>
      <c r="R49" s="20">
        <f>IF(R48="","",-'M2 TD amort'!F22)</f>
        <v>-65784.28</v>
      </c>
      <c r="S49" s="20">
        <f>IF(S48="","",-'M2 TD amort'!G22)</f>
        <v>-67640.86</v>
      </c>
      <c r="T49" s="20">
        <f>IF(T48="","",-'M2 TD amort'!H22)</f>
        <v>-76671.17</v>
      </c>
      <c r="U49" s="20">
        <f>IF(U48="","",-'M2 TD amort'!I22)</f>
        <v>-83492.649999999994</v>
      </c>
      <c r="V49" s="20">
        <f>IF(V48="","",-'M2 TD amort'!J22)</f>
        <v>-85057.91</v>
      </c>
      <c r="W49" s="20">
        <f>IF(W48="","",-'M2 TD amort'!K22)</f>
        <v>-80184.02</v>
      </c>
      <c r="X49" s="20">
        <f>IF(X48="","",-'M2 TD amort'!L22)</f>
        <v>-76993.81</v>
      </c>
      <c r="Y49" s="20">
        <f>IF(Y48="","",-'M2 TD amort'!M22)</f>
        <v>-69111.11</v>
      </c>
      <c r="Z49" s="20">
        <f>IF(Z48="","",-'M2 TD amort'!N22)</f>
        <v>-72387.59</v>
      </c>
      <c r="AA49" s="20">
        <f>IF(AA48="","",-'M2 TD amort'!O22)</f>
        <v>-87183.75</v>
      </c>
      <c r="AB49" s="20">
        <f>IF(AB48="","",-'M2 TD amort'!P22)</f>
        <v>41861.18</v>
      </c>
      <c r="AC49" s="20">
        <f>IF(AC48="","",-'M2 TD amort'!Q22)</f>
        <v>39019.480000000003</v>
      </c>
      <c r="AD49" s="20">
        <f>IF(AD48="","",-'M2 TD amort'!R22)</f>
        <v>39371.050000000003</v>
      </c>
      <c r="AE49" s="20">
        <f>IF(AE48="","",-'M2 TD amort'!S22)</f>
        <v>39036.15</v>
      </c>
      <c r="AF49" s="20">
        <f>IF(AF48="","",-'M2 TD amort'!T22)</f>
        <v>46545.52</v>
      </c>
      <c r="AG49" s="20">
        <f>IF(AG48="","",-'M2 TD amort'!U22)</f>
        <v>49426.59</v>
      </c>
      <c r="AH49" s="20">
        <f>IF(AH48="","",-'M2 TD amort'!V22)</f>
        <v>46776.66</v>
      </c>
      <c r="AI49" s="20">
        <f>IF(AI48="","",-'M2 TD amort'!W22)</f>
        <v>47596.959999999999</v>
      </c>
      <c r="AJ49" s="20">
        <f>IF(AJ48="","",-'M2 TD amort'!X22)</f>
        <v>43247.34</v>
      </c>
      <c r="AK49" s="20">
        <f>IF(AK48="","",-'M2 TD amort'!Y22)</f>
        <v>38462.730000000003</v>
      </c>
      <c r="AL49" s="20">
        <f>IF(AL48="","",-'M2 TD amort'!Z22)</f>
        <v>41888.32</v>
      </c>
      <c r="AM49" s="20">
        <f>IF(AM48="","",-'M2 TD amort'!AA22)</f>
        <v>45748.6</v>
      </c>
      <c r="AN49" s="20">
        <f>IF(AN48="","",-'M2 TD amort'!AB22)</f>
        <v>-39945.300000000003</v>
      </c>
      <c r="AO49" s="20">
        <f>IF(AO48="","",-'M2 TD amort'!AC22)</f>
        <v>-37916.46</v>
      </c>
      <c r="AP49" s="20">
        <f>IF(AP48="","",-'M2 TD amort'!AD22)</f>
        <v>-34074.25</v>
      </c>
      <c r="AQ49" s="20">
        <f>IF(AQ48="","",-'M2 TD amort'!AE22)</f>
        <v>-35217.550000000003</v>
      </c>
      <c r="AR49" s="20">
        <f>IF(AR48="","",-'M2 TD amort'!AF22)</f>
        <v>-39184.730000000003</v>
      </c>
      <c r="AS49" s="20">
        <f>IF(AS48="","",-'M2 TD amort'!AG22)</f>
        <v>-42158.83</v>
      </c>
      <c r="AT49" s="20">
        <f>IF(AT48="","",-'M2 TD amort'!AH22)</f>
        <v>-43134.47</v>
      </c>
      <c r="AU49" s="20">
        <f>IF(AU48="","",-'M2 TD amort'!AI22)</f>
        <v>-43546.37</v>
      </c>
      <c r="AV49" s="20">
        <f>IF(AV48="","",-'M2 TD amort'!AJ22)</f>
        <v>-39985.99</v>
      </c>
      <c r="AW49" s="20">
        <f>IF(AW48="","",-'M2 TD amort'!AK22)</f>
        <v>-35295.050000000003</v>
      </c>
      <c r="AX49" s="20">
        <f>IF(AX48="","",-'M2 TD amort'!AL22)</f>
        <v>-38295.129999999997</v>
      </c>
      <c r="AY49" s="20">
        <f>IF(AY48="","",-'M2 TD amort'!AM22)</f>
        <v>-39611.050000000003</v>
      </c>
      <c r="AZ49" s="20">
        <f>IF(AZ48="","",-'M2 TD amort'!AN22)</f>
        <v>-135781.93</v>
      </c>
      <c r="BA49" s="20">
        <f>IF(BA48="","",-'M2 TD amort'!AO22)</f>
        <v>-56245.39</v>
      </c>
      <c r="BB49" s="20">
        <f>IF(BB48="","",-'M2 TD amort'!AP22)</f>
        <v>-47316.91</v>
      </c>
      <c r="BC49" s="20">
        <f>IF(BC48="","",-'M2 TD amort'!AQ22)</f>
        <v>-43930.2</v>
      </c>
      <c r="BD49" s="20">
        <f>IF(BD48="","",-'M2 TD amort'!AR22)</f>
        <v>-52291.199999999997</v>
      </c>
      <c r="BE49" s="20">
        <f>IF(BE48="","",-'M2 TD amort'!AS22)</f>
        <v>-61054.93</v>
      </c>
      <c r="BF49" s="20">
        <f>IF(BF48="","",-'M2 TD amort'!AT22)</f>
        <v>-60755.16</v>
      </c>
      <c r="BG49" s="20">
        <f>IF(BG48="","",-'M2 TD amort'!AU22)</f>
        <v>-60542.36</v>
      </c>
      <c r="BH49" s="20">
        <f>IF(BH48="","",-'M2 TD amort'!AV22)</f>
        <v>-51660.87</v>
      </c>
      <c r="BI49" s="20">
        <f>IF(BI48="","",-'M2 TD amort'!AW22)</f>
        <v>-50317.66</v>
      </c>
      <c r="BJ49" s="20">
        <f>IF(BJ48="","",-'M2 TD amort'!AX22)</f>
        <v>-54088.43</v>
      </c>
      <c r="BK49" s="20">
        <f>IF(BK48="","",-'M2 TD amort'!AY22)</f>
        <v>-57968.47</v>
      </c>
      <c r="BL49" s="20">
        <f>IF(BL48="","",-'M2 TD amort'!AZ22)</f>
        <v>-155185.29</v>
      </c>
      <c r="BM49" s="20">
        <f>IF(BM48="","",-'M2 TD amort'!BA22)</f>
        <v>144151.20000000001</v>
      </c>
      <c r="BN49" s="20">
        <f>IF(BN48="","",-'M2 TD amort'!BB22)</f>
        <v>129139.73</v>
      </c>
      <c r="BO49" s="20">
        <f>IF(BO48="","",-'M2 TD amort'!BC22)</f>
        <v>131496.01999999999</v>
      </c>
      <c r="BP49" s="20">
        <f>IF(BP48="","",-'M2 TD amort'!BD22)</f>
        <v>146683.67000000001</v>
      </c>
      <c r="BQ49" s="20">
        <f>IF(BQ48="","",-'M2 TD amort'!BE22)</f>
        <v>170727.8</v>
      </c>
      <c r="BR49" s="20">
        <f>IF(BR48="","",-'M2 TD amort'!BF22)</f>
        <v>169792.6</v>
      </c>
      <c r="BS49" s="20">
        <f>IF(BS48="","",-'M2 TD amort'!BG22)</f>
        <v>173041.64</v>
      </c>
      <c r="BT49" s="20">
        <f>IF(BT48="","",-'M2 TD amort'!BH22)</f>
        <v>152089.43</v>
      </c>
      <c r="BU49" s="20">
        <f>IF(BU48="","",-'M2 TD amort'!BI22)</f>
        <v>135146.15</v>
      </c>
      <c r="BV49" s="20">
        <f>IF(BV48="","",-'M2 TD amort'!BJ22)</f>
        <v>147703.67000000001</v>
      </c>
      <c r="BW49" s="20">
        <f>IF(BW48="","",-'M2 TD amort'!BK22)</f>
        <v>157813.82</v>
      </c>
      <c r="BX49" s="20">
        <f>IF(BX48="","",-'M2 TD amort'!BL22)</f>
        <v>94457.73</v>
      </c>
      <c r="BY49" s="20">
        <f>IF(BY48="","",-'M2 TD amort'!BM22)</f>
        <v>30773.360000000001</v>
      </c>
      <c r="BZ49" s="20">
        <f>IF(BZ48="","",-'M2 TD amort'!BN22)</f>
        <v>28505.86</v>
      </c>
      <c r="CA49" s="20">
        <f>IF(CA48="","",-'M2 TD amort'!BO22)</f>
        <v>29204.54</v>
      </c>
      <c r="CB49" s="20">
        <f>IF(CB48="","",-'M2 TD amort'!BP22)</f>
        <v>32647.23</v>
      </c>
      <c r="CC49" s="20">
        <f>IF(CC48="","",-'M2 TD amort'!BQ22)</f>
        <v>37342.58</v>
      </c>
      <c r="CD49" s="20">
        <f>IF(CD48="","",-'M2 TD amort'!BR22)</f>
        <v>36437.18</v>
      </c>
      <c r="CE49" s="20">
        <f>IF(CE48="","",-'M2 TD amort'!BS22)</f>
        <v>34781.339999999997</v>
      </c>
      <c r="CF49" s="20">
        <f>IF(CF48="","",-'M2 TD amort'!BT22)</f>
        <v>29940.03</v>
      </c>
      <c r="CG49" s="20">
        <f>IF(CG48="","",-'M2 TD amort'!BU22)</f>
        <v>28253.98</v>
      </c>
      <c r="CH49" s="20">
        <f>IF(CH48="","",-'M2 TD amort'!BV22)</f>
        <v>32650.48</v>
      </c>
      <c r="CI49" s="20">
        <f>IF(CI48="","",-'M2 TD amort'!BW22)</f>
        <v>33625.660000000003</v>
      </c>
      <c r="CJ49" s="20">
        <f>IF(CJ48="","",-'M2 TD amort'!BX22)</f>
        <v>16554.349999999999</v>
      </c>
      <c r="CK49" s="20">
        <f>IF(CK48="","",-'M2 TD amort'!BY22)</f>
        <v>-3415.88</v>
      </c>
      <c r="CL49" s="20">
        <f>IF(CL48="","",-'M2 TD amort'!BZ22)</f>
        <v>-3374.69</v>
      </c>
      <c r="CM49" s="20">
        <f>IF(CM48="","",-'M2 TD amort'!CA22)</f>
        <v>-3515.72</v>
      </c>
      <c r="CN49" s="20">
        <f>IF(CN48="","",-'M2 TD amort'!CB22)</f>
        <v>-3850.08</v>
      </c>
      <c r="CO49" s="20">
        <f>IF(CO48="","",-'M2 TD amort'!CC22)</f>
        <v>-4146.47</v>
      </c>
      <c r="CP49" s="20">
        <f>IF(CP48="","",-'M2 TD amort'!CD22)</f>
        <v>-4258.54</v>
      </c>
      <c r="CQ49" s="20">
        <f>IF(CQ48="","",-'M2 TD amort'!CE22)</f>
        <v>-4280.59</v>
      </c>
      <c r="CR49" s="20">
        <f>IF(CR48="","",-'M2 TD amort'!CF22)</f>
        <v>-3781.21</v>
      </c>
      <c r="CS49" s="20">
        <f>IF(CS48="","",-'M2 TD amort'!CG22)</f>
        <v>-3485</v>
      </c>
      <c r="CT49" s="20">
        <f>IF(CT48="","",-'M2 TD amort'!CH22)</f>
        <v>-3454.28</v>
      </c>
      <c r="CU49" s="20">
        <f>IF(CU48="","",-'M2 TD amort'!CI22)</f>
        <v>-4096.0200000000004</v>
      </c>
    </row>
    <row r="50" spans="1:99" s="4" customFormat="1" ht="15" hidden="1" customHeight="1" outlineLevel="1" x14ac:dyDescent="0.25">
      <c r="A50" s="292"/>
      <c r="B50" s="16" t="s">
        <v>52</v>
      </c>
      <c r="C50" s="24"/>
      <c r="D50" s="24"/>
      <c r="E50" s="7"/>
      <c r="F50" s="7"/>
      <c r="G50" s="7"/>
      <c r="H50" s="7"/>
      <c r="I50" s="7"/>
      <c r="J50" s="7"/>
      <c r="K50" s="7"/>
      <c r="L50" s="7"/>
      <c r="M50" s="7"/>
      <c r="N50" s="7"/>
      <c r="O50" s="7">
        <f>IF(OR(O49="",O48=""),"",O48+O49)</f>
        <v>63808.639999999999</v>
      </c>
      <c r="P50" s="7">
        <f t="shared" ref="P50" si="543">IF(OR(P49="",P48=""),"",P48+P49)</f>
        <v>263014.05</v>
      </c>
      <c r="Q50" s="7">
        <f t="shared" ref="Q50" si="544">IF(OR(Q49="",Q48=""),"",Q48+Q49)</f>
        <v>244909.96000000002</v>
      </c>
      <c r="R50" s="7">
        <f t="shared" ref="R50" si="545">IF(OR(R49="",R48=""),"",R48+R49)</f>
        <v>231282.97661237026</v>
      </c>
      <c r="S50" s="7">
        <f t="shared" ref="S50" si="546">IF(OR(S49="",S48=""),"",S48+S49)</f>
        <v>239217.90704664431</v>
      </c>
      <c r="T50" s="7">
        <f t="shared" ref="T50" si="547">IF(OR(T49="",T48=""),"",T48+T49)</f>
        <v>271259.65125503595</v>
      </c>
      <c r="U50" s="7">
        <f t="shared" ref="U50" si="548">IF(OR(U49="",U48=""),"",U48+U49)</f>
        <v>294308.76744412479</v>
      </c>
      <c r="V50" s="7">
        <f t="shared" ref="V50" si="549">IF(OR(V49="",V48=""),"",V48+V49)</f>
        <v>299780.19767902105</v>
      </c>
      <c r="W50" s="7">
        <f t="shared" ref="W50" si="550">IF(OR(W49="",W48=""),"",W48+W49)</f>
        <v>283143.22534638015</v>
      </c>
      <c r="X50" s="7">
        <f t="shared" ref="X50" si="551">IF(OR(X49="",X48=""),"",X48+X49)</f>
        <v>272157.89540680213</v>
      </c>
      <c r="Y50" s="7">
        <f t="shared" ref="Y50" si="552">IF(OR(Y49="",Y48=""),"",Y48+Y49)</f>
        <v>242918.52241835895</v>
      </c>
      <c r="Z50" s="7">
        <f t="shared" ref="Z50" si="553">IF(OR(Z49="",Z48=""),"",Z48+Z49)</f>
        <v>252542.68431740938</v>
      </c>
      <c r="AA50" s="7">
        <f t="shared" ref="AA50" si="554">IF(OR(AA49="",AA48=""),"",AA48+AA49)</f>
        <v>302156.1193849984</v>
      </c>
      <c r="AB50" s="7">
        <f t="shared" ref="AB50" si="555">IF(OR(AB49="",AB48=""),"",AB48+AB49)</f>
        <v>598487.04000000004</v>
      </c>
      <c r="AC50" s="7">
        <f t="shared" ref="AC50" si="556">IF(OR(AC49="",AC48=""),"",AC48+AC49)</f>
        <v>558747.3294458657</v>
      </c>
      <c r="AD50" s="7">
        <f t="shared" ref="AD50" si="557">IF(OR(AD49="",AD48=""),"",AD48+AD49)</f>
        <v>563694.62207482441</v>
      </c>
      <c r="AE50" s="7">
        <f t="shared" ref="AE50" si="558">IF(OR(AE49="",AE48=""),"",AE48+AE49)</f>
        <v>561766.62478252687</v>
      </c>
      <c r="AF50" s="7">
        <f t="shared" ref="AF50" si="559">IF(OR(AF49="",AF48=""),"",AF48+AF49)</f>
        <v>670170.38554201112</v>
      </c>
      <c r="AG50" s="7">
        <f t="shared" ref="AG50" si="560">IF(OR(AG49="",AG48=""),"",AG48+AG49)</f>
        <v>711152.09586693975</v>
      </c>
      <c r="AH50" s="7">
        <f t="shared" ref="AH50" si="561">IF(OR(AH49="",AH48=""),"",AH48+AH49)</f>
        <v>673534.14216571092</v>
      </c>
      <c r="AI50" s="7">
        <f t="shared" ref="AI50" si="562">IF(OR(AI49="",AI48=""),"",AI48+AI49)</f>
        <v>685604.80216665135</v>
      </c>
      <c r="AJ50" s="7">
        <f t="shared" ref="AJ50" si="563">IF(OR(AJ49="",AJ48=""),"",AJ48+AJ49)</f>
        <v>622737.81761485478</v>
      </c>
      <c r="AK50" s="7">
        <f t="shared" ref="AK50" si="564">IF(OR(AK49="",AK48=""),"",AK48+AK49)</f>
        <v>552104.57877388981</v>
      </c>
      <c r="AL50" s="7">
        <f t="shared" ref="AL50" si="565">IF(OR(AL49="",AL48=""),"",AL48+AL49)</f>
        <v>599345.43362508598</v>
      </c>
      <c r="AM50" s="7">
        <f t="shared" ref="AM50:BJ50" si="566">IF(OR(AM49="",AM48=""),"",AM48+AM49)</f>
        <v>654556.82123092399</v>
      </c>
      <c r="AN50" s="7">
        <f t="shared" si="566"/>
        <v>1067072.8450648431</v>
      </c>
      <c r="AO50" s="7">
        <f t="shared" si="566"/>
        <v>1013006.6914029967</v>
      </c>
      <c r="AP50" s="7">
        <f t="shared" si="566"/>
        <v>912320.24189445085</v>
      </c>
      <c r="AQ50" s="7">
        <f t="shared" si="566"/>
        <v>945052.11694109696</v>
      </c>
      <c r="AR50" s="7">
        <f t="shared" si="566"/>
        <v>1051937.8276982794</v>
      </c>
      <c r="AS50" s="7">
        <f t="shared" si="566"/>
        <v>1131186.5865751</v>
      </c>
      <c r="AT50" s="7">
        <f t="shared" si="566"/>
        <v>1157167.5182335845</v>
      </c>
      <c r="AU50" s="7">
        <f t="shared" si="566"/>
        <v>1168762.557730576</v>
      </c>
      <c r="AV50" s="7">
        <f t="shared" si="566"/>
        <v>1073481.2018631792</v>
      </c>
      <c r="AW50" s="7">
        <f t="shared" si="566"/>
        <v>945822.17422696995</v>
      </c>
      <c r="AX50" s="7">
        <f t="shared" si="566"/>
        <v>1024634.9147087046</v>
      </c>
      <c r="AY50" s="7">
        <f t="shared" si="566"/>
        <v>1059487.7108177633</v>
      </c>
      <c r="AZ50" s="7">
        <f t="shared" si="566"/>
        <v>628629.46598139801</v>
      </c>
      <c r="BA50" s="7">
        <f t="shared" si="566"/>
        <v>262378.34714683512</v>
      </c>
      <c r="BB50" s="7">
        <f t="shared" si="566"/>
        <v>220880.212279083</v>
      </c>
      <c r="BC50" s="7">
        <f t="shared" si="566"/>
        <v>205144.96076692484</v>
      </c>
      <c r="BD50" s="7">
        <f t="shared" si="566"/>
        <v>244260.66746010334</v>
      </c>
      <c r="BE50" s="7">
        <f t="shared" si="566"/>
        <v>285172.07320999855</v>
      </c>
      <c r="BF50" s="7">
        <f t="shared" si="566"/>
        <v>283816.8208053736</v>
      </c>
      <c r="BG50" s="7">
        <f t="shared" si="566"/>
        <v>282876.299570036</v>
      </c>
      <c r="BH50" s="7">
        <f t="shared" si="566"/>
        <v>241373.72528354992</v>
      </c>
      <c r="BI50" s="7">
        <f t="shared" si="566"/>
        <v>234989.66387214002</v>
      </c>
      <c r="BJ50" s="7">
        <f t="shared" si="566"/>
        <v>252463.03210147406</v>
      </c>
      <c r="BK50" s="7">
        <f t="shared" ref="BK50:BL50" si="567">IF(OR(BK49="",BK48=""),"",BK48+BK49)</f>
        <v>270426.83665898885</v>
      </c>
      <c r="BL50" s="7">
        <f t="shared" si="567"/>
        <v>-26143.311056378283</v>
      </c>
      <c r="BM50" s="7">
        <f t="shared" ref="BM50:BN50" si="568">IF(OR(BM49="",BM48=""),"",BM48+BM49)</f>
        <v>27902.824440167751</v>
      </c>
      <c r="BN50" s="7">
        <f t="shared" si="568"/>
        <v>24526.349546432553</v>
      </c>
      <c r="BO50" s="7">
        <f t="shared" ref="BO50:BP50" si="569">IF(OR(BO49="",BO48=""),"",BO48+BO49)</f>
        <v>24737.704123671661</v>
      </c>
      <c r="BP50" s="7">
        <f t="shared" si="569"/>
        <v>27500.258151473507</v>
      </c>
      <c r="BQ50" s="7">
        <f t="shared" ref="BQ50:BR50" si="570">IF(OR(BQ49="",BQ48=""),"",BQ48+BQ49)</f>
        <v>32131.409206586803</v>
      </c>
      <c r="BR50" s="7">
        <f t="shared" si="570"/>
        <v>31999.31264843262</v>
      </c>
      <c r="BS50" s="7">
        <f t="shared" ref="BS50:BT50" si="571">IF(OR(BS49="",BS48=""),"",BS48+BS49)</f>
        <v>32588.647450219258</v>
      </c>
      <c r="BT50" s="7">
        <f t="shared" si="571"/>
        <v>28429.541722582362</v>
      </c>
      <c r="BU50" s="7">
        <f t="shared" ref="BU50:BV50" si="572">IF(OR(BU49="",BU48=""),"",BU48+BU49)</f>
        <v>25622.507220371379</v>
      </c>
      <c r="BV50" s="7">
        <f t="shared" si="572"/>
        <v>28133.24994185353</v>
      </c>
      <c r="BW50" s="7">
        <f t="shared" ref="BW50:BX50" si="573">IF(OR(BW49="",BW48=""),"",BW48+BW49)</f>
        <v>30224.720865123847</v>
      </c>
      <c r="BX50" s="7">
        <f t="shared" si="573"/>
        <v>4425.1623695121816</v>
      </c>
      <c r="BY50" s="7">
        <f t="shared" ref="BY50:BZ50" si="574">IF(OR(BY49="",BY48=""),"",BY48+BY49)</f>
        <v>922.99357159134161</v>
      </c>
      <c r="BZ50" s="7">
        <f t="shared" si="574"/>
        <v>828.12816488022145</v>
      </c>
      <c r="CA50" s="7">
        <f t="shared" ref="CA50:CB50" si="575">IF(OR(CA49="",CA48=""),"",CA48+CA49)</f>
        <v>837.04919207446073</v>
      </c>
      <c r="CB50" s="7">
        <f t="shared" si="575"/>
        <v>934.98980935632062</v>
      </c>
      <c r="CC50" s="7">
        <f t="shared" ref="CC50:CD50" si="576">IF(OR(CC49="",CC48=""),"",CC48+CC49)</f>
        <v>1076.228982074761</v>
      </c>
      <c r="CD50" s="7">
        <f t="shared" si="576"/>
        <v>1054.389252212648</v>
      </c>
      <c r="CE50" s="7">
        <f t="shared" ref="CE50:CF50" si="577">IF(OR(CE49="",CE48=""),"",CE48+CE49)</f>
        <v>1003.6188526802143</v>
      </c>
      <c r="CF50" s="7">
        <f t="shared" si="577"/>
        <v>862.99131463671438</v>
      </c>
      <c r="CG50" s="7">
        <f t="shared" ref="CG50:CH50" si="578">IF(OR(CG49="",CG48=""),"",CG48+CG49)</f>
        <v>823.76785360491704</v>
      </c>
      <c r="CH50" s="7">
        <f t="shared" si="578"/>
        <v>980.17199979259385</v>
      </c>
      <c r="CI50" s="7">
        <f t="shared" ref="CI50:CJ50" si="579">IF(OR(CI49="",CI48=""),"",CI48+CI49)</f>
        <v>1013.9548619723973</v>
      </c>
      <c r="CJ50" s="7">
        <f t="shared" si="579"/>
        <v>-1.1310689918245771</v>
      </c>
      <c r="CK50" s="7">
        <f t="shared" ref="CK50:CL50" si="580">IF(OR(CK49="",CK48=""),"",CK48+CK49)</f>
        <v>-185.00644761565991</v>
      </c>
      <c r="CL50" s="7">
        <f t="shared" si="580"/>
        <v>-166.13754762541566</v>
      </c>
      <c r="CM50" s="7">
        <f t="shared" ref="CM50:CN50" si="581">IF(OR(CM49="",CM48=""),"",CM48+CM49)</f>
        <v>-139.97531151529574</v>
      </c>
      <c r="CN50" s="7">
        <f t="shared" si="581"/>
        <v>-155.58872786328357</v>
      </c>
      <c r="CO50" s="7">
        <f t="shared" ref="CO50:CP50" si="582">IF(OR(CO49="",CO48=""),"",CO48+CO49)</f>
        <v>-182.83041355609521</v>
      </c>
      <c r="CP50" s="7">
        <f t="shared" si="582"/>
        <v>-192.00192505796622</v>
      </c>
      <c r="CQ50" s="7">
        <f t="shared" ref="CQ50:CR50" si="583">IF(OR(CQ49="",CQ48=""),"",CQ48+CQ49)</f>
        <v>-187.23295134499813</v>
      </c>
      <c r="CR50" s="7">
        <f t="shared" si="583"/>
        <v>-160.84353881608104</v>
      </c>
      <c r="CS50" s="7">
        <f t="shared" ref="CS50:CT50" si="584">IF(OR(CS49="",CS48=""),"",CS48+CS49)</f>
        <v>-154.42207264758372</v>
      </c>
      <c r="CT50" s="7">
        <f t="shared" si="584"/>
        <v>-200.63041638919003</v>
      </c>
      <c r="CU50" s="7">
        <f t="shared" ref="CU50" si="585">IF(OR(CU49="",CU48=""),"",CU48+CU49)</f>
        <v>-238.22162535919506</v>
      </c>
    </row>
    <row r="51" spans="1:99" s="4" customFormat="1" hidden="1" outlineLevel="1" x14ac:dyDescent="0.25">
      <c r="A51" s="292"/>
      <c r="B51" s="16" t="s">
        <v>13</v>
      </c>
      <c r="C51" s="24"/>
      <c r="D51" s="24"/>
      <c r="E51" s="7">
        <f t="shared" ref="E51:N51" si="586">IF(OR(E48="",E47=""),"",E47-E48)</f>
        <v>0</v>
      </c>
      <c r="F51" s="7">
        <f t="shared" si="586"/>
        <v>0</v>
      </c>
      <c r="G51" s="7">
        <f t="shared" si="586"/>
        <v>-2460.2199999999998</v>
      </c>
      <c r="H51" s="7">
        <f t="shared" si="586"/>
        <v>-33758.050000000003</v>
      </c>
      <c r="I51" s="7">
        <f t="shared" si="586"/>
        <v>-21639.839999999997</v>
      </c>
      <c r="J51" s="7">
        <f t="shared" si="586"/>
        <v>-12324.613120248869</v>
      </c>
      <c r="K51" s="7">
        <f t="shared" si="586"/>
        <v>10707.581306139036</v>
      </c>
      <c r="L51" s="7">
        <f t="shared" si="586"/>
        <v>7716.2748406804458</v>
      </c>
      <c r="M51" s="7">
        <f t="shared" si="586"/>
        <v>19152.98271623841</v>
      </c>
      <c r="N51" s="7">
        <f t="shared" si="586"/>
        <v>37688.57344597984</v>
      </c>
      <c r="O51" s="7">
        <f>IF(OR(O50="",O47=""),"",O47-O50)</f>
        <v>34655.832713338357</v>
      </c>
      <c r="P51" s="7">
        <f t="shared" ref="P51:AM51" si="587">IF(OR(P50="",P47=""),"",P47-P50)</f>
        <v>-170193.80256055057</v>
      </c>
      <c r="Q51" s="7">
        <f t="shared" si="587"/>
        <v>-129031.441408748</v>
      </c>
      <c r="R51" s="7">
        <f t="shared" si="587"/>
        <v>-167104.63236901932</v>
      </c>
      <c r="S51" s="7">
        <f t="shared" si="587"/>
        <v>-136350.68845207806</v>
      </c>
      <c r="T51" s="7">
        <f t="shared" si="587"/>
        <v>-46233.543431487604</v>
      </c>
      <c r="U51" s="7">
        <f t="shared" si="587"/>
        <v>37897.282555875252</v>
      </c>
      <c r="V51" s="7">
        <f t="shared" si="587"/>
        <v>26785.240605054714</v>
      </c>
      <c r="W51" s="7">
        <f t="shared" si="587"/>
        <v>74008.907914075651</v>
      </c>
      <c r="X51" s="7">
        <f t="shared" si="587"/>
        <v>-38992.545426515513</v>
      </c>
      <c r="Y51" s="7">
        <f t="shared" si="587"/>
        <v>-183.32332720785053</v>
      </c>
      <c r="Z51" s="7">
        <f t="shared" si="587"/>
        <v>17718.206799899723</v>
      </c>
      <c r="AA51" s="7">
        <f t="shared" si="587"/>
        <v>16775.867971951258</v>
      </c>
      <c r="AB51" s="7">
        <f t="shared" si="587"/>
        <v>-320061.09491094924</v>
      </c>
      <c r="AC51" s="7">
        <f t="shared" si="587"/>
        <v>-233573.28264377592</v>
      </c>
      <c r="AD51" s="7">
        <f t="shared" si="587"/>
        <v>-220536.32958706102</v>
      </c>
      <c r="AE51" s="7">
        <f t="shared" si="587"/>
        <v>-104648.59463936655</v>
      </c>
      <c r="AF51" s="7">
        <f t="shared" si="587"/>
        <v>216655.1975093364</v>
      </c>
      <c r="AG51" s="7">
        <f t="shared" si="587"/>
        <v>486366.18625822687</v>
      </c>
      <c r="AH51" s="7">
        <f t="shared" si="587"/>
        <v>356741.24316562619</v>
      </c>
      <c r="AI51" s="7">
        <f t="shared" si="587"/>
        <v>348182.01101029362</v>
      </c>
      <c r="AJ51" s="7">
        <f t="shared" si="587"/>
        <v>-57600.392894642544</v>
      </c>
      <c r="AK51" s="7">
        <f t="shared" si="587"/>
        <v>-36718.030907329987</v>
      </c>
      <c r="AL51" s="7">
        <f t="shared" si="587"/>
        <v>1276.1738672603387</v>
      </c>
      <c r="AM51" s="7">
        <f t="shared" si="587"/>
        <v>23284.017636874458</v>
      </c>
      <c r="AN51" s="7">
        <f t="shared" ref="AN51:BJ51" si="588">IF(OR(AN50="",AN47=""),"",AN47-AN50)</f>
        <v>-476503.50428918761</v>
      </c>
      <c r="AO51" s="7">
        <f t="shared" si="588"/>
        <v>-227473.47410872567</v>
      </c>
      <c r="AP51" s="7">
        <f t="shared" si="588"/>
        <v>-152597.3512031635</v>
      </c>
      <c r="AQ51" s="7">
        <f t="shared" si="588"/>
        <v>-214478.25261101569</v>
      </c>
      <c r="AR51" s="7">
        <f t="shared" si="588"/>
        <v>649323.47075894405</v>
      </c>
      <c r="AS51" s="7">
        <f t="shared" si="588"/>
        <v>1007142.7276474799</v>
      </c>
      <c r="AT51" s="7">
        <f t="shared" si="588"/>
        <v>650581.00375909545</v>
      </c>
      <c r="AU51" s="7">
        <f t="shared" si="588"/>
        <v>481911.89108722727</v>
      </c>
      <c r="AV51" s="7">
        <f t="shared" si="588"/>
        <v>-227316.81112048554</v>
      </c>
      <c r="AW51" s="7">
        <f t="shared" si="588"/>
        <v>-222909.65387424082</v>
      </c>
      <c r="AX51" s="7">
        <f t="shared" si="588"/>
        <v>-237185.8665688755</v>
      </c>
      <c r="AY51" s="7">
        <f t="shared" si="588"/>
        <v>-237610.72676880972</v>
      </c>
      <c r="AZ51" s="7">
        <f t="shared" si="588"/>
        <v>34513.536481947405</v>
      </c>
      <c r="BA51" s="7">
        <f t="shared" si="588"/>
        <v>455486.79100704758</v>
      </c>
      <c r="BB51" s="7">
        <f t="shared" si="588"/>
        <v>-218593.90227908062</v>
      </c>
      <c r="BC51" s="7">
        <f t="shared" si="588"/>
        <v>-203171.60526517575</v>
      </c>
      <c r="BD51" s="7">
        <f t="shared" si="588"/>
        <v>-232037.35746010096</v>
      </c>
      <c r="BE51" s="7">
        <f t="shared" si="588"/>
        <v>-262318.89320999885</v>
      </c>
      <c r="BF51" s="7">
        <f t="shared" si="588"/>
        <v>-263276.55080537405</v>
      </c>
      <c r="BG51" s="7">
        <f t="shared" si="588"/>
        <v>-267854.08957003511</v>
      </c>
      <c r="BH51" s="7">
        <f t="shared" si="588"/>
        <v>-234662.63528355007</v>
      </c>
      <c r="BI51" s="7">
        <f t="shared" si="588"/>
        <v>-228286.82387214017</v>
      </c>
      <c r="BJ51" s="7">
        <f t="shared" si="588"/>
        <v>-244335.99210147496</v>
      </c>
      <c r="BK51" s="7">
        <f t="shared" ref="BK51:BL51" si="589">IF(OR(BK50="",BK47=""),"",BK47-BK50)</f>
        <v>-262097.5366589881</v>
      </c>
      <c r="BL51" s="7">
        <f t="shared" si="589"/>
        <v>34943.581056377836</v>
      </c>
      <c r="BM51" s="7">
        <f t="shared" ref="BM51:BN51" si="590">IF(OR(BM50="",BM47=""),"",BM47-BM50)</f>
        <v>-17569.754440167453</v>
      </c>
      <c r="BN51" s="7">
        <f t="shared" si="590"/>
        <v>-15766.339546430914</v>
      </c>
      <c r="BO51" s="7">
        <f t="shared" ref="BO51:BP51" si="591">IF(OR(BO50="",BO47=""),"",BO47-BO50)</f>
        <v>-13692.794123675238</v>
      </c>
      <c r="BP51" s="7">
        <f t="shared" si="591"/>
        <v>4407.0518485288776</v>
      </c>
      <c r="BQ51" s="7">
        <f t="shared" ref="BQ51:BR51" si="592">IF(OR(BQ50="",BQ47=""),"",BQ47-BQ50)</f>
        <v>8814.7707934128994</v>
      </c>
      <c r="BR51" s="7">
        <f t="shared" si="592"/>
        <v>4411.0473515667836</v>
      </c>
      <c r="BS51" s="7">
        <f t="shared" ref="BS51:BT51" si="593">IF(OR(BS50="",BS47=""),"",BS47-BS50)</f>
        <v>-10270.247450220748</v>
      </c>
      <c r="BT51" s="7">
        <f t="shared" si="593"/>
        <v>-19485.251722579531</v>
      </c>
      <c r="BU51" s="7">
        <f t="shared" ref="BU51:BV51" si="594">IF(OR(BU50="",BU47=""),"",BU47-BU50)</f>
        <v>-16309.857220372869</v>
      </c>
      <c r="BV51" s="7">
        <f t="shared" si="594"/>
        <v>-16381.529941854722</v>
      </c>
      <c r="BW51" s="7">
        <f t="shared" ref="BW51:BX51" si="595">IF(OR(BW50="",BW47=""),"",BW47-BW50)</f>
        <v>-18219.410865121463</v>
      </c>
      <c r="BX51" s="7">
        <f t="shared" si="595"/>
        <v>5701.3676304852852</v>
      </c>
      <c r="BY51" s="7">
        <f t="shared" ref="BY51:BZ51" si="596">IF(OR(BY50="",BY47=""),"",BY47-BY50)</f>
        <v>-922.99357159134161</v>
      </c>
      <c r="BZ51" s="7">
        <f t="shared" si="596"/>
        <v>-828.12816488022145</v>
      </c>
      <c r="CA51" s="7">
        <f t="shared" ref="CA51:CB51" si="597">IF(OR(CA50="",CA47=""),"",CA47-CA50)</f>
        <v>-837.04919207446073</v>
      </c>
      <c r="CB51" s="7">
        <f t="shared" si="597"/>
        <v>-934.98980935632062</v>
      </c>
      <c r="CC51" s="7">
        <f t="shared" ref="CC51:CD51" si="598">IF(OR(CC50="",CC47=""),"",CC47-CC50)</f>
        <v>-1076.228982074761</v>
      </c>
      <c r="CD51" s="7">
        <f t="shared" si="598"/>
        <v>-1054.389252212648</v>
      </c>
      <c r="CE51" s="7">
        <f t="shared" ref="CE51" si="599">IF(OR(CE50="",CE47=""),"",CE47-CE50)</f>
        <v>-1003.6188526802143</v>
      </c>
      <c r="CF51" s="126">
        <f>IF(OR(CF50="",CF47=""),"",CF47-CF50)+CF46</f>
        <v>-3755.2790515043343</v>
      </c>
      <c r="CG51" s="7">
        <f t="shared" ref="CG51:CL51" si="600">IF(OR(CG50="",CG47=""),"",CG47-CG50)</f>
        <v>-823.76785360491704</v>
      </c>
      <c r="CH51" s="7">
        <f t="shared" si="600"/>
        <v>-980.17199979259385</v>
      </c>
      <c r="CI51" s="7">
        <f t="shared" si="600"/>
        <v>-1013.9548619723973</v>
      </c>
      <c r="CJ51" s="7">
        <f t="shared" si="600"/>
        <v>1.1310689918245771</v>
      </c>
      <c r="CK51" s="7">
        <f t="shared" si="600"/>
        <v>185.00644761565991</v>
      </c>
      <c r="CL51" s="7">
        <f t="shared" si="600"/>
        <v>166.13754762541566</v>
      </c>
      <c r="CM51" s="7">
        <f t="shared" ref="CM51:CN51" si="601">IF(OR(CM50="",CM47=""),"",CM47-CM50)</f>
        <v>139.97531151529574</v>
      </c>
      <c r="CN51" s="7">
        <f t="shared" si="601"/>
        <v>155.58872786328357</v>
      </c>
      <c r="CO51" s="7">
        <f t="shared" ref="CO51:CP51" si="602">IF(OR(CO50="",CO47=""),"",CO47-CO50)</f>
        <v>182.83041355609521</v>
      </c>
      <c r="CP51" s="7">
        <f t="shared" si="602"/>
        <v>192.00192505796622</v>
      </c>
      <c r="CQ51" s="7">
        <f t="shared" ref="CQ51:CR51" si="603">IF(OR(CQ50="",CQ47=""),"",CQ47-CQ50)</f>
        <v>187.23295134499813</v>
      </c>
      <c r="CR51" s="7">
        <f t="shared" si="603"/>
        <v>160.84353881608104</v>
      </c>
      <c r="CS51" s="7">
        <f t="shared" ref="CS51:CT51" si="604">IF(OR(CS50="",CS47=""),"",CS47-CS50)</f>
        <v>154.42207264758372</v>
      </c>
      <c r="CT51" s="7">
        <f t="shared" si="604"/>
        <v>200.63041638919003</v>
      </c>
      <c r="CU51" s="7">
        <f t="shared" ref="CU51" si="605">IF(OR(CU50="",CU47=""),"",CU47-CU50)</f>
        <v>238.22162535919506</v>
      </c>
    </row>
    <row r="52" spans="1:99" s="4" customFormat="1" hidden="1" outlineLevel="1" x14ac:dyDescent="0.25">
      <c r="A52" s="292"/>
      <c r="B52" s="17" t="s">
        <v>8</v>
      </c>
      <c r="C52" s="28"/>
      <c r="D52" s="28"/>
      <c r="E52" s="7">
        <f t="shared" ref="E52:N52" si="606">IF(OR(E9="",E51=""),"",(E51+D54)*E9/12)</f>
        <v>0</v>
      </c>
      <c r="F52" s="7">
        <f t="shared" si="606"/>
        <v>0</v>
      </c>
      <c r="G52" s="7">
        <f t="shared" si="606"/>
        <v>-1.5495162622333332</v>
      </c>
      <c r="H52" s="7">
        <f t="shared" si="606"/>
        <v>-18.904391499220328</v>
      </c>
      <c r="I52" s="7">
        <f t="shared" si="606"/>
        <v>-30.340087896858321</v>
      </c>
      <c r="J52" s="7">
        <f t="shared" si="606"/>
        <v>-44.748466039367251</v>
      </c>
      <c r="K52" s="7">
        <f t="shared" si="606"/>
        <v>-37.502709666462287</v>
      </c>
      <c r="L52" s="7">
        <f t="shared" si="606"/>
        <v>-32.872229045923085</v>
      </c>
      <c r="M52" s="7">
        <f t="shared" si="606"/>
        <v>-20.868673648039628</v>
      </c>
      <c r="N52" s="7">
        <f t="shared" si="606"/>
        <v>3.925714633838659</v>
      </c>
      <c r="O52" s="8">
        <f>IF(OR(O9="",O51=""),"",(O49+O51+N54)*O9/12)</f>
        <v>29.666746157027216</v>
      </c>
      <c r="P52" s="8">
        <f>IF(OR(P9="",P51=""),"",(P49+P51+O54+P46)*P9/12)</f>
        <v>527.5303352365413</v>
      </c>
      <c r="Q52" s="8">
        <f t="shared" ref="Q52:AM52" si="607">IF(OR(Q9="",Q51=""),"",(Q49+Q51+P54)*Q9/12)</f>
        <v>486.75683844013219</v>
      </c>
      <c r="R52" s="8">
        <f t="shared" si="607"/>
        <v>264.03810605666047</v>
      </c>
      <c r="S52" s="8">
        <f t="shared" si="607"/>
        <v>68.799241975056603</v>
      </c>
      <c r="T52" s="8">
        <f t="shared" si="607"/>
        <v>-59.978345968477406</v>
      </c>
      <c r="U52" s="8">
        <f t="shared" si="607"/>
        <v>-112.16077847929522</v>
      </c>
      <c r="V52" s="8">
        <f t="shared" si="607"/>
        <v>-189.58901591149342</v>
      </c>
      <c r="W52" s="8">
        <f t="shared" si="607"/>
        <v>-194.85380221735295</v>
      </c>
      <c r="X52" s="8">
        <f t="shared" si="607"/>
        <v>-335.66340871323001</v>
      </c>
      <c r="Y52" s="8">
        <f t="shared" si="607"/>
        <v>-417.54411625669201</v>
      </c>
      <c r="Z52" s="8">
        <f t="shared" si="607"/>
        <v>-594.6513173750152</v>
      </c>
      <c r="AA52" s="8">
        <f t="shared" si="607"/>
        <v>-676.64979570680418</v>
      </c>
      <c r="AB52" s="8">
        <f t="shared" si="607"/>
        <v>-1145.6213357305476</v>
      </c>
      <c r="AC52" s="8">
        <f t="shared" si="607"/>
        <v>-1622.4924484479159</v>
      </c>
      <c r="AD52" s="8">
        <f t="shared" si="607"/>
        <v>-2177.7529458384515</v>
      </c>
      <c r="AE52" s="8">
        <f t="shared" si="607"/>
        <v>-2196.055673068317</v>
      </c>
      <c r="AF52" s="8">
        <f t="shared" si="607"/>
        <v>-1780.9076789998578</v>
      </c>
      <c r="AG52" s="8">
        <f t="shared" si="607"/>
        <v>-789.21302857668149</v>
      </c>
      <c r="AH52" s="8">
        <f t="shared" si="607"/>
        <v>-1.4723605345587236</v>
      </c>
      <c r="AI52" s="8">
        <f t="shared" si="607"/>
        <v>766.65104231200587</v>
      </c>
      <c r="AJ52" s="8">
        <f t="shared" si="607"/>
        <v>781.11189243826402</v>
      </c>
      <c r="AK52" s="8">
        <f t="shared" si="607"/>
        <v>808.58682932986676</v>
      </c>
      <c r="AL52" s="8">
        <f t="shared" si="607"/>
        <v>982.3062995736251</v>
      </c>
      <c r="AM52" s="8">
        <f t="shared" si="607"/>
        <v>1190.7922085434036</v>
      </c>
      <c r="AN52" s="8">
        <f t="shared" ref="AN52" si="608">IF(OR(AN9="",AN51=""),"",(AN49+AN51+AM54)*AN9/12)</f>
        <v>-40.979461694536845</v>
      </c>
      <c r="AO52" s="8">
        <f t="shared" ref="AO52" si="609">IF(OR(AO9="",AO51=""),"",(AO49+AO51+AN54)*AO9/12)</f>
        <v>-656.86449522344037</v>
      </c>
      <c r="AP52" s="8">
        <f t="shared" ref="AP52" si="610">IF(OR(AP9="",AP51=""),"",(AP49+AP51+AO54)*AP9/12)</f>
        <v>-1042.8842992710304</v>
      </c>
      <c r="AQ52" s="8">
        <f t="shared" ref="AQ52" si="611">IF(OR(AQ9="",AQ51=""),"",(AQ49+AQ51+AP54)*AQ9/12)</f>
        <v>-1608.2259340456974</v>
      </c>
      <c r="AR52" s="8">
        <f t="shared" ref="AR52" si="612">IF(OR(AR9="",AR51=""),"",(AR49+AR51+AQ54)*AR9/12)</f>
        <v>-247.95795683516053</v>
      </c>
      <c r="AS52" s="8">
        <f t="shared" ref="AS52" si="613">IF(OR(AS9="",AS51=""),"",(AS49+AS51+AR54)*AS9/12)</f>
        <v>1843.341972866099</v>
      </c>
      <c r="AT52" s="8">
        <f t="shared" ref="AT52" si="614">IF(OR(AT9="",AT51=""),"",(AT49+AT51+AS54)*AT9/12)</f>
        <v>2864.0342708477115</v>
      </c>
      <c r="AU52" s="8">
        <f t="shared" ref="AU52" si="615">IF(OR(AU9="",AU51=""),"",(AU49+AU51+AT54)*AU9/12)</f>
        <v>3515.5400413965067</v>
      </c>
      <c r="AV52" s="8">
        <f t="shared" ref="AV52" si="616">IF(OR(AV9="",AV51=""),"",(AV49+AV51+AU54)*AV9/12)</f>
        <v>2887.6094026440933</v>
      </c>
      <c r="AW52" s="8">
        <f t="shared" ref="AW52" si="617">IF(OR(AW9="",AW51=""),"",(AW49+AW51+AV54)*AW9/12)</f>
        <v>2094.2447951894328</v>
      </c>
      <c r="AX52" s="8">
        <f t="shared" ref="AX52" si="618">IF(OR(AX9="",AX51=""),"",(AX49+AX51+AW54)*AX9/12)</f>
        <v>1772.3312675428433</v>
      </c>
      <c r="AY52" s="8">
        <f t="shared" ref="AY52" si="619">IF(OR(AY9="",AY51=""),"",(AY49+AY51+AX54)*AY9/12)</f>
        <v>1314.5375710958215</v>
      </c>
      <c r="AZ52" s="8">
        <f t="shared" ref="AZ52" si="620">IF(OR(AZ9="",AZ51=""),"",(AZ49+AZ51+AY54)*AZ9/12)</f>
        <v>1104.8156210230293</v>
      </c>
      <c r="BA52" s="8">
        <f t="shared" ref="BA52" si="621">IF(OR(BA9="",BA51=""),"",(BA49+BA51+AZ54)*BA9/12)</f>
        <v>1786.9648898729204</v>
      </c>
      <c r="BB52" s="8">
        <f t="shared" ref="BB52" si="622">IF(OR(BB9="",BB51=""),"",(BB49+BB51+BA54)*BB9/12)</f>
        <v>681.40243134752825</v>
      </c>
      <c r="BC52" s="8">
        <f t="shared" ref="BC52" si="623">IF(OR(BC9="",BC51=""),"",(BC49+BC51+BB54)*BC9/12)</f>
        <v>67.209757498420615</v>
      </c>
      <c r="BD52" s="8">
        <f t="shared" ref="BD52" si="624">IF(OR(BD9="",BD51=""),"",(BD49+BD51+BC54)*BD9/12)</f>
        <v>35.660479476362262</v>
      </c>
      <c r="BE52" s="8">
        <f t="shared" ref="BE52" si="625">IF(OR(BE9="",BE51=""),"",(BE49+BE51+BD54)*BE9/12)</f>
        <v>2.7892288867433432</v>
      </c>
      <c r="BF52" s="8">
        <f t="shared" ref="BF52" si="626">IF(OR(BF9="",BF51=""),"",(BF49+BF51+BE54)*BF9/12)</f>
        <v>-34.914078157991433</v>
      </c>
      <c r="BG52" s="8">
        <f t="shared" ref="BG52" si="627">IF(OR(BG9="",BG51=""),"",(BG49+BG51+BF54)*BG9/12)</f>
        <v>-65.590525310840874</v>
      </c>
      <c r="BH52" s="8">
        <f t="shared" ref="BH52" si="628">IF(OR(BH9="",BH51=""),"",(BH49+BH51+BG54)*BH9/12)</f>
        <v>-153.5943993905278</v>
      </c>
      <c r="BI52" s="8">
        <f t="shared" ref="BI52" si="629">IF(OR(BI9="",BI51=""),"",(BI49+BI51+BH54)*BI9/12)</f>
        <v>-252.51225972469396</v>
      </c>
      <c r="BJ52" s="8">
        <f t="shared" ref="BJ52:CH52" si="630">IF(OR(BJ9="",BJ51=""),"",(BJ49+BJ51+BI54)*BJ9/12)</f>
        <v>-355.63683511169074</v>
      </c>
      <c r="BK52" s="8">
        <f t="shared" si="630"/>
        <v>-312.54504051092721</v>
      </c>
      <c r="BL52" s="8">
        <f t="shared" si="630"/>
        <v>-375.41309181071557</v>
      </c>
      <c r="BM52" s="8">
        <f t="shared" si="630"/>
        <v>-322.96313599808968</v>
      </c>
      <c r="BN52" s="8">
        <f t="shared" si="630"/>
        <v>-319.05948263713418</v>
      </c>
      <c r="BO52" s="8">
        <f t="shared" si="630"/>
        <v>-295.89638063216751</v>
      </c>
      <c r="BP52" s="8">
        <f t="shared" si="630"/>
        <v>-240.7206599987627</v>
      </c>
      <c r="BQ52" s="8">
        <f t="shared" si="630"/>
        <v>-145.72869542682304</v>
      </c>
      <c r="BR52" s="8">
        <f t="shared" si="630"/>
        <v>-184.43221396673536</v>
      </c>
      <c r="BS52" s="8">
        <f t="shared" si="630"/>
        <v>-147.5809188506916</v>
      </c>
      <c r="BT52" s="8">
        <f t="shared" si="630"/>
        <v>-98.004816040377037</v>
      </c>
      <c r="BU52" s="8">
        <f t="shared" si="630"/>
        <v>-84.941653771023212</v>
      </c>
      <c r="BV52" s="8">
        <f t="shared" si="630"/>
        <v>-115.92016346648461</v>
      </c>
      <c r="BW52" s="8">
        <f t="shared" si="630"/>
        <v>-77.091957039179292</v>
      </c>
      <c r="BX52" s="8">
        <f t="shared" si="630"/>
        <v>-72.606903432645424</v>
      </c>
      <c r="BY52" s="8">
        <f t="shared" si="630"/>
        <v>-151.84084377784714</v>
      </c>
      <c r="BZ52" s="8">
        <f t="shared" si="630"/>
        <v>-118.68167734782816</v>
      </c>
      <c r="CA52" s="8">
        <f t="shared" si="630"/>
        <v>-165.36745250356313</v>
      </c>
      <c r="CB52" s="8">
        <f t="shared" si="630"/>
        <v>-219.66450445665825</v>
      </c>
      <c r="CC52" s="8">
        <f t="shared" si="630"/>
        <v>-242.2721320158704</v>
      </c>
      <c r="CD52" s="8">
        <f t="shared" si="630"/>
        <v>-226.9529873177261</v>
      </c>
      <c r="CE52" s="8">
        <f t="shared" si="630"/>
        <v>-172.07710541318775</v>
      </c>
      <c r="CF52" s="8">
        <f t="shared" si="630"/>
        <v>-134.90834045773241</v>
      </c>
      <c r="CG52" s="8">
        <f t="shared" si="630"/>
        <v>-69.13927538310152</v>
      </c>
      <c r="CH52" s="8">
        <f t="shared" si="630"/>
        <v>47.114576041296623</v>
      </c>
      <c r="CI52" s="227">
        <f>IF(OR(CI9="",CI51=""),"",(CI49+CI51+CH54+CI46)*CI9/12)+CI46</f>
        <v>287.61537462781166</v>
      </c>
      <c r="CJ52" s="227">
        <f t="shared" ref="CJ52:CU52" si="631">IF(OR(CJ9="",CJ51=""),"",(CJ49+CJ51+CI54)*CJ9/12)</f>
        <v>249.45028640148701</v>
      </c>
      <c r="CK52" s="227">
        <f t="shared" si="631"/>
        <v>244.33325686237109</v>
      </c>
      <c r="CL52" s="227">
        <f t="shared" si="631"/>
        <v>244.06630695908657</v>
      </c>
      <c r="CM52" s="227">
        <f t="shared" si="631"/>
        <v>233.79476744258204</v>
      </c>
      <c r="CN52" s="227">
        <f t="shared" si="631"/>
        <v>221.22278429323433</v>
      </c>
      <c r="CO52" s="227">
        <f t="shared" si="631"/>
        <v>206.21068640596602</v>
      </c>
      <c r="CP52" s="227">
        <f t="shared" si="631"/>
        <v>191.39988039603449</v>
      </c>
      <c r="CQ52" s="227">
        <f t="shared" si="631"/>
        <v>173.90954909152671</v>
      </c>
      <c r="CR52" s="227">
        <f t="shared" si="631"/>
        <v>157.50794418557118</v>
      </c>
      <c r="CS52" s="227">
        <f t="shared" si="631"/>
        <v>143.97026194143012</v>
      </c>
      <c r="CT52" s="227">
        <f t="shared" si="631"/>
        <v>129.32273828916863</v>
      </c>
      <c r="CU52" s="227">
        <f t="shared" si="631"/>
        <v>108.66645860571361</v>
      </c>
    </row>
    <row r="53" spans="1:99" s="4" customFormat="1" hidden="1" outlineLevel="1" x14ac:dyDescent="0.25">
      <c r="A53" s="292"/>
      <c r="B53" s="16" t="s">
        <v>14</v>
      </c>
      <c r="C53" s="24"/>
      <c r="D53" s="24"/>
      <c r="E53" s="7">
        <f t="shared" ref="E53:N53" si="632">IF(OR(E51="",E52=""),"",E51+E52)</f>
        <v>0</v>
      </c>
      <c r="F53" s="7">
        <f t="shared" si="632"/>
        <v>0</v>
      </c>
      <c r="G53" s="7">
        <f t="shared" si="632"/>
        <v>-2461.7695162622331</v>
      </c>
      <c r="H53" s="7">
        <f t="shared" si="632"/>
        <v>-33776.954391499225</v>
      </c>
      <c r="I53" s="7">
        <f t="shared" si="632"/>
        <v>-21670.180087896853</v>
      </c>
      <c r="J53" s="7">
        <f t="shared" si="632"/>
        <v>-12369.361586288236</v>
      </c>
      <c r="K53" s="7">
        <f t="shared" si="632"/>
        <v>10670.078596472575</v>
      </c>
      <c r="L53" s="7">
        <f t="shared" si="632"/>
        <v>7683.4026116345231</v>
      </c>
      <c r="M53" s="7">
        <f t="shared" si="632"/>
        <v>19132.114042590369</v>
      </c>
      <c r="N53" s="7">
        <f t="shared" si="632"/>
        <v>37692.499160613683</v>
      </c>
      <c r="O53" s="7">
        <f>IF(OR(O51="",O52=""),"",O51+O52)</f>
        <v>34685.499459495382</v>
      </c>
      <c r="P53" s="7">
        <f>IF(OR(P51="",P52=""),"",P51+P52)</f>
        <v>-169666.27222531402</v>
      </c>
      <c r="Q53" s="7">
        <f t="shared" ref="Q53:AM53" si="633">IF(OR(Q51="",Q52=""),"",Q51+Q52)</f>
        <v>-128544.68457030786</v>
      </c>
      <c r="R53" s="7">
        <f t="shared" si="633"/>
        <v>-166840.59426296267</v>
      </c>
      <c r="S53" s="7">
        <f t="shared" si="633"/>
        <v>-136281.88921010299</v>
      </c>
      <c r="T53" s="7">
        <f t="shared" si="633"/>
        <v>-46293.521777456081</v>
      </c>
      <c r="U53" s="7">
        <f t="shared" si="633"/>
        <v>37785.121777395958</v>
      </c>
      <c r="V53" s="7">
        <f t="shared" si="633"/>
        <v>26595.651589143221</v>
      </c>
      <c r="W53" s="7">
        <f t="shared" si="633"/>
        <v>73814.054111858291</v>
      </c>
      <c r="X53" s="7">
        <f t="shared" si="633"/>
        <v>-39328.208835228746</v>
      </c>
      <c r="Y53" s="7">
        <f t="shared" si="633"/>
        <v>-600.86744346454248</v>
      </c>
      <c r="Z53" s="7">
        <f t="shared" si="633"/>
        <v>17123.555482524709</v>
      </c>
      <c r="AA53" s="7">
        <f t="shared" si="633"/>
        <v>16099.218176244454</v>
      </c>
      <c r="AB53" s="7">
        <f t="shared" si="633"/>
        <v>-321206.71624667977</v>
      </c>
      <c r="AC53" s="7">
        <f t="shared" si="633"/>
        <v>-235195.77509222383</v>
      </c>
      <c r="AD53" s="7">
        <f t="shared" si="633"/>
        <v>-222714.08253289945</v>
      </c>
      <c r="AE53" s="7">
        <f t="shared" si="633"/>
        <v>-106844.65031243487</v>
      </c>
      <c r="AF53" s="7">
        <f t="shared" si="633"/>
        <v>214874.28983033655</v>
      </c>
      <c r="AG53" s="7">
        <f t="shared" si="633"/>
        <v>485576.97322965018</v>
      </c>
      <c r="AH53" s="7">
        <f t="shared" si="633"/>
        <v>356739.77080509166</v>
      </c>
      <c r="AI53" s="7">
        <f t="shared" si="633"/>
        <v>348948.66205260565</v>
      </c>
      <c r="AJ53" s="7">
        <f t="shared" si="633"/>
        <v>-56819.281002204283</v>
      </c>
      <c r="AK53" s="7">
        <f t="shared" si="633"/>
        <v>-35909.444078000117</v>
      </c>
      <c r="AL53" s="7">
        <f t="shared" si="633"/>
        <v>2258.4801668339637</v>
      </c>
      <c r="AM53" s="7">
        <f t="shared" si="633"/>
        <v>24474.809845417862</v>
      </c>
      <c r="AN53" s="7">
        <f t="shared" ref="AN53:BJ53" si="634">IF(OR(AN51="",AN52=""),"",AN51+AN52)</f>
        <v>-476544.48375088215</v>
      </c>
      <c r="AO53" s="7">
        <f t="shared" si="634"/>
        <v>-228130.33860394912</v>
      </c>
      <c r="AP53" s="7">
        <f t="shared" si="634"/>
        <v>-153640.23550243455</v>
      </c>
      <c r="AQ53" s="7">
        <f t="shared" si="634"/>
        <v>-216086.4785450614</v>
      </c>
      <c r="AR53" s="7">
        <f t="shared" si="634"/>
        <v>649075.51280210889</v>
      </c>
      <c r="AS53" s="7">
        <f t="shared" si="634"/>
        <v>1008986.069620346</v>
      </c>
      <c r="AT53" s="7">
        <f t="shared" si="634"/>
        <v>653445.03802994313</v>
      </c>
      <c r="AU53" s="7">
        <f t="shared" si="634"/>
        <v>485427.43112862378</v>
      </c>
      <c r="AV53" s="7">
        <f t="shared" si="634"/>
        <v>-224429.20171784144</v>
      </c>
      <c r="AW53" s="7">
        <f t="shared" si="634"/>
        <v>-220815.40907905137</v>
      </c>
      <c r="AX53" s="7">
        <f t="shared" si="634"/>
        <v>-235413.53530133265</v>
      </c>
      <c r="AY53" s="7">
        <f t="shared" si="634"/>
        <v>-236296.18919771389</v>
      </c>
      <c r="AZ53" s="7">
        <f t="shared" si="634"/>
        <v>35618.352102970435</v>
      </c>
      <c r="BA53" s="7">
        <f t="shared" si="634"/>
        <v>457273.75589692051</v>
      </c>
      <c r="BB53" s="7">
        <f t="shared" si="634"/>
        <v>-217912.4998477331</v>
      </c>
      <c r="BC53" s="7">
        <f t="shared" si="634"/>
        <v>-203104.39550767734</v>
      </c>
      <c r="BD53" s="7">
        <f t="shared" si="634"/>
        <v>-232001.69698062461</v>
      </c>
      <c r="BE53" s="7">
        <f t="shared" si="634"/>
        <v>-262316.10398111213</v>
      </c>
      <c r="BF53" s="7">
        <f t="shared" si="634"/>
        <v>-263311.46488353203</v>
      </c>
      <c r="BG53" s="7">
        <f t="shared" si="634"/>
        <v>-267919.68009534595</v>
      </c>
      <c r="BH53" s="7">
        <f t="shared" si="634"/>
        <v>-234816.22968294061</v>
      </c>
      <c r="BI53" s="7">
        <f t="shared" si="634"/>
        <v>-228539.33613186487</v>
      </c>
      <c r="BJ53" s="7">
        <f t="shared" si="634"/>
        <v>-244691.62893658664</v>
      </c>
      <c r="BK53" s="7">
        <f t="shared" ref="BK53:BL53" si="635">IF(OR(BK51="",BK52=""),"",BK51+BK52)</f>
        <v>-262410.08169949905</v>
      </c>
      <c r="BL53" s="7">
        <f t="shared" si="635"/>
        <v>34568.167964567117</v>
      </c>
      <c r="BM53" s="7">
        <f t="shared" ref="BM53:BN53" si="636">IF(OR(BM51="",BM52=""),"",BM51+BM52)</f>
        <v>-17892.717576165542</v>
      </c>
      <c r="BN53" s="7">
        <f t="shared" si="636"/>
        <v>-16085.399029068049</v>
      </c>
      <c r="BO53" s="7">
        <f t="shared" ref="BO53:BP53" si="637">IF(OR(BO51="",BO52=""),"",BO51+BO52)</f>
        <v>-13988.690504307406</v>
      </c>
      <c r="BP53" s="7">
        <f t="shared" si="637"/>
        <v>4166.3311885301146</v>
      </c>
      <c r="BQ53" s="7">
        <f t="shared" ref="BQ53:BR53" si="638">IF(OR(BQ51="",BQ52=""),"",BQ51+BQ52)</f>
        <v>8669.0420979860755</v>
      </c>
      <c r="BR53" s="7">
        <f t="shared" si="638"/>
        <v>4226.615137600048</v>
      </c>
      <c r="BS53" s="7">
        <f t="shared" ref="BS53:BT53" si="639">IF(OR(BS51="",BS52=""),"",BS51+BS52)</f>
        <v>-10417.82836907144</v>
      </c>
      <c r="BT53" s="7">
        <f t="shared" si="639"/>
        <v>-19583.256538619909</v>
      </c>
      <c r="BU53" s="7">
        <f t="shared" ref="BU53:BV53" si="640">IF(OR(BU51="",BU52=""),"",BU51+BU52)</f>
        <v>-16394.798874143893</v>
      </c>
      <c r="BV53" s="7">
        <f t="shared" si="640"/>
        <v>-16497.450105321208</v>
      </c>
      <c r="BW53" s="7">
        <f t="shared" ref="BW53:BX53" si="641">IF(OR(BW51="",BW52=""),"",BW51+BW52)</f>
        <v>-18296.502822160641</v>
      </c>
      <c r="BX53" s="7">
        <f t="shared" si="641"/>
        <v>5628.7607270526396</v>
      </c>
      <c r="BY53" s="7">
        <f t="shared" ref="BY53:BZ53" si="642">IF(OR(BY51="",BY52=""),"",BY51+BY52)</f>
        <v>-1074.8344153691887</v>
      </c>
      <c r="BZ53" s="7">
        <f t="shared" si="642"/>
        <v>-946.80984222804955</v>
      </c>
      <c r="CA53" s="7">
        <f t="shared" ref="CA53:CB53" si="643">IF(OR(CA51="",CA52=""),"",CA51+CA52)</f>
        <v>-1002.4166445780238</v>
      </c>
      <c r="CB53" s="7">
        <f t="shared" si="643"/>
        <v>-1154.6543138129789</v>
      </c>
      <c r="CC53" s="7">
        <f t="shared" ref="CC53:CD53" si="644">IF(OR(CC51="",CC52=""),"",CC51+CC52)</f>
        <v>-1318.5011140906313</v>
      </c>
      <c r="CD53" s="7">
        <f t="shared" si="644"/>
        <v>-1281.3422395303742</v>
      </c>
      <c r="CE53" s="7">
        <f t="shared" ref="CE53:CF53" si="645">IF(OR(CE51="",CE52=""),"",CE51+CE52)</f>
        <v>-1175.6959580934022</v>
      </c>
      <c r="CF53" s="7">
        <f t="shared" si="645"/>
        <v>-3890.1873919620666</v>
      </c>
      <c r="CG53" s="7">
        <f t="shared" ref="CG53:CH53" si="646">IF(OR(CG51="",CG52=""),"",CG51+CG52)</f>
        <v>-892.9071289880186</v>
      </c>
      <c r="CH53" s="7">
        <f t="shared" si="646"/>
        <v>-933.05742375129728</v>
      </c>
      <c r="CI53" s="7">
        <f t="shared" ref="CI53:CJ53" si="647">IF(OR(CI51="",CI52=""),"",CI51+CI52)</f>
        <v>-726.33948734458568</v>
      </c>
      <c r="CJ53" s="7">
        <f t="shared" si="647"/>
        <v>250.58135539331158</v>
      </c>
      <c r="CK53" s="7">
        <f t="shared" ref="CK53:CL53" si="648">IF(OR(CK51="",CK52=""),"",CK51+CK52)</f>
        <v>429.33970447803097</v>
      </c>
      <c r="CL53" s="7">
        <f t="shared" si="648"/>
        <v>410.20385458450221</v>
      </c>
      <c r="CM53" s="7">
        <f t="shared" ref="CM53:CN53" si="649">IF(OR(CM51="",CM52=""),"",CM51+CM52)</f>
        <v>373.77007895787779</v>
      </c>
      <c r="CN53" s="7">
        <f t="shared" si="649"/>
        <v>376.81151215651789</v>
      </c>
      <c r="CO53" s="7">
        <f t="shared" ref="CO53:CP53" si="650">IF(OR(CO51="",CO52=""),"",CO51+CO52)</f>
        <v>389.04109996206125</v>
      </c>
      <c r="CP53" s="7">
        <f t="shared" si="650"/>
        <v>383.40180545400074</v>
      </c>
      <c r="CQ53" s="7">
        <f t="shared" ref="CQ53:CR53" si="651">IF(OR(CQ51="",CQ52=""),"",CQ51+CQ52)</f>
        <v>361.14250043652487</v>
      </c>
      <c r="CR53" s="7">
        <f t="shared" si="651"/>
        <v>318.35148300165224</v>
      </c>
      <c r="CS53" s="7">
        <f t="shared" ref="CS53:CT53" si="652">IF(OR(CS51="",CS52=""),"",CS51+CS52)</f>
        <v>298.39233458901384</v>
      </c>
      <c r="CT53" s="7">
        <f t="shared" si="652"/>
        <v>329.95315467835866</v>
      </c>
      <c r="CU53" s="7">
        <f t="shared" ref="CU53" si="653">IF(OR(CU51="",CU52=""),"",CU51+CU52)</f>
        <v>346.88808396490867</v>
      </c>
    </row>
    <row r="54" spans="1:99" s="4" customFormat="1" hidden="1" outlineLevel="1" x14ac:dyDescent="0.25">
      <c r="A54" s="292"/>
      <c r="B54" s="18" t="s">
        <v>17</v>
      </c>
      <c r="C54" s="26"/>
      <c r="D54" s="26"/>
      <c r="E54" s="7">
        <f>E53</f>
        <v>0</v>
      </c>
      <c r="F54" s="7">
        <f>IF(OR(F53="",E54=""),"",F53+E54)</f>
        <v>0</v>
      </c>
      <c r="G54" s="7">
        <f t="shared" ref="G54:N54" si="654">IF(OR(G53="",F54=""),"",G53+F54)</f>
        <v>-2461.7695162622331</v>
      </c>
      <c r="H54" s="7">
        <f t="shared" si="654"/>
        <v>-36238.723907761458</v>
      </c>
      <c r="I54" s="7">
        <f t="shared" si="654"/>
        <v>-57908.903995658315</v>
      </c>
      <c r="J54" s="7">
        <f t="shared" si="654"/>
        <v>-70278.265581946558</v>
      </c>
      <c r="K54" s="7">
        <f t="shared" si="654"/>
        <v>-59608.186985473985</v>
      </c>
      <c r="L54" s="7">
        <f t="shared" si="654"/>
        <v>-51924.784373839459</v>
      </c>
      <c r="M54" s="7">
        <f t="shared" si="654"/>
        <v>-32792.670331249086</v>
      </c>
      <c r="N54" s="7">
        <f t="shared" si="654"/>
        <v>4899.8288293645965</v>
      </c>
      <c r="O54" s="7">
        <f>IF(OR(O53="",N54=""),"",O53+O49+N54)</f>
        <v>39585.328288859979</v>
      </c>
      <c r="P54" s="7">
        <f>IF(OR(P53="",O54=""),"",P53+P49+O54+P46)</f>
        <v>703901.31065062503</v>
      </c>
      <c r="Q54" s="7">
        <f t="shared" ref="Q54" si="655">IF(OR(Q53="",P54=""),"",Q53+Q49+P54)</f>
        <v>508406.93608031719</v>
      </c>
      <c r="R54" s="7">
        <f t="shared" ref="R54" si="656">IF(OR(R53="",Q54=""),"",R53+R49+Q54)</f>
        <v>275782.06181735452</v>
      </c>
      <c r="S54" s="7">
        <f t="shared" ref="S54" si="657">IF(OR(S53="",R54=""),"",S53+S49+R54)</f>
        <v>71859.312607251515</v>
      </c>
      <c r="T54" s="7">
        <f t="shared" ref="T54" si="658">IF(OR(T53="",S54=""),"",T53+T49+S54)</f>
        <v>-51105.379170204571</v>
      </c>
      <c r="U54" s="7">
        <f t="shared" ref="U54" si="659">IF(OR(U53="",T54=""),"",U53+U49+T54)</f>
        <v>-96812.907392808615</v>
      </c>
      <c r="V54" s="7">
        <f t="shared" ref="V54" si="660">IF(OR(V53="",U54=""),"",V53+V49+U54)</f>
        <v>-155275.16580366541</v>
      </c>
      <c r="W54" s="7">
        <f t="shared" ref="W54" si="661">IF(OR(W53="",V54=""),"",W53+W49+V54)</f>
        <v>-161645.13169180712</v>
      </c>
      <c r="X54" s="7">
        <f t="shared" ref="X54" si="662">IF(OR(X53="",W54=""),"",X53+X49+W54)</f>
        <v>-277967.15052703588</v>
      </c>
      <c r="Y54" s="7">
        <f t="shared" ref="Y54" si="663">IF(OR(Y53="",X54=""),"",Y53+Y49+X54)</f>
        <v>-347679.12797050038</v>
      </c>
      <c r="Z54" s="7">
        <f t="shared" ref="Z54" si="664">IF(OR(Z53="",Y54=""),"",Z53+Z49+Y54)</f>
        <v>-402943.16248797567</v>
      </c>
      <c r="AA54" s="7">
        <f t="shared" ref="AA54" si="665">IF(OR(AA53="",Z54=""),"",AA53+AA49+Z54)</f>
        <v>-474027.6943117312</v>
      </c>
      <c r="AB54" s="7">
        <f t="shared" ref="AB54" si="666">IF(OR(AB53="",AA54=""),"",AB53+AB49+AA54)</f>
        <v>-753373.23055841099</v>
      </c>
      <c r="AC54" s="7">
        <f t="shared" ref="AC54" si="667">IF(OR(AC53="",AB54=""),"",AC53+AC49+AB54)</f>
        <v>-949549.52565063478</v>
      </c>
      <c r="AD54" s="7">
        <f t="shared" ref="AD54" si="668">IF(OR(AD53="",AC54=""),"",AD53+AD49+AC54)</f>
        <v>-1132892.5581835343</v>
      </c>
      <c r="AE54" s="7">
        <f t="shared" ref="AE54" si="669">IF(OR(AE53="",AD54=""),"",AE53+AE49+AD54)</f>
        <v>-1200701.058495969</v>
      </c>
      <c r="AF54" s="7">
        <f t="shared" ref="AF54" si="670">IF(OR(AF53="",AE54=""),"",AF53+AF49+AE54)</f>
        <v>-939281.24866563245</v>
      </c>
      <c r="AG54" s="7">
        <f t="shared" ref="AG54" si="671">IF(OR(AG53="",AF54=""),"",AG53+AG49+AF54)</f>
        <v>-404277.6854359823</v>
      </c>
      <c r="AH54" s="7">
        <f t="shared" ref="AH54" si="672">IF(OR(AH53="",AG54=""),"",AH53+AH49+AG54)</f>
        <v>-761.25463089067489</v>
      </c>
      <c r="AI54" s="7">
        <f t="shared" ref="AI54" si="673">IF(OR(AI53="",AH54=""),"",AI53+AI49+AH54)</f>
        <v>395784.367421715</v>
      </c>
      <c r="AJ54" s="7">
        <f t="shared" ref="AJ54" si="674">IF(OR(AJ53="",AI54=""),"",AJ53+AJ49+AI54)</f>
        <v>382212.42641951074</v>
      </c>
      <c r="AK54" s="7">
        <f t="shared" ref="AK54" si="675">IF(OR(AK53="",AJ54=""),"",AK53+AK49+AJ54)</f>
        <v>384765.71234151063</v>
      </c>
      <c r="AL54" s="7">
        <f t="shared" ref="AL54" si="676">IF(OR(AL53="",AK54=""),"",AL53+AL49+AK54)</f>
        <v>428912.5125083446</v>
      </c>
      <c r="AM54" s="7">
        <f t="shared" ref="AM54" si="677">IF(OR(AM53="",AL54=""),"",AM53+AM49+AL54)</f>
        <v>499135.92235376243</v>
      </c>
      <c r="AN54" s="7">
        <f t="shared" ref="AN54" si="678">IF(OR(AN53="",AM54=""),"",AN53+AN49+AM54)</f>
        <v>-17353.861397119705</v>
      </c>
      <c r="AO54" s="7">
        <f t="shared" ref="AO54" si="679">IF(OR(AO53="",AN54=""),"",AO53+AO49+AN54)</f>
        <v>-283400.66000106884</v>
      </c>
      <c r="AP54" s="7">
        <f t="shared" ref="AP54" si="680">IF(OR(AP53="",AO54=""),"",AP53+AP49+AO54)</f>
        <v>-471115.14550350339</v>
      </c>
      <c r="AQ54" s="7">
        <f t="shared" ref="AQ54" si="681">IF(OR(AQ53="",AP54=""),"",AQ53+AQ49+AP54)</f>
        <v>-722419.17404856486</v>
      </c>
      <c r="AR54" s="7">
        <f t="shared" ref="AR54" si="682">IF(OR(AR53="",AQ54=""),"",AR53+AR49+AQ54)</f>
        <v>-112528.39124645595</v>
      </c>
      <c r="AS54" s="7">
        <f t="shared" ref="AS54" si="683">IF(OR(AS53="",AR54=""),"",AS53+AS49+AR54)</f>
        <v>854298.84837389004</v>
      </c>
      <c r="AT54" s="7">
        <f t="shared" ref="AT54" si="684">IF(OR(AT53="",AS54=""),"",AT53+AT49+AS54)</f>
        <v>1464609.4164038333</v>
      </c>
      <c r="AU54" s="7">
        <f t="shared" ref="AU54" si="685">IF(OR(AU53="",AT54=""),"",AU53+AU49+AT54)</f>
        <v>1906490.4775324571</v>
      </c>
      <c r="AV54" s="7">
        <f t="shared" ref="AV54" si="686">IF(OR(AV53="",AU54=""),"",AV53+AV49+AU54)</f>
        <v>1642075.2858146157</v>
      </c>
      <c r="AW54" s="7">
        <f t="shared" ref="AW54" si="687">IF(OR(AW53="",AV54=""),"",AW53+AW49+AV54)</f>
        <v>1385964.8267355643</v>
      </c>
      <c r="AX54" s="7">
        <f t="shared" ref="AX54" si="688">IF(OR(AX53="",AW54=""),"",AX53+AX49+AW54)</f>
        <v>1112256.1614342316</v>
      </c>
      <c r="AY54" s="7">
        <f t="shared" ref="AY54" si="689">IF(OR(AY53="",AX54=""),"",AY53+AY49+AX54)</f>
        <v>836348.92223651765</v>
      </c>
      <c r="AZ54" s="7">
        <f t="shared" ref="AZ54" si="690">IF(OR(AZ53="",AY54=""),"",AZ53+AZ49+AY54)</f>
        <v>736185.34433948807</v>
      </c>
      <c r="BA54" s="7">
        <f t="shared" ref="BA54" si="691">IF(OR(BA53="",AZ54=""),"",BA53+BA49+AZ54)</f>
        <v>1137213.7102364085</v>
      </c>
      <c r="BB54" s="7">
        <f t="shared" ref="BB54" si="692">IF(OR(BB53="",BA54=""),"",BB53+BB49+BA54)</f>
        <v>871984.30038867542</v>
      </c>
      <c r="BC54" s="7">
        <f t="shared" ref="BC54" si="693">IF(OR(BC53="",BB54=""),"",BC53+BC49+BB54)</f>
        <v>624949.704880998</v>
      </c>
      <c r="BD54" s="7">
        <f t="shared" ref="BD54" si="694">IF(OR(BD53="",BC54=""),"",BD53+BD49+BC54)</f>
        <v>340656.80790037342</v>
      </c>
      <c r="BE54" s="7">
        <f t="shared" ref="BE54" si="695">IF(OR(BE53="",BD54=""),"",BE53+BE49+BD54)</f>
        <v>17285.773919261293</v>
      </c>
      <c r="BF54" s="7">
        <f t="shared" ref="BF54" si="696">IF(OR(BF53="",BE54=""),"",BF53+BF49+BE54)</f>
        <v>-306780.85096427076</v>
      </c>
      <c r="BG54" s="7">
        <f t="shared" ref="BG54" si="697">IF(OR(BG53="",BF54=""),"",BG53+BG49+BF54)</f>
        <v>-635242.8910596167</v>
      </c>
      <c r="BH54" s="7">
        <f t="shared" ref="BH54" si="698">IF(OR(BH53="",BG54=""),"",BH53+BH49+BG54)</f>
        <v>-921719.99074255733</v>
      </c>
      <c r="BI54" s="7">
        <f t="shared" ref="BI54" si="699">IF(OR(BI53="",BH54=""),"",BI53+BI49+BH54)</f>
        <v>-1200576.9868744221</v>
      </c>
      <c r="BJ54" s="7">
        <f t="shared" ref="BJ54:CU54" si="700">IF(OR(BJ53="",BI54=""),"",BJ53+BJ49+BI54)</f>
        <v>-1499357.0458110087</v>
      </c>
      <c r="BK54" s="7">
        <f t="shared" si="700"/>
        <v>-1819735.5975105078</v>
      </c>
      <c r="BL54" s="7">
        <f t="shared" si="700"/>
        <v>-1940352.7195459406</v>
      </c>
      <c r="BM54" s="7">
        <f t="shared" si="700"/>
        <v>-1814094.2371221061</v>
      </c>
      <c r="BN54" s="7">
        <f t="shared" si="700"/>
        <v>-1701039.9061511741</v>
      </c>
      <c r="BO54" s="7">
        <f t="shared" si="700"/>
        <v>-1583532.5766554815</v>
      </c>
      <c r="BP54" s="7">
        <f t="shared" si="700"/>
        <v>-1432682.5754669514</v>
      </c>
      <c r="BQ54" s="7">
        <f t="shared" si="700"/>
        <v>-1253285.7333689653</v>
      </c>
      <c r="BR54" s="7">
        <f t="shared" si="700"/>
        <v>-1079266.5182313654</v>
      </c>
      <c r="BS54" s="7">
        <f t="shared" si="700"/>
        <v>-916642.70660043682</v>
      </c>
      <c r="BT54" s="7">
        <f t="shared" si="700"/>
        <v>-784136.53313905676</v>
      </c>
      <c r="BU54" s="7">
        <f t="shared" si="700"/>
        <v>-665385.1820132006</v>
      </c>
      <c r="BV54" s="7">
        <f t="shared" si="700"/>
        <v>-534178.9621185218</v>
      </c>
      <c r="BW54" s="7">
        <f t="shared" si="700"/>
        <v>-394661.64494068245</v>
      </c>
      <c r="BX54" s="7">
        <f t="shared" si="700"/>
        <v>-294575.15421362984</v>
      </c>
      <c r="BY54" s="7">
        <f t="shared" si="700"/>
        <v>-264876.62862899899</v>
      </c>
      <c r="BZ54" s="7">
        <f t="shared" si="700"/>
        <v>-237317.57847122705</v>
      </c>
      <c r="CA54" s="7">
        <f t="shared" si="700"/>
        <v>-209115.45511580509</v>
      </c>
      <c r="CB54" s="7">
        <f t="shared" si="700"/>
        <v>-177622.87942961807</v>
      </c>
      <c r="CC54" s="7">
        <f t="shared" si="700"/>
        <v>-141598.8005437087</v>
      </c>
      <c r="CD54" s="7">
        <f t="shared" si="700"/>
        <v>-106442.96278323907</v>
      </c>
      <c r="CE54" s="7">
        <f t="shared" si="700"/>
        <v>-72837.318741332478</v>
      </c>
      <c r="CF54" s="7">
        <f t="shared" si="700"/>
        <v>-46787.476133294549</v>
      </c>
      <c r="CG54" s="7">
        <f t="shared" si="700"/>
        <v>-19426.403262282569</v>
      </c>
      <c r="CH54" s="7">
        <f t="shared" si="700"/>
        <v>12291.019313966135</v>
      </c>
      <c r="CI54" s="7">
        <f t="shared" si="700"/>
        <v>45190.339826621552</v>
      </c>
      <c r="CJ54" s="7">
        <f t="shared" si="700"/>
        <v>61995.271182014862</v>
      </c>
      <c r="CK54" s="7">
        <f t="shared" si="700"/>
        <v>59008.730886492893</v>
      </c>
      <c r="CL54" s="7">
        <f t="shared" si="700"/>
        <v>56044.244741077397</v>
      </c>
      <c r="CM54" s="7">
        <f t="shared" si="700"/>
        <v>52902.294820035277</v>
      </c>
      <c r="CN54" s="7">
        <f t="shared" si="700"/>
        <v>49429.026332191796</v>
      </c>
      <c r="CO54" s="7">
        <f t="shared" si="700"/>
        <v>45671.59743215386</v>
      </c>
      <c r="CP54" s="7">
        <f t="shared" si="700"/>
        <v>41796.459237607858</v>
      </c>
      <c r="CQ54" s="7">
        <f t="shared" si="700"/>
        <v>37877.011738044384</v>
      </c>
      <c r="CR54" s="7">
        <f t="shared" si="700"/>
        <v>34414.153221046035</v>
      </c>
      <c r="CS54" s="7">
        <f t="shared" si="700"/>
        <v>31227.54555563505</v>
      </c>
      <c r="CT54" s="7">
        <f t="shared" si="700"/>
        <v>28103.218710313409</v>
      </c>
      <c r="CU54" s="7">
        <f t="shared" si="700"/>
        <v>24354.086794278319</v>
      </c>
    </row>
    <row r="55" spans="1:99" s="4" customFormat="1" ht="8.25" hidden="1" customHeight="1" outlineLevel="1" x14ac:dyDescent="0.25">
      <c r="A55" s="40"/>
      <c r="B55" s="11"/>
      <c r="C55" s="11"/>
      <c r="D55" s="11"/>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row>
    <row r="56" spans="1:99" s="4" customFormat="1" ht="15" hidden="1" customHeight="1" outlineLevel="1" x14ac:dyDescent="0.25">
      <c r="A56" s="292" t="s">
        <v>23</v>
      </c>
      <c r="B56" s="15"/>
      <c r="C56" s="30"/>
      <c r="D56" s="30"/>
      <c r="E56" s="7"/>
      <c r="F56" s="7"/>
      <c r="G56" s="7"/>
      <c r="H56" s="7"/>
      <c r="I56" s="7"/>
      <c r="J56" s="7"/>
      <c r="K56" s="7"/>
      <c r="L56" s="7"/>
      <c r="M56" s="7"/>
      <c r="N56" s="7"/>
      <c r="O56" s="7"/>
      <c r="P56" s="68">
        <v>2477461.885016053</v>
      </c>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126">
        <v>-1222.8910428397539</v>
      </c>
      <c r="CG56" s="7"/>
      <c r="CH56" s="7"/>
      <c r="CI56" s="113">
        <f>'MEEIA 2 adjs'!EC63</f>
        <v>34.920399904920714</v>
      </c>
      <c r="CJ56" s="7"/>
      <c r="CK56" s="7"/>
      <c r="CL56" s="7"/>
      <c r="CM56" s="7"/>
      <c r="CN56" s="7"/>
      <c r="CO56" s="7"/>
      <c r="CP56" s="7"/>
      <c r="CQ56" s="7"/>
      <c r="CR56" s="7"/>
      <c r="CS56" s="7"/>
      <c r="CT56" s="7"/>
      <c r="CU56" s="7"/>
    </row>
    <row r="57" spans="1:99" s="2" customFormat="1" ht="15" hidden="1" customHeight="1" outlineLevel="1" x14ac:dyDescent="0.25">
      <c r="A57" s="292"/>
      <c r="B57" s="15" t="s">
        <v>28</v>
      </c>
      <c r="C57" s="30"/>
      <c r="D57" s="30"/>
      <c r="E57" s="20">
        <f>IF('M2 Allocations - TD'!D8="","",'M2 Allocations - TD'!D34)</f>
        <v>0</v>
      </c>
      <c r="F57" s="20">
        <f>IF('M2 Allocations - TD'!E8="","",'M2 Allocations - TD'!E34)</f>
        <v>0</v>
      </c>
      <c r="G57" s="20">
        <f>IF('M2 Allocations - TD'!F8="","",'M2 Allocations - TD'!F34)</f>
        <v>0</v>
      </c>
      <c r="H57" s="20">
        <f>IF('M2 Allocations - TD'!G8="","",'M2 Allocations - TD'!G34)</f>
        <v>526.23</v>
      </c>
      <c r="I57" s="20">
        <f>IF('M2 Allocations - TD'!H8="","",'M2 Allocations - TD'!H34)</f>
        <v>1707.2399999999998</v>
      </c>
      <c r="J57" s="20">
        <f>IF('M2 Allocations - TD'!I8="","",'M2 Allocations - TD'!I34)</f>
        <v>2230.0207254609436</v>
      </c>
      <c r="K57" s="20">
        <f>IF('M2 Allocations - TD'!J8="","",'M2 Allocations - TD'!J34)</f>
        <v>4794.6581417484167</v>
      </c>
      <c r="L57" s="20">
        <f>IF('M2 Allocations - TD'!K8="","",'M2 Allocations - TD'!K34)</f>
        <v>4373.862445788076</v>
      </c>
      <c r="M57" s="20">
        <f>IF('M2 Allocations - TD'!L8="","",'M2 Allocations - TD'!L34)</f>
        <v>7453.242982336099</v>
      </c>
      <c r="N57" s="20">
        <f>IF('M2 Allocations - TD'!M8="","",'M2 Allocations - TD'!M34)</f>
        <v>18084.577784318448</v>
      </c>
      <c r="O57" s="20">
        <f>IF('M2 Allocations - TD'!N8="","",'M2 Allocations - TD'!N34)</f>
        <v>27963.810761260709</v>
      </c>
      <c r="P57" s="20">
        <f>IF('M2 Allocations - TD'!O8="","",'M2 Allocations - TD'!O34)</f>
        <v>24456.059952649921</v>
      </c>
      <c r="Q57" s="20">
        <f>IF('M2 Allocations - TD'!P8="","",'M2 Allocations - TD'!P34)</f>
        <v>29615.310672687767</v>
      </c>
      <c r="R57" s="20">
        <f>IF('M2 Allocations - TD'!Q8="","",'M2 Allocations - TD'!Q34)</f>
        <v>12166.436689655247</v>
      </c>
      <c r="S57" s="20">
        <f>IF('M2 Allocations - TD'!R8="","",'M2 Allocations - TD'!R34)</f>
        <v>28108.084360485296</v>
      </c>
      <c r="T57" s="20">
        <f>IF('M2 Allocations - TD'!S8="","",'M2 Allocations - TD'!S34)</f>
        <v>128148.15141495112</v>
      </c>
      <c r="U57" s="20">
        <f>IF('M2 Allocations - TD'!T8="","",'M2 Allocations - TD'!T34)</f>
        <v>175689.74</v>
      </c>
      <c r="V57" s="20">
        <f>IF('M2 Allocations - TD'!U8="","",'M2 Allocations - TD'!U34)</f>
        <v>218402.52810095585</v>
      </c>
      <c r="W57" s="20">
        <f>IF('M2 Allocations - TD'!V8="","",'M2 Allocations - TD'!V34)</f>
        <v>205067.89849978662</v>
      </c>
      <c r="X57" s="20">
        <f>IF('M2 Allocations - TD'!W8="","",'M2 Allocations - TD'!W34)</f>
        <v>101187.08297273742</v>
      </c>
      <c r="Y57" s="20">
        <f>IF('M2 Allocations - TD'!X8="","",'M2 Allocations - TD'!X34)</f>
        <v>97773.438006020719</v>
      </c>
      <c r="Z57" s="20">
        <f>IF('M2 Allocations - TD'!Y8="","",'M2 Allocations - TD'!Y34)</f>
        <v>113746.10309897989</v>
      </c>
      <c r="AA57" s="20">
        <f>IF('M2 Allocations - TD'!Z8="","",'M2 Allocations - TD'!Z34)</f>
        <v>131796.02801249109</v>
      </c>
      <c r="AB57" s="20">
        <f>IF('M2 Allocations - TD'!AA8="","",'M2 Allocations - TD'!AA34)</f>
        <v>116090.38160247794</v>
      </c>
      <c r="AC57" s="20">
        <f>IF('M2 Allocations - TD'!AB8="","",'M2 Allocations - TD'!AB34)</f>
        <v>132068.16497570253</v>
      </c>
      <c r="AD57" s="20">
        <f>IF('M2 Allocations - TD'!AC8="","",'M2 Allocations - TD'!AC34)</f>
        <v>133321.08677453059</v>
      </c>
      <c r="AE57" s="20">
        <f>IF('M2 Allocations - TD'!AD8="","",'M2 Allocations - TD'!AD34)</f>
        <v>180104.81791441111</v>
      </c>
      <c r="AF57" s="20">
        <f>IF('M2 Allocations - TD'!AE8="","",'M2 Allocations - TD'!AE34)</f>
        <v>422991.61425343697</v>
      </c>
      <c r="AG57" s="20">
        <f>IF('M2 Allocations - TD'!AF8="","",'M2 Allocations - TD'!AF34)</f>
        <v>543609.86073367961</v>
      </c>
      <c r="AH57" s="20">
        <f>IF('M2 Allocations - TD'!AG8="","",'M2 Allocations - TD'!AG34)</f>
        <v>486263.01132460969</v>
      </c>
      <c r="AI57" s="20">
        <f>IF('M2 Allocations - TD'!AH8="","",'M2 Allocations - TD'!AH34)</f>
        <v>414107.44556621916</v>
      </c>
      <c r="AJ57" s="20">
        <f>IF('M2 Allocations - TD'!AI8="","",'M2 Allocations - TD'!AI34)</f>
        <v>207208.35422995902</v>
      </c>
      <c r="AK57" s="20">
        <f>IF('M2 Allocations - TD'!AJ8="","",'M2 Allocations - TD'!AJ34)</f>
        <v>191307.18426831797</v>
      </c>
      <c r="AL57" s="20">
        <f>IF('M2 Allocations - TD'!AK8="","",'M2 Allocations - TD'!AK34)</f>
        <v>223825.29632810416</v>
      </c>
      <c r="AM57" s="20">
        <f>IF('M2 Allocations - TD'!AL8="","",'M2 Allocations - TD'!AL34)</f>
        <v>251714.86075436554</v>
      </c>
      <c r="AN57" s="20">
        <f>IF('M2 Allocations - TD'!AM8="","",'M2 Allocations - TD'!AM34)</f>
        <v>220841.99668727524</v>
      </c>
      <c r="AO57" s="20">
        <f>IF('M2 Allocations - TD'!AN8="","",'M2 Allocations - TD'!AN34)</f>
        <v>305651.11265488941</v>
      </c>
      <c r="AP57" s="20">
        <f>IF('M2 Allocations - TD'!AO8="","",'M2 Allocations - TD'!AO34)</f>
        <v>284274.24631552736</v>
      </c>
      <c r="AQ57" s="20">
        <f>IF('M2 Allocations - TD'!AP8="","",'M2 Allocations - TD'!AP34)</f>
        <v>294781.80288519792</v>
      </c>
      <c r="AR57" s="20">
        <f>IF('M2 Allocations - TD'!AQ8="","",'M2 Allocations - TD'!AQ34)</f>
        <v>791914.33120203775</v>
      </c>
      <c r="AS57" s="20">
        <f>IF('M2 Allocations - TD'!AR8="","",'M2 Allocations - TD'!AR34)</f>
        <v>978344.05317777325</v>
      </c>
      <c r="AT57" s="20">
        <f>IF('M2 Allocations - TD'!AS8="","",'M2 Allocations - TD'!AS34)</f>
        <v>874777.66117086785</v>
      </c>
      <c r="AU57" s="20">
        <f>IF('M2 Allocations - TD'!AT8="","",'M2 Allocations - TD'!AT34)</f>
        <v>686805.48036969628</v>
      </c>
      <c r="AV57" s="20">
        <f>IF('M2 Allocations - TD'!AU8="","",'M2 Allocations - TD'!AU34)</f>
        <v>321802.45107933023</v>
      </c>
      <c r="AW57" s="20">
        <f>IF('M2 Allocations - TD'!AV8="","",'M2 Allocations - TD'!AV34)</f>
        <v>280028.89151037188</v>
      </c>
      <c r="AX57" s="20">
        <f>IF('M2 Allocations - TD'!AW8="","",'M2 Allocations - TD'!AW34)</f>
        <v>274144.21732121875</v>
      </c>
      <c r="AY57" s="20">
        <f>IF('M2 Allocations - TD'!AX8="","",'M2 Allocations - TD'!AX34)</f>
        <v>303711.11912158254</v>
      </c>
      <c r="AZ57" s="20">
        <f>IF('M2 Allocations - TD'!AY8="","",'M2 Allocations - TD'!AY34)</f>
        <v>251998.46611210689</v>
      </c>
      <c r="BA57" s="20">
        <f>IF('M2 Allocations - TD'!AZ8="","",'M2 Allocations - TD'!AZ34)</f>
        <v>276069.3565741299</v>
      </c>
      <c r="BB57" s="20">
        <f>IF('M2 Allocations - TD'!BA8="","",'M2 Allocations - TD'!BA34)</f>
        <v>0</v>
      </c>
      <c r="BC57" s="20">
        <f>IF('M2 Allocations - TD'!BB8="","",'M2 Allocations - TD'!BB34)</f>
        <v>-315.01218360235936</v>
      </c>
      <c r="BD57" s="20">
        <f>IF('M2 Allocations - TD'!BC8="","",'M2 Allocations - TD'!BC34)</f>
        <v>0</v>
      </c>
      <c r="BE57" s="20">
        <f>IF('M2 Allocations - TD'!BD8="","",'M2 Allocations - TD'!BD34)</f>
        <v>0</v>
      </c>
      <c r="BF57" s="20">
        <f>IF('M2 Allocations - TD'!BE8="","",'M2 Allocations - TD'!BE34)</f>
        <v>16813.580000000075</v>
      </c>
      <c r="BG57" s="20">
        <f>IF('M2 Allocations - TD'!BF8="","",'M2 Allocations - TD'!BF34)</f>
        <v>19387.400000000373</v>
      </c>
      <c r="BH57" s="20">
        <f>IF('M2 Allocations - TD'!BG8="","",'M2 Allocations - TD'!BG34)</f>
        <v>6785.070000000298</v>
      </c>
      <c r="BI57" s="20">
        <f>IF('M2 Allocations - TD'!BH8="","",'M2 Allocations - TD'!BH34)</f>
        <v>6167.2299999985844</v>
      </c>
      <c r="BJ57" s="20">
        <f>IF('M2 Allocations - TD'!BI8="","",'M2 Allocations - TD'!BI34)</f>
        <v>9586.9900000002235</v>
      </c>
      <c r="BK57" s="20">
        <f>IF('M2 Allocations - TD'!BJ8="","",'M2 Allocations - TD'!BJ34)</f>
        <v>12497.580000000075</v>
      </c>
      <c r="BL57" s="20">
        <f>IF('M2 Allocations - TD'!BK8="","",'M2 Allocations - TD'!BK34)</f>
        <v>10043.310000000522</v>
      </c>
      <c r="BM57" s="20">
        <f>IF('M2 Allocations - TD'!BL8="","",'M2 Allocations - TD'!BL34)</f>
        <v>10496.050000000745</v>
      </c>
      <c r="BN57" s="20">
        <f>IF('M2 Allocations - TD'!BM8="","",'M2 Allocations - TD'!BM34)</f>
        <v>9775.9599999990314</v>
      </c>
      <c r="BO57" s="20">
        <f>IF('M2 Allocations - TD'!BN8="","",'M2 Allocations - TD'!BN34)</f>
        <v>13527.650000000373</v>
      </c>
      <c r="BP57" s="20">
        <f>IF('M2 Allocations - TD'!BO8="","",'M2 Allocations - TD'!BO34)</f>
        <v>36494.849999999627</v>
      </c>
      <c r="BQ57" s="20">
        <f>IF('M2 Allocations - TD'!BP8="","",'M2 Allocations - TD'!BP34)</f>
        <v>47679.970000000671</v>
      </c>
      <c r="BR57" s="20">
        <f>IF('M2 Allocations - TD'!BQ8="","",'M2 Allocations - TD'!BQ34)</f>
        <v>45288.439999999478</v>
      </c>
      <c r="BS57" s="20">
        <f>IF('M2 Allocations - TD'!BR8="","",'M2 Allocations - TD'!BR34)</f>
        <v>29486.400000000373</v>
      </c>
      <c r="BT57" s="20">
        <f>IF('M2 Allocations - TD'!BS8="","",'M2 Allocations - TD'!BS34)</f>
        <v>11833.289999999106</v>
      </c>
      <c r="BU57" s="20">
        <f>IF('M2 Allocations - TD'!BT8="","",'M2 Allocations - TD'!BT34)</f>
        <v>10374.580000000075</v>
      </c>
      <c r="BV57" s="20">
        <f>IF('M2 Allocations - TD'!BU8="","",'M2 Allocations - TD'!BU34)</f>
        <v>12057.450000001118</v>
      </c>
      <c r="BW57" s="20">
        <f>IF('M2 Allocations - TD'!BV8="","",'M2 Allocations - TD'!BV34)</f>
        <v>12824.789999999106</v>
      </c>
      <c r="BX57" s="20">
        <f>IF('M2 Allocations - TD'!BW8="","",'M2 Allocations - TD'!BW34)</f>
        <v>10330.179999999702</v>
      </c>
      <c r="BY57" s="20">
        <f>IF('M2 Allocations - TD'!BX8="","",'M2 Allocations - TD'!BX34)</f>
        <v>0</v>
      </c>
      <c r="BZ57" s="20">
        <f>IF('M2 Allocations - TD'!BY8="","",'M2 Allocations - TD'!BY34)</f>
        <v>0</v>
      </c>
      <c r="CA57" s="20">
        <f>IF('M2 Allocations - TD'!BZ8="","",'M2 Allocations - TD'!BZ34)</f>
        <v>0</v>
      </c>
      <c r="CB57" s="20">
        <f>IF('M2 Allocations - TD'!CA8="","",'M2 Allocations - TD'!CA34)</f>
        <v>0</v>
      </c>
      <c r="CC57" s="20">
        <f>IF('M2 Allocations - TD'!CB8="","",'M2 Allocations - TD'!CB34)</f>
        <v>0</v>
      </c>
      <c r="CD57" s="20">
        <f>IF('M2 Allocations - TD'!CC8="","",'M2 Allocations - TD'!CC34)</f>
        <v>0</v>
      </c>
      <c r="CE57" s="20">
        <f>IF('M2 Allocations - TD'!CD8="","",'M2 Allocations - TD'!CD34)</f>
        <v>0</v>
      </c>
      <c r="CF57" s="20">
        <f>IF('M2 Allocations - TD'!CE8="","",'M2 Allocations - TD'!CE34)</f>
        <v>0</v>
      </c>
      <c r="CG57" s="20">
        <f>IF('M2 Allocations - TD'!CF8="","",'M2 Allocations - TD'!CF34)</f>
        <v>0</v>
      </c>
      <c r="CH57" s="20">
        <f>IF('M2 Allocations - TD'!CG8="","",'M2 Allocations - TD'!CG34)</f>
        <v>0</v>
      </c>
      <c r="CI57" s="20">
        <f>IF('M2 Allocations - TD'!CH8="","",'M2 Allocations - TD'!CH34)</f>
        <v>0</v>
      </c>
      <c r="CJ57" s="20">
        <f>IF('M2 Allocations - TD'!CI8="","",'M2 Allocations - TD'!CI34)</f>
        <v>0</v>
      </c>
      <c r="CK57" s="20">
        <f>IF('M2 Allocations - TD'!CJ8="","",'M2 Allocations - TD'!CJ34)</f>
        <v>0</v>
      </c>
      <c r="CL57" s="20">
        <f>IF('M2 Allocations - TD'!CK8="","",'M2 Allocations - TD'!CK34)</f>
        <v>0</v>
      </c>
      <c r="CM57" s="20">
        <f>IF('M2 Allocations - TD'!CL8="","",'M2 Allocations - TD'!CL34)</f>
        <v>0</v>
      </c>
      <c r="CN57" s="20">
        <f>IF('M2 Allocations - TD'!CM8="","",'M2 Allocations - TD'!CM34)</f>
        <v>0</v>
      </c>
      <c r="CO57" s="20">
        <f>IF('M2 Allocations - TD'!CN8="","",'M2 Allocations - TD'!CN34)</f>
        <v>0</v>
      </c>
      <c r="CP57" s="20">
        <f>IF('M2 Allocations - TD'!CO8="","",'M2 Allocations - TD'!CO34)</f>
        <v>0</v>
      </c>
      <c r="CQ57" s="20">
        <f>IF('M2 Allocations - TD'!CP8="","",'M2 Allocations - TD'!CP34)</f>
        <v>0</v>
      </c>
      <c r="CR57" s="20">
        <f>IF('M2 Allocations - TD'!CQ8="","",'M2 Allocations - TD'!CQ34)</f>
        <v>0</v>
      </c>
      <c r="CS57" s="20">
        <f>IF('M2 Allocations - TD'!CR8="","",'M2 Allocations - TD'!CR34)</f>
        <v>0</v>
      </c>
      <c r="CT57" s="20">
        <f>IF('M2 Allocations - TD'!CS8="","",'M2 Allocations - TD'!CS34)</f>
        <v>0</v>
      </c>
      <c r="CU57" s="20">
        <f>IF('M2 Allocations - TD'!CT8="","",'M2 Allocations - TD'!CT34)</f>
        <v>0</v>
      </c>
    </row>
    <row r="58" spans="1:99" s="4" customFormat="1" ht="15" hidden="1" customHeight="1" outlineLevel="1" x14ac:dyDescent="0.25">
      <c r="A58" s="292"/>
      <c r="B58" s="16" t="s">
        <v>26</v>
      </c>
      <c r="C58" s="24"/>
      <c r="D58" s="24"/>
      <c r="E58" s="22">
        <v>0</v>
      </c>
      <c r="F58" s="22">
        <v>0</v>
      </c>
      <c r="G58" s="22">
        <v>1621.85</v>
      </c>
      <c r="H58" s="22">
        <v>15413.06</v>
      </c>
      <c r="I58" s="22">
        <v>19333.560000000001</v>
      </c>
      <c r="J58" s="22">
        <v>18858.009999999998</v>
      </c>
      <c r="K58" s="22">
        <v>20468.599999999999</v>
      </c>
      <c r="L58" s="22">
        <v>17365.72</v>
      </c>
      <c r="M58" s="22">
        <v>16669.060000000001</v>
      </c>
      <c r="N58" s="22">
        <v>16712.28</v>
      </c>
      <c r="O58" s="22">
        <v>31958.9</v>
      </c>
      <c r="P58" s="22">
        <f>279819.83+48637.08</f>
        <v>328456.91000000003</v>
      </c>
      <c r="Q58" s="22">
        <v>267175.5</v>
      </c>
      <c r="R58" s="20">
        <f>IF('M2 Allocations - TD'!Q53="","",'M2 Allocations - TD'!Q71)</f>
        <v>283136.40886630391</v>
      </c>
      <c r="S58" s="20">
        <f>IF('M2 Allocations - TD'!R53="","",'M2 Allocations - TD'!R71)</f>
        <v>287460.81327816768</v>
      </c>
      <c r="T58" s="20">
        <f>IF('M2 Allocations - TD'!S53="","",'M2 Allocations - TD'!S71)</f>
        <v>330409.77575572423</v>
      </c>
      <c r="U58" s="20">
        <f>IF('M2 Allocations - TD'!T53="","",'M2 Allocations - TD'!T71)</f>
        <v>323201.37525993661</v>
      </c>
      <c r="V58" s="20">
        <f>IF('M2 Allocations - TD'!U53="","",'M2 Allocations - TD'!U71)</f>
        <v>340944.20704658219</v>
      </c>
      <c r="W58" s="20">
        <f>IF('M2 Allocations - TD'!V53="","",'M2 Allocations - TD'!V71)</f>
        <v>328289.08781066153</v>
      </c>
      <c r="X58" s="20">
        <f>IF('M2 Allocations - TD'!W53="","",'M2 Allocations - TD'!W71)</f>
        <v>321452.90171375725</v>
      </c>
      <c r="Y58" s="20">
        <f>IF('M2 Allocations - TD'!X53="","",'M2 Allocations - TD'!X71)</f>
        <v>288778.65587559086</v>
      </c>
      <c r="Z58" s="20">
        <f>IF('M2 Allocations - TD'!Y53="","",'M2 Allocations - TD'!Y71)</f>
        <v>301751.31193612184</v>
      </c>
      <c r="AA58" s="20">
        <f>IF('M2 Allocations - TD'!Z53="","",'M2 Allocations - TD'!Z71)</f>
        <v>332299.53125242464</v>
      </c>
      <c r="AB58" s="20">
        <f>IF('M2 Allocations - TD'!AA53="","",'M2 Allocations - TD'!AA71)</f>
        <v>302428.95</v>
      </c>
      <c r="AC58" s="20">
        <f>IF('M2 Allocations - TD'!AB53="","",'M2 Allocations - TD'!AB71)</f>
        <v>301943.60981245001</v>
      </c>
      <c r="AD58" s="20">
        <f>IF('M2 Allocations - TD'!AC53="","",'M2 Allocations - TD'!AC71)</f>
        <v>278699.7057611302</v>
      </c>
      <c r="AE58" s="20">
        <f>IF('M2 Allocations - TD'!AD53="","",'M2 Allocations - TD'!AD71)</f>
        <v>322370.88601313852</v>
      </c>
      <c r="AF58" s="20">
        <f>IF('M2 Allocations - TD'!AE53="","",'M2 Allocations - TD'!AE71)</f>
        <v>349751.02773569047</v>
      </c>
      <c r="AG58" s="20">
        <f>IF('M2 Allocations - TD'!AF53="","",'M2 Allocations - TD'!AF71)</f>
        <v>361975.97928185289</v>
      </c>
      <c r="AH58" s="20">
        <f>IF('M2 Allocations - TD'!AG53="","",'M2 Allocations - TD'!AG71)</f>
        <v>356032.65352996916</v>
      </c>
      <c r="AI58" s="20">
        <f>IF('M2 Allocations - TD'!AH53="","",'M2 Allocations - TD'!AH71)</f>
        <v>346604.60421828728</v>
      </c>
      <c r="AJ58" s="20">
        <f>IF('M2 Allocations - TD'!AI53="","",'M2 Allocations - TD'!AI71)</f>
        <v>324956.79952393915</v>
      </c>
      <c r="AK58" s="20">
        <f>IF('M2 Allocations - TD'!AJ53="","",'M2 Allocations - TD'!AJ71)</f>
        <v>301584.85459624138</v>
      </c>
      <c r="AL58" s="20">
        <f>IF('M2 Allocations - TD'!AK53="","",'M2 Allocations - TD'!AK71)</f>
        <v>323402.5858220082</v>
      </c>
      <c r="AM58" s="20">
        <f>IF('M2 Allocations - TD'!AL53="","",'M2 Allocations - TD'!AL71)</f>
        <v>296745.40272335312</v>
      </c>
      <c r="AN58" s="20">
        <f>IF('M2 Allocations - TD'!AM53="","",'M2 Allocations - TD'!AM71)</f>
        <v>355667.68860749144</v>
      </c>
      <c r="AO58" s="20">
        <f>IF('M2 Allocations - TD'!AN53="","",'M2 Allocations - TD'!AN71)</f>
        <v>352302.39917248994</v>
      </c>
      <c r="AP58" s="20">
        <f>IF('M2 Allocations - TD'!AO53="","",'M2 Allocations - TD'!AO71)</f>
        <v>338612.44673821039</v>
      </c>
      <c r="AQ58" s="20">
        <f>IF('M2 Allocations - TD'!AP53="","",'M2 Allocations - TD'!AP71)</f>
        <v>338607.64249172056</v>
      </c>
      <c r="AR58" s="20">
        <f>IF('M2 Allocations - TD'!AQ53="","",'M2 Allocations - TD'!AQ71)</f>
        <v>393628.70516997529</v>
      </c>
      <c r="AS58" s="20">
        <f>IF('M2 Allocations - TD'!AR53="","",'M2 Allocations - TD'!AR71)</f>
        <v>395351.293050832</v>
      </c>
      <c r="AT58" s="20">
        <f>IF('M2 Allocations - TD'!AS53="","",'M2 Allocations - TD'!AS71)</f>
        <v>414954.8489846529</v>
      </c>
      <c r="AU58" s="20">
        <f>IF('M2 Allocations - TD'!AT53="","",'M2 Allocations - TD'!AT71)</f>
        <v>412666.27260449337</v>
      </c>
      <c r="AV58" s="20">
        <f>IF('M2 Allocations - TD'!AU53="","",'M2 Allocations - TD'!AU71)</f>
        <v>382499.83186560834</v>
      </c>
      <c r="AW58" s="20">
        <f>IF('M2 Allocations - TD'!AV53="","",'M2 Allocations - TD'!AV71)</f>
        <v>352969.01405759109</v>
      </c>
      <c r="AX58" s="20">
        <f>IF('M2 Allocations - TD'!AW53="","",'M2 Allocations - TD'!AW71)</f>
        <v>354749.07044000481</v>
      </c>
      <c r="AY58" s="20">
        <f>IF('M2 Allocations - TD'!AX53="","",'M2 Allocations - TD'!AX71)</f>
        <v>364800.86761435715</v>
      </c>
      <c r="AZ58" s="20">
        <f>IF('M2 Allocations - TD'!AY53="","",'M2 Allocations - TD'!AY71)</f>
        <v>290547.34153219213</v>
      </c>
      <c r="BA58" s="20">
        <f>IF('M2 Allocations - TD'!AZ53="","",'M2 Allocations - TD'!AZ71)</f>
        <v>123016.66955581112</v>
      </c>
      <c r="BB58" s="20">
        <f>IF('M2 Allocations - TD'!BA53="","",'M2 Allocations - TD'!BA71)</f>
        <v>118618.96587713738</v>
      </c>
      <c r="BC58" s="20">
        <f>IF('M2 Allocations - TD'!BB53="","",'M2 Allocations - TD'!BB71)</f>
        <v>111705.70022132192</v>
      </c>
      <c r="BD58" s="20">
        <f>IF('M2 Allocations - TD'!BC53="","",'M2 Allocations - TD'!BC71)</f>
        <v>130125.71091968814</v>
      </c>
      <c r="BE58" s="20">
        <f>IF('M2 Allocations - TD'!BD53="","",'M2 Allocations - TD'!BD71)</f>
        <v>136950.86579751672</v>
      </c>
      <c r="BF58" s="20">
        <f>IF('M2 Allocations - TD'!BE53="","",'M2 Allocations - TD'!BE71)</f>
        <v>143566.43039610708</v>
      </c>
      <c r="BG58" s="20">
        <f>IF('M2 Allocations - TD'!BF53="","",'M2 Allocations - TD'!BF71)</f>
        <v>143625.78644107448</v>
      </c>
      <c r="BH58" s="20">
        <f>IF('M2 Allocations - TD'!BG53="","",'M2 Allocations - TD'!BG71)</f>
        <v>127662.31996824293</v>
      </c>
      <c r="BI58" s="20">
        <f>IF('M2 Allocations - TD'!BH53="","",'M2 Allocations - TD'!BH71)</f>
        <v>126708.68055025722</v>
      </c>
      <c r="BJ58" s="20">
        <f>IF('M2 Allocations - TD'!BI53="","",'M2 Allocations - TD'!BI71)</f>
        <v>132518.9610920955</v>
      </c>
      <c r="BK58" s="20">
        <f>IF('M2 Allocations - TD'!BJ53="","",'M2 Allocations - TD'!BJ71)</f>
        <v>130056.06716620013</v>
      </c>
      <c r="BL58" s="20">
        <f>IF('M2 Allocations - TD'!BK53="","",'M2 Allocations - TD'!BK71)</f>
        <v>73469.336246691571</v>
      </c>
      <c r="BM58" s="20">
        <f>IF('M2 Allocations - TD'!BL53="","",'M2 Allocations - TD'!BL71)</f>
        <v>-22612.659176541922</v>
      </c>
      <c r="BN58" s="20">
        <f>IF('M2 Allocations - TD'!BM53="","",'M2 Allocations - TD'!BM71)</f>
        <v>-24415.905916675132</v>
      </c>
      <c r="BO58" s="20">
        <f>IF('M2 Allocations - TD'!BN53="","",'M2 Allocations - TD'!BN71)</f>
        <v>-26227.136477870259</v>
      </c>
      <c r="BP58" s="20">
        <f>IF('M2 Allocations - TD'!BO53="","",'M2 Allocations - TD'!BO71)</f>
        <v>-23636.693041994658</v>
      </c>
      <c r="BQ58" s="20">
        <f>IF('M2 Allocations - TD'!BP53="","",'M2 Allocations - TD'!BP71)</f>
        <v>-32709.066060894642</v>
      </c>
      <c r="BR58" s="20">
        <f>IF('M2 Allocations - TD'!BQ53="","",'M2 Allocations - TD'!BQ71)</f>
        <v>-30007.954013018152</v>
      </c>
      <c r="BS58" s="20">
        <f>IF('M2 Allocations - TD'!BR53="","",'M2 Allocations - TD'!BR71)</f>
        <v>-30398.556259296256</v>
      </c>
      <c r="BT58" s="20">
        <f>IF('M2 Allocations - TD'!BS53="","",'M2 Allocations - TD'!BS71)</f>
        <v>-26335.111362820855</v>
      </c>
      <c r="BU58" s="20">
        <f>IF('M2 Allocations - TD'!BT53="","",'M2 Allocations - TD'!BT71)</f>
        <v>-22828.889630809208</v>
      </c>
      <c r="BV58" s="20">
        <f>IF('M2 Allocations - TD'!BU53="","",'M2 Allocations - TD'!BU71)</f>
        <v>-29924.142514541847</v>
      </c>
      <c r="BW58" s="20">
        <f>IF('M2 Allocations - TD'!BV53="","",'M2 Allocations - TD'!BV71)</f>
        <v>-28848.082586273878</v>
      </c>
      <c r="BX58" s="20">
        <f>IF('M2 Allocations - TD'!BW53="","",'M2 Allocations - TD'!BW71)</f>
        <v>-20936.748032217365</v>
      </c>
      <c r="BY58" s="20">
        <f>IF('M2 Allocations - TD'!BX53="","",'M2 Allocations - TD'!BX71)</f>
        <v>-9363.3583204824445</v>
      </c>
      <c r="BZ58" s="20">
        <f>IF('M2 Allocations - TD'!BY53="","",'M2 Allocations - TD'!BY71)</f>
        <v>-9437.0051141241493</v>
      </c>
      <c r="CA58" s="20">
        <f>IF('M2 Allocations - TD'!BZ53="","",'M2 Allocations - TD'!BZ71)</f>
        <v>-9234.9091119732129</v>
      </c>
      <c r="CB58" s="20">
        <f>IF('M2 Allocations - TD'!CA53="","",'M2 Allocations - TD'!CA71)</f>
        <v>-10506.965502226194</v>
      </c>
      <c r="CC58" s="20">
        <f>IF('M2 Allocations - TD'!CB53="","",'M2 Allocations - TD'!CB71)</f>
        <v>-10928.084351774703</v>
      </c>
      <c r="CD58" s="20">
        <f>IF('M2 Allocations - TD'!CC53="","",'M2 Allocations - TD'!CC71)</f>
        <v>-10838.193004551051</v>
      </c>
      <c r="CE58" s="20">
        <f>IF('M2 Allocations - TD'!CD53="","",'M2 Allocations - TD'!CD71)</f>
        <v>-10559.893442002107</v>
      </c>
      <c r="CF58" s="20">
        <f>IF('M2 Allocations - TD'!CE53="","",'M2 Allocations - TD'!CE71)</f>
        <v>-9362.8553505780201</v>
      </c>
      <c r="CG58" s="20">
        <f>IF('M2 Allocations - TD'!CF53="","",'M2 Allocations - TD'!CF71)</f>
        <v>-9452.1264699535604</v>
      </c>
      <c r="CH58" s="20">
        <f>IF('M2 Allocations - TD'!CG53="","",'M2 Allocations - TD'!CG71)</f>
        <v>-9797.8820407188032</v>
      </c>
      <c r="CI58" s="20">
        <f>IF('M2 Allocations - TD'!CH53="","",'M2 Allocations - TD'!CH71)</f>
        <v>-9326.6664870361237</v>
      </c>
      <c r="CJ58" s="20">
        <f>IF('M2 Allocations - TD'!CI53="","",'M2 Allocations - TD'!CI71)</f>
        <v>-6080.9078580485339</v>
      </c>
      <c r="CK58" s="20">
        <f>IF('M2 Allocations - TD'!CJ53="","",'M2 Allocations - TD'!CJ71)</f>
        <v>593.75085601537899</v>
      </c>
      <c r="CL58" s="20">
        <f>IF('M2 Allocations - TD'!CK53="","",'M2 Allocations - TD'!CK71)</f>
        <v>803.2809951605052</v>
      </c>
      <c r="CM58" s="20">
        <f>IF('M2 Allocations - TD'!CL53="","",'M2 Allocations - TD'!CL71)</f>
        <v>814.06279964630232</v>
      </c>
      <c r="CN58" s="20">
        <f>IF('M2 Allocations - TD'!CM53="","",'M2 Allocations - TD'!CM71)</f>
        <v>851.34967874686606</v>
      </c>
      <c r="CO58" s="20">
        <f>IF('M2 Allocations - TD'!CN53="","",'M2 Allocations - TD'!CN71)</f>
        <v>868.7312652382152</v>
      </c>
      <c r="CP58" s="20">
        <f>IF('M2 Allocations - TD'!CO53="","",'M2 Allocations - TD'!CO71)</f>
        <v>981.25994646426079</v>
      </c>
      <c r="CQ58" s="20">
        <f>IF('M2 Allocations - TD'!CP53="","",'M2 Allocations - TD'!CP71)</f>
        <v>939.27443482392925</v>
      </c>
      <c r="CR58" s="20">
        <f>IF('M2 Allocations - TD'!CQ53="","",'M2 Allocations - TD'!CQ71)</f>
        <v>817.13074883847435</v>
      </c>
      <c r="CS58" s="20">
        <f>IF('M2 Allocations - TD'!CR53="","",'M2 Allocations - TD'!CR71)</f>
        <v>820.74162828052283</v>
      </c>
      <c r="CT58" s="20">
        <f>IF('M2 Allocations - TD'!CS53="","",'M2 Allocations - TD'!CS71)</f>
        <v>791.96940377308931</v>
      </c>
      <c r="CU58" s="20">
        <f>IF('M2 Allocations - TD'!CT53="","",'M2 Allocations - TD'!CT71)</f>
        <v>828.6673994533171</v>
      </c>
    </row>
    <row r="59" spans="1:99" s="4" customFormat="1" ht="15" hidden="1" customHeight="1" outlineLevel="1" x14ac:dyDescent="0.25">
      <c r="A59" s="292"/>
      <c r="B59" s="16" t="s">
        <v>51</v>
      </c>
      <c r="C59" s="24"/>
      <c r="D59" s="24"/>
      <c r="E59" s="22"/>
      <c r="F59" s="22"/>
      <c r="G59" s="22"/>
      <c r="H59" s="22"/>
      <c r="I59" s="22"/>
      <c r="J59" s="22"/>
      <c r="K59" s="22"/>
      <c r="L59" s="22"/>
      <c r="M59" s="22"/>
      <c r="N59" s="22"/>
      <c r="O59" s="22">
        <f>+'M2 TD amort'!C29</f>
        <v>0</v>
      </c>
      <c r="P59" s="22">
        <f>IF(P58="","",-'M2 TD amort'!D29)</f>
        <v>-218471.8</v>
      </c>
      <c r="Q59" s="22">
        <f>IF(Q58="","",-'M2 TD amort'!E29)</f>
        <v>-177710.71</v>
      </c>
      <c r="R59" s="20">
        <f>IF(R58="","",-'M2 TD amort'!F29)</f>
        <v>-191229.73</v>
      </c>
      <c r="S59" s="20">
        <f>IF(S58="","",-'M2 TD amort'!G29)</f>
        <v>-193716.84</v>
      </c>
      <c r="T59" s="20">
        <f>IF(T58="","",-'M2 TD amort'!H29)</f>
        <v>-222624.92</v>
      </c>
      <c r="U59" s="20">
        <f>IF(U58="","",-'M2 TD amort'!I29)</f>
        <v>-218073.95</v>
      </c>
      <c r="V59" s="20">
        <f>IF(V58="","",-'M2 TD amort'!J29)</f>
        <v>-230059.35</v>
      </c>
      <c r="W59" s="20">
        <f>IF(W58="","",-'M2 TD amort'!K29)</f>
        <v>-221358.47</v>
      </c>
      <c r="X59" s="20">
        <f>IF(X58="","",-'M2 TD amort'!L29)</f>
        <v>-216663.84</v>
      </c>
      <c r="Y59" s="20">
        <f>IF(Y58="","",-'M2 TD amort'!M29)</f>
        <v>-195061.62</v>
      </c>
      <c r="Z59" s="20">
        <f>IF(Z58="","",-'M2 TD amort'!N29)</f>
        <v>-204414.35</v>
      </c>
      <c r="AA59" s="20">
        <f>IF(AA58="","",-'M2 TD amort'!O29)</f>
        <v>-225860.94</v>
      </c>
      <c r="AB59" s="20">
        <f>IF(AB58="","",-'M2 TD amort'!P29)</f>
        <v>2910.27</v>
      </c>
      <c r="AC59" s="20">
        <f>IF(AC58="","",-'M2 TD amort'!Q29)</f>
        <v>2901.71</v>
      </c>
      <c r="AD59" s="20">
        <f>IF(AD58="","",-'M2 TD amort'!R29)</f>
        <v>2678.69</v>
      </c>
      <c r="AE59" s="20">
        <f>IF(AE58="","",-'M2 TD amort'!S29)</f>
        <v>3084.99</v>
      </c>
      <c r="AF59" s="20">
        <f>IF(AF58="","",-'M2 TD amort'!T29)</f>
        <v>3345.54</v>
      </c>
      <c r="AG59" s="20">
        <f>IF(AG58="","",-'M2 TD amort'!U29)</f>
        <v>3464.54</v>
      </c>
      <c r="AH59" s="20">
        <f>IF(AH58="","",-'M2 TD amort'!V29)</f>
        <v>3405.5</v>
      </c>
      <c r="AI59" s="20">
        <f>IF(AI58="","",-'M2 TD amort'!W29)</f>
        <v>3314.25</v>
      </c>
      <c r="AJ59" s="20">
        <f>IF(AJ58="","",-'M2 TD amort'!X29)</f>
        <v>3107.88</v>
      </c>
      <c r="AK59" s="20">
        <f>IF(AK58="","",-'M2 TD amort'!Y29)</f>
        <v>2892.34</v>
      </c>
      <c r="AL59" s="20">
        <f>IF(AL58="","",-'M2 TD amort'!Z29)</f>
        <v>3110.11</v>
      </c>
      <c r="AM59" s="20">
        <f>IF(AM58="","",-'M2 TD amort'!AA29)</f>
        <v>2854.53</v>
      </c>
      <c r="AN59" s="20">
        <f>IF(AN58="","",-'M2 TD amort'!AB29)</f>
        <v>44923.25</v>
      </c>
      <c r="AO59" s="20">
        <f>IF(AO58="","",-'M2 TD amort'!AC29)</f>
        <v>44472.76</v>
      </c>
      <c r="AP59" s="20">
        <f>IF(AP58="","",-'M2 TD amort'!AD29)</f>
        <v>42630.31</v>
      </c>
      <c r="AQ59" s="20">
        <f>IF(AQ58="","",-'M2 TD amort'!AE29)</f>
        <v>42527.18</v>
      </c>
      <c r="AR59" s="20">
        <f>IF(AR58="","",-'M2 TD amort'!AF29)</f>
        <v>49414.85</v>
      </c>
      <c r="AS59" s="20">
        <f>IF(AS58="","",-'M2 TD amort'!AG29)</f>
        <v>49660.75</v>
      </c>
      <c r="AT59" s="20">
        <f>IF(AT58="","",-'M2 TD amort'!AH29)</f>
        <v>52133.62</v>
      </c>
      <c r="AU59" s="20">
        <f>IF(AU58="","",-'M2 TD amort'!AI29)</f>
        <v>51817.96</v>
      </c>
      <c r="AV59" s="20">
        <f>IF(AV58="","",-'M2 TD amort'!AJ29)</f>
        <v>48015.69</v>
      </c>
      <c r="AW59" s="20">
        <f>IF(AW58="","",-'M2 TD amort'!AK29)</f>
        <v>44402.83</v>
      </c>
      <c r="AX59" s="20">
        <f>IF(AX58="","",-'M2 TD amort'!AL29)</f>
        <v>44707.199999999997</v>
      </c>
      <c r="AY59" s="20">
        <f>IF(AY58="","",-'M2 TD amort'!AM29)</f>
        <v>45991.89</v>
      </c>
      <c r="AZ59" s="20">
        <f>IF(AZ58="","",-'M2 TD amort'!AN29)</f>
        <v>-82846.45</v>
      </c>
      <c r="BA59" s="20">
        <f>IF(BA58="","",-'M2 TD amort'!AO29)</f>
        <v>-34821.199999999997</v>
      </c>
      <c r="BB59" s="20">
        <f>IF(BB58="","",-'M2 TD amort'!AP29)</f>
        <v>-33556.67</v>
      </c>
      <c r="BC59" s="20">
        <f>IF(BC58="","",-'M2 TD amort'!AQ29)</f>
        <v>-31590.7</v>
      </c>
      <c r="BD59" s="20">
        <f>IF(BD58="","",-'M2 TD amort'!AR29)</f>
        <v>-36791.480000000003</v>
      </c>
      <c r="BE59" s="20">
        <f>IF(BE58="","",-'M2 TD amort'!AS29)</f>
        <v>-38724.1</v>
      </c>
      <c r="BF59" s="20">
        <f>IF(BF58="","",-'M2 TD amort'!AT29)</f>
        <v>-40589.17</v>
      </c>
      <c r="BG59" s="20">
        <f>IF(BG58="","",-'M2 TD amort'!AU29)</f>
        <v>-40599.53</v>
      </c>
      <c r="BH59" s="20">
        <f>IF(BH58="","",-'M2 TD amort'!AV29)</f>
        <v>-36087.699999999997</v>
      </c>
      <c r="BI59" s="20">
        <f>IF(BI58="","",-'M2 TD amort'!AW29)</f>
        <v>-35832.050000000003</v>
      </c>
      <c r="BJ59" s="20">
        <f>IF(BJ58="","",-'M2 TD amort'!AX29)</f>
        <v>-37492.33</v>
      </c>
      <c r="BK59" s="20">
        <f>IF(BK58="","",-'M2 TD amort'!AY29)</f>
        <v>-36812.410000000003</v>
      </c>
      <c r="BL59" s="20">
        <f>IF(BL58="","",-'M2 TD amort'!AZ29)</f>
        <v>-123157.44</v>
      </c>
      <c r="BM59" s="20">
        <f>IF(BM58="","",-'M2 TD amort'!BA29)</f>
        <v>40007.54</v>
      </c>
      <c r="BN59" s="20">
        <f>IF(BN58="","",-'M2 TD amort'!BB29)</f>
        <v>42694.89</v>
      </c>
      <c r="BO59" s="20">
        <f>IF(BO58="","",-'M2 TD amort'!BC29)</f>
        <v>45615.15</v>
      </c>
      <c r="BP59" s="20">
        <f>IF(BP58="","",-'M2 TD amort'!BD29)</f>
        <v>41162.83</v>
      </c>
      <c r="BQ59" s="20">
        <f>IF(BQ58="","",-'M2 TD amort'!BE29)</f>
        <v>56959.49</v>
      </c>
      <c r="BR59" s="20">
        <f>IF(BR58="","",-'M2 TD amort'!BF29)</f>
        <v>52295.71</v>
      </c>
      <c r="BS59" s="20">
        <f>IF(BS58="","",-'M2 TD amort'!BG29)</f>
        <v>52959.66</v>
      </c>
      <c r="BT59" s="20">
        <f>IF(BT58="","",-'M2 TD amort'!BH29)</f>
        <v>45730.01</v>
      </c>
      <c r="BU59" s="20">
        <f>IF(BU58="","",-'M2 TD amort'!BI29)</f>
        <v>39890.089999999997</v>
      </c>
      <c r="BV59" s="20">
        <f>IF(BV58="","",-'M2 TD amort'!BJ29)</f>
        <v>52432.800000000003</v>
      </c>
      <c r="BW59" s="20">
        <f>IF(BW58="","",-'M2 TD amort'!BK29)</f>
        <v>50635.33</v>
      </c>
      <c r="BX59" s="20">
        <f>IF(BX58="","",-'M2 TD amort'!BL29)</f>
        <v>23630.6</v>
      </c>
      <c r="BY59" s="20">
        <f>IF(BY58="","",-'M2 TD amort'!BM29)</f>
        <v>10235.24</v>
      </c>
      <c r="BZ59" s="20">
        <f>IF(BZ58="","",-'M2 TD amort'!BN29)</f>
        <v>10302.52</v>
      </c>
      <c r="CA59" s="20">
        <f>IF(CA58="","",-'M2 TD amort'!BO29)</f>
        <v>10077.35</v>
      </c>
      <c r="CB59" s="20">
        <f>IF(CB58="","",-'M2 TD amort'!BP29)</f>
        <v>11463.99</v>
      </c>
      <c r="CC59" s="20">
        <f>IF(CC58="","",-'M2 TD amort'!BQ29)</f>
        <v>11928.19</v>
      </c>
      <c r="CD59" s="20">
        <f>IF(CD58="","",-'M2 TD amort'!BR29)</f>
        <v>11832.42</v>
      </c>
      <c r="CE59" s="20">
        <f>IF(CE58="","",-'M2 TD amort'!BS29)</f>
        <v>11526.06</v>
      </c>
      <c r="CF59" s="20">
        <f>IF(CF58="","",-'M2 TD amort'!BT29)</f>
        <v>10219.18</v>
      </c>
      <c r="CG59" s="20">
        <f>IF(CG58="","",-'M2 TD amort'!BU29)</f>
        <v>10320.07</v>
      </c>
      <c r="CH59" s="20">
        <f>IF(CH58="","",-'M2 TD amort'!BV29)</f>
        <v>10712.45</v>
      </c>
      <c r="CI59" s="20">
        <f>IF(CI58="","",-'M2 TD amort'!BW29)</f>
        <v>10198.379999999999</v>
      </c>
      <c r="CJ59" s="20">
        <f>IF(CJ58="","",-'M2 TD amort'!BX29)</f>
        <v>6080.44</v>
      </c>
      <c r="CK59" s="20">
        <f>IF(CK58="","",-'M2 TD amort'!BY29)</f>
        <v>-667.65</v>
      </c>
      <c r="CL59" s="20">
        <f>IF(CL58="","",-'M2 TD amort'!BZ29)</f>
        <v>-877.65</v>
      </c>
      <c r="CM59" s="20">
        <f>IF(CM58="","",-'M2 TD amort'!CA29)</f>
        <v>-877.06</v>
      </c>
      <c r="CN59" s="20">
        <f>IF(CN58="","",-'M2 TD amort'!CB29)</f>
        <v>-917.12</v>
      </c>
      <c r="CO59" s="20">
        <f>IF(CO58="","",-'M2 TD amort'!CC29)</f>
        <v>-941.31</v>
      </c>
      <c r="CP59" s="20">
        <f>IF(CP58="","",-'M2 TD amort'!CD29)</f>
        <v>-1063.3</v>
      </c>
      <c r="CQ59" s="20">
        <f>IF(CQ58="","",-'M2 TD amort'!CE29)</f>
        <v>-1016.76</v>
      </c>
      <c r="CR59" s="20">
        <f>IF(CR58="","",-'M2 TD amort'!CF29)</f>
        <v>-882.85</v>
      </c>
      <c r="CS59" s="20">
        <f>IF(CS58="","",-'M2 TD amort'!CG29)</f>
        <v>-889.04</v>
      </c>
      <c r="CT59" s="20">
        <f>IF(CT58="","",-'M2 TD amort'!CH29)</f>
        <v>-874.1</v>
      </c>
      <c r="CU59" s="20">
        <f>IF(CU58="","",-'M2 TD amort'!CI29)</f>
        <v>-923.35</v>
      </c>
    </row>
    <row r="60" spans="1:99" s="4" customFormat="1" ht="15" hidden="1" customHeight="1" outlineLevel="1" x14ac:dyDescent="0.25">
      <c r="A60" s="292"/>
      <c r="B60" s="16" t="s">
        <v>52</v>
      </c>
      <c r="C60" s="24"/>
      <c r="D60" s="24"/>
      <c r="E60" s="7"/>
      <c r="F60" s="7"/>
      <c r="G60" s="7"/>
      <c r="H60" s="7"/>
      <c r="I60" s="7"/>
      <c r="J60" s="7"/>
      <c r="K60" s="7"/>
      <c r="L60" s="7"/>
      <c r="M60" s="7"/>
      <c r="N60" s="7"/>
      <c r="O60" s="7">
        <f>IF(OR(O59="",O58=""),"",O58+O59)</f>
        <v>31958.9</v>
      </c>
      <c r="P60" s="7">
        <f t="shared" ref="P60" si="701">IF(OR(P59="",P58=""),"",P58+P59)</f>
        <v>109985.11000000004</v>
      </c>
      <c r="Q60" s="7">
        <f t="shared" ref="Q60" si="702">IF(OR(Q59="",Q58=""),"",Q58+Q59)</f>
        <v>89464.790000000008</v>
      </c>
      <c r="R60" s="7">
        <f t="shared" ref="R60" si="703">IF(OR(R59="",R58=""),"",R58+R59)</f>
        <v>91906.678866303904</v>
      </c>
      <c r="S60" s="7">
        <f t="shared" ref="S60" si="704">IF(OR(S59="",S58=""),"",S58+S59)</f>
        <v>93743.973278167687</v>
      </c>
      <c r="T60" s="7">
        <f t="shared" ref="T60" si="705">IF(OR(T59="",T58=""),"",T58+T59)</f>
        <v>107784.85575572422</v>
      </c>
      <c r="U60" s="7">
        <f t="shared" ref="U60" si="706">IF(OR(U59="",U58=""),"",U58+U59)</f>
        <v>105127.4252599366</v>
      </c>
      <c r="V60" s="7">
        <f t="shared" ref="V60" si="707">IF(OR(V59="",V58=""),"",V58+V59)</f>
        <v>110884.85704658218</v>
      </c>
      <c r="W60" s="7">
        <f t="shared" ref="W60" si="708">IF(OR(W59="",W58=""),"",W58+W59)</f>
        <v>106930.61781066153</v>
      </c>
      <c r="X60" s="7">
        <f t="shared" ref="X60" si="709">IF(OR(X59="",X58=""),"",X58+X59)</f>
        <v>104789.06171375726</v>
      </c>
      <c r="Y60" s="7">
        <f t="shared" ref="Y60" si="710">IF(OR(Y59="",Y58=""),"",Y58+Y59)</f>
        <v>93717.035875590867</v>
      </c>
      <c r="Z60" s="7">
        <f t="shared" ref="Z60" si="711">IF(OR(Z59="",Z58=""),"",Z58+Z59)</f>
        <v>97336.961936121836</v>
      </c>
      <c r="AA60" s="7">
        <f t="shared" ref="AA60" si="712">IF(OR(AA59="",AA58=""),"",AA58+AA59)</f>
        <v>106438.59125242464</v>
      </c>
      <c r="AB60" s="7">
        <f t="shared" ref="AB60" si="713">IF(OR(AB59="",AB58=""),"",AB58+AB59)</f>
        <v>305339.22000000003</v>
      </c>
      <c r="AC60" s="7">
        <f t="shared" ref="AC60" si="714">IF(OR(AC59="",AC58=""),"",AC58+AC59)</f>
        <v>304845.31981245003</v>
      </c>
      <c r="AD60" s="7">
        <f t="shared" ref="AD60" si="715">IF(OR(AD59="",AD58=""),"",AD58+AD59)</f>
        <v>281378.3957611302</v>
      </c>
      <c r="AE60" s="7">
        <f t="shared" ref="AE60" si="716">IF(OR(AE59="",AE58=""),"",AE58+AE59)</f>
        <v>325455.87601313851</v>
      </c>
      <c r="AF60" s="7">
        <f t="shared" ref="AF60" si="717">IF(OR(AF59="",AF58=""),"",AF58+AF59)</f>
        <v>353096.56773569045</v>
      </c>
      <c r="AG60" s="7">
        <f t="shared" ref="AG60" si="718">IF(OR(AG59="",AG58=""),"",AG58+AG59)</f>
        <v>365440.51928185287</v>
      </c>
      <c r="AH60" s="7">
        <f t="shared" ref="AH60" si="719">IF(OR(AH59="",AH58=""),"",AH58+AH59)</f>
        <v>359438.15352996916</v>
      </c>
      <c r="AI60" s="7">
        <f t="shared" ref="AI60" si="720">IF(OR(AI59="",AI58=""),"",AI58+AI59)</f>
        <v>349918.85421828728</v>
      </c>
      <c r="AJ60" s="7">
        <f t="shared" ref="AJ60" si="721">IF(OR(AJ59="",AJ58=""),"",AJ58+AJ59)</f>
        <v>328064.67952393915</v>
      </c>
      <c r="AK60" s="7">
        <f t="shared" ref="AK60" si="722">IF(OR(AK59="",AK58=""),"",AK58+AK59)</f>
        <v>304477.1945962414</v>
      </c>
      <c r="AL60" s="7">
        <f t="shared" ref="AL60" si="723">IF(OR(AL59="",AL58=""),"",AL58+AL59)</f>
        <v>326512.69582200819</v>
      </c>
      <c r="AM60" s="7">
        <f t="shared" ref="AM60:BJ60" si="724">IF(OR(AM59="",AM58=""),"",AM58+AM59)</f>
        <v>299599.93272335315</v>
      </c>
      <c r="AN60" s="7">
        <f t="shared" si="724"/>
        <v>400590.93860749144</v>
      </c>
      <c r="AO60" s="7">
        <f t="shared" si="724"/>
        <v>396775.15917248995</v>
      </c>
      <c r="AP60" s="7">
        <f t="shared" si="724"/>
        <v>381242.75673821039</v>
      </c>
      <c r="AQ60" s="7">
        <f t="shared" si="724"/>
        <v>381134.82249172055</v>
      </c>
      <c r="AR60" s="7">
        <f t="shared" si="724"/>
        <v>443043.55516997527</v>
      </c>
      <c r="AS60" s="7">
        <f t="shared" si="724"/>
        <v>445012.043050832</v>
      </c>
      <c r="AT60" s="7">
        <f t="shared" si="724"/>
        <v>467088.46898465289</v>
      </c>
      <c r="AU60" s="7">
        <f t="shared" si="724"/>
        <v>464484.23260449339</v>
      </c>
      <c r="AV60" s="7">
        <f t="shared" si="724"/>
        <v>430515.52186560835</v>
      </c>
      <c r="AW60" s="7">
        <f t="shared" si="724"/>
        <v>397371.84405759111</v>
      </c>
      <c r="AX60" s="7">
        <f t="shared" si="724"/>
        <v>399456.27044000482</v>
      </c>
      <c r="AY60" s="7">
        <f t="shared" si="724"/>
        <v>410792.75761435716</v>
      </c>
      <c r="AZ60" s="7">
        <f t="shared" si="724"/>
        <v>207700.89153219212</v>
      </c>
      <c r="BA60" s="7">
        <f t="shared" si="724"/>
        <v>88195.469555811127</v>
      </c>
      <c r="BB60" s="7">
        <f t="shared" si="724"/>
        <v>85062.295877137381</v>
      </c>
      <c r="BC60" s="7">
        <f t="shared" si="724"/>
        <v>80115.000221321927</v>
      </c>
      <c r="BD60" s="7">
        <f t="shared" si="724"/>
        <v>93334.230919688125</v>
      </c>
      <c r="BE60" s="7">
        <f t="shared" si="724"/>
        <v>98226.765797516709</v>
      </c>
      <c r="BF60" s="7">
        <f t="shared" si="724"/>
        <v>102977.26039610709</v>
      </c>
      <c r="BG60" s="7">
        <f t="shared" si="724"/>
        <v>103026.25644107448</v>
      </c>
      <c r="BH60" s="7">
        <f t="shared" si="724"/>
        <v>91574.619968242929</v>
      </c>
      <c r="BI60" s="7">
        <f t="shared" si="724"/>
        <v>90876.630550257221</v>
      </c>
      <c r="BJ60" s="7">
        <f t="shared" si="724"/>
        <v>95026.6310920955</v>
      </c>
      <c r="BK60" s="7">
        <f t="shared" ref="BK60:BL60" si="725">IF(OR(BK59="",BK58=""),"",BK58+BK59)</f>
        <v>93243.657166200122</v>
      </c>
      <c r="BL60" s="7">
        <f t="shared" si="725"/>
        <v>-49688.103753308431</v>
      </c>
      <c r="BM60" s="7">
        <f t="shared" ref="BM60:BN60" si="726">IF(OR(BM59="",BM58=""),"",BM58+BM59)</f>
        <v>17394.880823458079</v>
      </c>
      <c r="BN60" s="7">
        <f t="shared" si="726"/>
        <v>18278.984083324867</v>
      </c>
      <c r="BO60" s="7">
        <f t="shared" ref="BO60:BP60" si="727">IF(OR(BO59="",BO58=""),"",BO58+BO59)</f>
        <v>19388.013522129742</v>
      </c>
      <c r="BP60" s="7">
        <f t="shared" si="727"/>
        <v>17526.136958005343</v>
      </c>
      <c r="BQ60" s="7">
        <f t="shared" ref="BQ60:BR60" si="728">IF(OR(BQ59="",BQ58=""),"",BQ58+BQ59)</f>
        <v>24250.423939105356</v>
      </c>
      <c r="BR60" s="7">
        <f t="shared" si="728"/>
        <v>22287.755986981847</v>
      </c>
      <c r="BS60" s="7">
        <f t="shared" ref="BS60:BT60" si="729">IF(OR(BS59="",BS58=""),"",BS58+BS59)</f>
        <v>22561.103740703747</v>
      </c>
      <c r="BT60" s="7">
        <f t="shared" si="729"/>
        <v>19394.898637179147</v>
      </c>
      <c r="BU60" s="7">
        <f t="shared" ref="BU60:BV60" si="730">IF(OR(BU59="",BU58=""),"",BU58+BU59)</f>
        <v>17061.200369190788</v>
      </c>
      <c r="BV60" s="7">
        <f t="shared" si="730"/>
        <v>22508.657485458156</v>
      </c>
      <c r="BW60" s="7">
        <f t="shared" ref="BW60:BX60" si="731">IF(OR(BW59="",BW58=""),"",BW58+BW59)</f>
        <v>21787.247413726123</v>
      </c>
      <c r="BX60" s="7">
        <f t="shared" si="731"/>
        <v>2693.8519677826334</v>
      </c>
      <c r="BY60" s="7">
        <f t="shared" ref="BY60:BZ60" si="732">IF(OR(BY59="",BY58=""),"",BY58+BY59)</f>
        <v>871.88167951755531</v>
      </c>
      <c r="BZ60" s="7">
        <f t="shared" si="732"/>
        <v>865.51488587585118</v>
      </c>
      <c r="CA60" s="7">
        <f t="shared" ref="CA60:CB60" si="733">IF(OR(CA59="",CA58=""),"",CA58+CA59)</f>
        <v>842.44088802678743</v>
      </c>
      <c r="CB60" s="7">
        <f t="shared" si="733"/>
        <v>957.02449777380571</v>
      </c>
      <c r="CC60" s="7">
        <f t="shared" ref="CC60:CD60" si="734">IF(OR(CC59="",CC58=""),"",CC58+CC59)</f>
        <v>1000.105648225297</v>
      </c>
      <c r="CD60" s="7">
        <f t="shared" si="734"/>
        <v>994.22699544894931</v>
      </c>
      <c r="CE60" s="7">
        <f t="shared" ref="CE60:CF60" si="735">IF(OR(CE59="",CE58=""),"",CE58+CE59)</f>
        <v>966.1665579978926</v>
      </c>
      <c r="CF60" s="7">
        <f t="shared" si="735"/>
        <v>856.32464942198021</v>
      </c>
      <c r="CG60" s="7">
        <f t="shared" ref="CG60:CH60" si="736">IF(OR(CG59="",CG58=""),"",CG58+CG59)</f>
        <v>867.94353004643926</v>
      </c>
      <c r="CH60" s="7">
        <f t="shared" si="736"/>
        <v>914.56795928119755</v>
      </c>
      <c r="CI60" s="7">
        <f t="shared" ref="CI60:CJ60" si="737">IF(OR(CI59="",CI58=""),"",CI58+CI59)</f>
        <v>871.71351296387547</v>
      </c>
      <c r="CJ60" s="7">
        <f t="shared" si="737"/>
        <v>-0.46785804853425361</v>
      </c>
      <c r="CK60" s="7">
        <f t="shared" ref="CK60:CL60" si="738">IF(OR(CK59="",CK58=""),"",CK58+CK59)</f>
        <v>-73.899143984620991</v>
      </c>
      <c r="CL60" s="7">
        <f t="shared" si="738"/>
        <v>-74.369004839494778</v>
      </c>
      <c r="CM60" s="7">
        <f t="shared" ref="CM60:CN60" si="739">IF(OR(CM59="",CM58=""),"",CM58+CM59)</f>
        <v>-62.997200353697622</v>
      </c>
      <c r="CN60" s="7">
        <f t="shared" si="739"/>
        <v>-65.770321253133943</v>
      </c>
      <c r="CO60" s="7">
        <f t="shared" ref="CO60:CP60" si="740">IF(OR(CO59="",CO58=""),"",CO58+CO59)</f>
        <v>-72.578734761784744</v>
      </c>
      <c r="CP60" s="7">
        <f t="shared" si="740"/>
        <v>-82.040053535739162</v>
      </c>
      <c r="CQ60" s="7">
        <f t="shared" ref="CQ60:CR60" si="741">IF(OR(CQ59="",CQ58=""),"",CQ58+CQ59)</f>
        <v>-77.485565176070736</v>
      </c>
      <c r="CR60" s="7">
        <f t="shared" si="741"/>
        <v>-65.719251161525676</v>
      </c>
      <c r="CS60" s="7">
        <f t="shared" ref="CS60:CT60" si="742">IF(OR(CS59="",CS58=""),"",CS58+CS59)</f>
        <v>-68.298371719477132</v>
      </c>
      <c r="CT60" s="7">
        <f t="shared" si="742"/>
        <v>-82.130596226910711</v>
      </c>
      <c r="CU60" s="7">
        <f t="shared" ref="CU60" si="743">IF(OR(CU59="",CU58=""),"",CU58+CU59)</f>
        <v>-94.68260054668292</v>
      </c>
    </row>
    <row r="61" spans="1:99" s="4" customFormat="1" hidden="1" outlineLevel="1" x14ac:dyDescent="0.25">
      <c r="A61" s="292"/>
      <c r="B61" s="16" t="s">
        <v>13</v>
      </c>
      <c r="C61" s="24"/>
      <c r="D61" s="24"/>
      <c r="E61" s="7">
        <f t="shared" ref="E61:N61" si="744">IF(OR(E58="",E57=""),"",E57-E58)</f>
        <v>0</v>
      </c>
      <c r="F61" s="7">
        <f t="shared" si="744"/>
        <v>0</v>
      </c>
      <c r="G61" s="7">
        <f t="shared" si="744"/>
        <v>-1621.85</v>
      </c>
      <c r="H61" s="7">
        <f t="shared" si="744"/>
        <v>-14886.83</v>
      </c>
      <c r="I61" s="7">
        <f t="shared" si="744"/>
        <v>-17626.32</v>
      </c>
      <c r="J61" s="7">
        <f t="shared" si="744"/>
        <v>-16627.989274539053</v>
      </c>
      <c r="K61" s="7">
        <f t="shared" si="744"/>
        <v>-15673.941858251583</v>
      </c>
      <c r="L61" s="7">
        <f t="shared" si="744"/>
        <v>-12991.857554211925</v>
      </c>
      <c r="M61" s="7">
        <f t="shared" si="744"/>
        <v>-9215.8170176639032</v>
      </c>
      <c r="N61" s="7">
        <f t="shared" si="744"/>
        <v>1372.297784318449</v>
      </c>
      <c r="O61" s="7">
        <f>IF(OR(O60="",O57=""),"",O57-O60)</f>
        <v>-3995.0892387392923</v>
      </c>
      <c r="P61" s="7">
        <f t="shared" ref="P61:AM61" si="745">IF(OR(P60="",P57=""),"",P57-P60)</f>
        <v>-85529.050047350116</v>
      </c>
      <c r="Q61" s="7">
        <f t="shared" si="745"/>
        <v>-59849.479327312241</v>
      </c>
      <c r="R61" s="7">
        <f t="shared" si="745"/>
        <v>-79740.242176648651</v>
      </c>
      <c r="S61" s="7">
        <f t="shared" si="745"/>
        <v>-65635.888917682387</v>
      </c>
      <c r="T61" s="7">
        <f t="shared" si="745"/>
        <v>20363.295659226904</v>
      </c>
      <c r="U61" s="7">
        <f t="shared" si="745"/>
        <v>70562.31474006339</v>
      </c>
      <c r="V61" s="7">
        <f t="shared" si="745"/>
        <v>107517.67105437367</v>
      </c>
      <c r="W61" s="7">
        <f t="shared" si="745"/>
        <v>98137.280689125095</v>
      </c>
      <c r="X61" s="7">
        <f t="shared" si="745"/>
        <v>-3601.9787410198333</v>
      </c>
      <c r="Y61" s="7">
        <f t="shared" si="745"/>
        <v>4056.4021304298512</v>
      </c>
      <c r="Z61" s="7">
        <f t="shared" si="745"/>
        <v>16409.141162858054</v>
      </c>
      <c r="AA61" s="7">
        <f t="shared" si="745"/>
        <v>25357.436760066455</v>
      </c>
      <c r="AB61" s="7">
        <f t="shared" si="745"/>
        <v>-189248.83839752211</v>
      </c>
      <c r="AC61" s="7">
        <f t="shared" si="745"/>
        <v>-172777.1548367475</v>
      </c>
      <c r="AD61" s="7">
        <f t="shared" si="745"/>
        <v>-148057.30898659962</v>
      </c>
      <c r="AE61" s="7">
        <f t="shared" si="745"/>
        <v>-145351.0580987274</v>
      </c>
      <c r="AF61" s="7">
        <f t="shared" si="745"/>
        <v>69895.046517746523</v>
      </c>
      <c r="AG61" s="7">
        <f t="shared" si="745"/>
        <v>178169.34145182674</v>
      </c>
      <c r="AH61" s="7">
        <f t="shared" si="745"/>
        <v>126824.85779464053</v>
      </c>
      <c r="AI61" s="7">
        <f t="shared" si="745"/>
        <v>64188.591347931884</v>
      </c>
      <c r="AJ61" s="7">
        <f t="shared" si="745"/>
        <v>-120856.32529398013</v>
      </c>
      <c r="AK61" s="7">
        <f t="shared" si="745"/>
        <v>-113170.01032792343</v>
      </c>
      <c r="AL61" s="7">
        <f t="shared" si="745"/>
        <v>-102687.39949390403</v>
      </c>
      <c r="AM61" s="7">
        <f t="shared" si="745"/>
        <v>-47885.071968987613</v>
      </c>
      <c r="AN61" s="7">
        <f t="shared" ref="AN61:BJ61" si="746">IF(OR(AN60="",AN57=""),"",AN57-AN60)</f>
        <v>-179748.9419202162</v>
      </c>
      <c r="AO61" s="7">
        <f t="shared" si="746"/>
        <v>-91124.046517600538</v>
      </c>
      <c r="AP61" s="7">
        <f t="shared" si="746"/>
        <v>-96968.51042268303</v>
      </c>
      <c r="AQ61" s="7">
        <f t="shared" si="746"/>
        <v>-86353.019606522634</v>
      </c>
      <c r="AR61" s="7">
        <f t="shared" si="746"/>
        <v>348870.77603206248</v>
      </c>
      <c r="AS61" s="7">
        <f t="shared" si="746"/>
        <v>533332.01012694126</v>
      </c>
      <c r="AT61" s="7">
        <f t="shared" si="746"/>
        <v>407689.19218621496</v>
      </c>
      <c r="AU61" s="7">
        <f t="shared" si="746"/>
        <v>222321.24776520289</v>
      </c>
      <c r="AV61" s="7">
        <f t="shared" si="746"/>
        <v>-108713.07078627811</v>
      </c>
      <c r="AW61" s="7">
        <f t="shared" si="746"/>
        <v>-117342.95254721923</v>
      </c>
      <c r="AX61" s="7">
        <f t="shared" si="746"/>
        <v>-125312.05311878608</v>
      </c>
      <c r="AY61" s="7">
        <f t="shared" si="746"/>
        <v>-107081.63849277463</v>
      </c>
      <c r="AZ61" s="7">
        <f t="shared" si="746"/>
        <v>44297.57457991477</v>
      </c>
      <c r="BA61" s="7">
        <f t="shared" si="746"/>
        <v>187873.88701831875</v>
      </c>
      <c r="BB61" s="7">
        <f t="shared" si="746"/>
        <v>-85062.295877137381</v>
      </c>
      <c r="BC61" s="7">
        <f t="shared" si="746"/>
        <v>-80430.012404924288</v>
      </c>
      <c r="BD61" s="7">
        <f t="shared" si="746"/>
        <v>-93334.230919688125</v>
      </c>
      <c r="BE61" s="7">
        <f t="shared" si="746"/>
        <v>-98226.765797516709</v>
      </c>
      <c r="BF61" s="7">
        <f t="shared" si="746"/>
        <v>-86163.680396107011</v>
      </c>
      <c r="BG61" s="7">
        <f t="shared" si="746"/>
        <v>-83638.856441074109</v>
      </c>
      <c r="BH61" s="7">
        <f t="shared" si="746"/>
        <v>-84789.549968242631</v>
      </c>
      <c r="BI61" s="7">
        <f t="shared" si="746"/>
        <v>-84709.400550258637</v>
      </c>
      <c r="BJ61" s="7">
        <f t="shared" si="746"/>
        <v>-85439.641092095277</v>
      </c>
      <c r="BK61" s="7">
        <f t="shared" ref="BK61:BL61" si="747">IF(OR(BK60="",BK57=""),"",BK57-BK60)</f>
        <v>-80746.077166200048</v>
      </c>
      <c r="BL61" s="7">
        <f t="shared" si="747"/>
        <v>59731.413753308952</v>
      </c>
      <c r="BM61" s="7">
        <f t="shared" ref="BM61:BN61" si="748">IF(OR(BM60="",BM57=""),"",BM57-BM60)</f>
        <v>-6898.8308234573342</v>
      </c>
      <c r="BN61" s="7">
        <f t="shared" si="748"/>
        <v>-8503.0240833258358</v>
      </c>
      <c r="BO61" s="7">
        <f t="shared" ref="BO61:BP61" si="749">IF(OR(BO60="",BO57=""),"",BO57-BO60)</f>
        <v>-5860.3635221293698</v>
      </c>
      <c r="BP61" s="7">
        <f t="shared" si="749"/>
        <v>18968.713041994284</v>
      </c>
      <c r="BQ61" s="7">
        <f t="shared" ref="BQ61:BR61" si="750">IF(OR(BQ60="",BQ57=""),"",BQ57-BQ60)</f>
        <v>23429.546060895314</v>
      </c>
      <c r="BR61" s="7">
        <f t="shared" si="750"/>
        <v>23000.684013017632</v>
      </c>
      <c r="BS61" s="7">
        <f t="shared" ref="BS61:BT61" si="751">IF(OR(BS60="",BS57=""),"",BS57-BS60)</f>
        <v>6925.2962592966251</v>
      </c>
      <c r="BT61" s="7">
        <f t="shared" si="751"/>
        <v>-7561.6086371800411</v>
      </c>
      <c r="BU61" s="7">
        <f t="shared" ref="BU61:BV61" si="752">IF(OR(BU60="",BU57=""),"",BU57-BU60)</f>
        <v>-6686.620369190714</v>
      </c>
      <c r="BV61" s="7">
        <f t="shared" si="752"/>
        <v>-10451.207485457038</v>
      </c>
      <c r="BW61" s="7">
        <f t="shared" ref="BW61:BX61" si="753">IF(OR(BW60="",BW57=""),"",BW57-BW60)</f>
        <v>-8962.4574137270174</v>
      </c>
      <c r="BX61" s="7">
        <f t="shared" si="753"/>
        <v>7636.3280322170685</v>
      </c>
      <c r="BY61" s="7">
        <f t="shared" ref="BY61:BZ61" si="754">IF(OR(BY60="",BY57=""),"",BY57-BY60)</f>
        <v>-871.88167951755531</v>
      </c>
      <c r="BZ61" s="7">
        <f t="shared" si="754"/>
        <v>-865.51488587585118</v>
      </c>
      <c r="CA61" s="7">
        <f t="shared" ref="CA61:CB61" si="755">IF(OR(CA60="",CA57=""),"",CA57-CA60)</f>
        <v>-842.44088802678743</v>
      </c>
      <c r="CB61" s="7">
        <f t="shared" si="755"/>
        <v>-957.02449777380571</v>
      </c>
      <c r="CC61" s="7">
        <f t="shared" ref="CC61:CD61" si="756">IF(OR(CC60="",CC57=""),"",CC57-CC60)</f>
        <v>-1000.105648225297</v>
      </c>
      <c r="CD61" s="7">
        <f t="shared" si="756"/>
        <v>-994.22699544894931</v>
      </c>
      <c r="CE61" s="7">
        <f>IF(OR(CE60="",CE57=""),"",CE57-CE60)</f>
        <v>-966.1665579978926</v>
      </c>
      <c r="CF61" s="126">
        <f>IF(OR(CF60="",CF57=""),"",CF57-CF60)+CF56</f>
        <v>-2079.2156922617341</v>
      </c>
      <c r="CG61" s="7">
        <f t="shared" ref="CG61:CL61" si="757">IF(OR(CG60="",CG57=""),"",CG57-CG60)</f>
        <v>-867.94353004643926</v>
      </c>
      <c r="CH61" s="7">
        <f t="shared" si="757"/>
        <v>-914.56795928119755</v>
      </c>
      <c r="CI61" s="7">
        <f t="shared" si="757"/>
        <v>-871.71351296387547</v>
      </c>
      <c r="CJ61" s="7">
        <f t="shared" si="757"/>
        <v>0.46785804853425361</v>
      </c>
      <c r="CK61" s="7">
        <f t="shared" si="757"/>
        <v>73.899143984620991</v>
      </c>
      <c r="CL61" s="7">
        <f t="shared" si="757"/>
        <v>74.369004839494778</v>
      </c>
      <c r="CM61" s="7">
        <f t="shared" ref="CM61:CN61" si="758">IF(OR(CM60="",CM57=""),"",CM57-CM60)</f>
        <v>62.997200353697622</v>
      </c>
      <c r="CN61" s="7">
        <f t="shared" si="758"/>
        <v>65.770321253133943</v>
      </c>
      <c r="CO61" s="7">
        <f t="shared" ref="CO61:CP61" si="759">IF(OR(CO60="",CO57=""),"",CO57-CO60)</f>
        <v>72.578734761784744</v>
      </c>
      <c r="CP61" s="7">
        <f t="shared" si="759"/>
        <v>82.040053535739162</v>
      </c>
      <c r="CQ61" s="7">
        <f t="shared" ref="CQ61:CR61" si="760">IF(OR(CQ60="",CQ57=""),"",CQ57-CQ60)</f>
        <v>77.485565176070736</v>
      </c>
      <c r="CR61" s="7">
        <f t="shared" si="760"/>
        <v>65.719251161525676</v>
      </c>
      <c r="CS61" s="7">
        <f t="shared" ref="CS61:CT61" si="761">IF(OR(CS60="",CS57=""),"",CS57-CS60)</f>
        <v>68.298371719477132</v>
      </c>
      <c r="CT61" s="7">
        <f t="shared" si="761"/>
        <v>82.130596226910711</v>
      </c>
      <c r="CU61" s="7">
        <f t="shared" ref="CU61" si="762">IF(OR(CU60="",CU57=""),"",CU57-CU60)</f>
        <v>94.68260054668292</v>
      </c>
    </row>
    <row r="62" spans="1:99" s="4" customFormat="1" hidden="1" outlineLevel="1" x14ac:dyDescent="0.25">
      <c r="A62" s="292"/>
      <c r="B62" s="17" t="s">
        <v>8</v>
      </c>
      <c r="C62" s="28"/>
      <c r="D62" s="28"/>
      <c r="E62" s="7">
        <f t="shared" ref="E62:N62" si="763">IF(OR(E9="",E61=""),"",(E61+D64)*E9/12)</f>
        <v>0</v>
      </c>
      <c r="F62" s="7">
        <f t="shared" si="763"/>
        <v>0</v>
      </c>
      <c r="G62" s="7">
        <f t="shared" si="763"/>
        <v>-1.0214870824166666</v>
      </c>
      <c r="H62" s="7">
        <f t="shared" si="763"/>
        <v>-8.6169910456603613</v>
      </c>
      <c r="I62" s="7">
        <f t="shared" si="763"/>
        <v>-17.898704851830932</v>
      </c>
      <c r="J62" s="7">
        <f t="shared" si="763"/>
        <v>-32.360591376266207</v>
      </c>
      <c r="K62" s="7">
        <f t="shared" si="763"/>
        <v>-41.863062319361589</v>
      </c>
      <c r="L62" s="7">
        <f t="shared" si="763"/>
        <v>-50.380614859511986</v>
      </c>
      <c r="M62" s="7">
        <f t="shared" si="763"/>
        <v>-56.544658629729668</v>
      </c>
      <c r="N62" s="7">
        <f t="shared" si="763"/>
        <v>-70.145468650112946</v>
      </c>
      <c r="O62" s="8">
        <f>IF(OR(O9="",O61=""),"",(O59+O61+N64)*O9/12)</f>
        <v>-68.659671553426648</v>
      </c>
      <c r="P62" s="8">
        <f>IF(OR(P9="",P61=""),"",(P59+P61+O64+P56)*P9/12)</f>
        <v>1561.3846099194352</v>
      </c>
      <c r="Q62" s="8">
        <f t="shared" ref="Q62:AM62" si="764">IF(OR(Q9="",Q61=""),"",(Q59+Q61+P64)*Q9/12)</f>
        <v>1768.9370359317772</v>
      </c>
      <c r="R62" s="8">
        <f t="shared" si="764"/>
        <v>1510.9527105885902</v>
      </c>
      <c r="S62" s="8">
        <f t="shared" si="764"/>
        <v>1263.8543417234587</v>
      </c>
      <c r="T62" s="8">
        <f t="shared" si="764"/>
        <v>1313.422943581618</v>
      </c>
      <c r="U62" s="8">
        <f t="shared" si="764"/>
        <v>1126.9444648186989</v>
      </c>
      <c r="V62" s="8">
        <f t="shared" si="764"/>
        <v>1039.3449333693247</v>
      </c>
      <c r="W62" s="8">
        <f t="shared" si="764"/>
        <v>878.63521906613676</v>
      </c>
      <c r="X62" s="8">
        <f t="shared" si="764"/>
        <v>614.94008164987667</v>
      </c>
      <c r="Y62" s="8">
        <f t="shared" si="764"/>
        <v>382.64222876256804</v>
      </c>
      <c r="Z62" s="8">
        <f t="shared" si="764"/>
        <v>193.0380276384773</v>
      </c>
      <c r="AA62" s="8">
        <f t="shared" si="764"/>
        <v>-99.633226637268919</v>
      </c>
      <c r="AB62" s="8">
        <f t="shared" si="764"/>
        <v>-390.08897562934322</v>
      </c>
      <c r="AC62" s="8">
        <f t="shared" si="764"/>
        <v>-729.83934564236961</v>
      </c>
      <c r="AD62" s="8">
        <f t="shared" si="764"/>
        <v>-1102.6537336880972</v>
      </c>
      <c r="AE62" s="8">
        <f t="shared" si="764"/>
        <v>-1311.7267766505211</v>
      </c>
      <c r="AF62" s="8">
        <f t="shared" si="764"/>
        <v>-1223.2705227865461</v>
      </c>
      <c r="AG62" s="8">
        <f t="shared" si="764"/>
        <v>-906.67220407541834</v>
      </c>
      <c r="AH62" s="8">
        <f t="shared" si="764"/>
        <v>-647.66826565641497</v>
      </c>
      <c r="AI62" s="8">
        <f t="shared" si="764"/>
        <v>-518.89488802267783</v>
      </c>
      <c r="AJ62" s="8">
        <f t="shared" si="764"/>
        <v>-789.70697234607553</v>
      </c>
      <c r="AK62" s="8">
        <f t="shared" si="764"/>
        <v>-1046.0066441138708</v>
      </c>
      <c r="AL62" s="8">
        <f t="shared" si="764"/>
        <v>-1371.1355953428147</v>
      </c>
      <c r="AM62" s="8">
        <f t="shared" si="764"/>
        <v>-1539.4019706265842</v>
      </c>
      <c r="AN62" s="8">
        <f t="shared" ref="AN62" si="765">IF(OR(AN9="",AN61=""),"",(AN59+AN61+AM64)*AN9/12)</f>
        <v>-1846.457463161405</v>
      </c>
      <c r="AO62" s="8">
        <f t="shared" ref="AO62" si="766">IF(OR(AO9="",AO61=""),"",(AO59+AO61+AN64)*AO9/12)</f>
        <v>-1924.9482482552737</v>
      </c>
      <c r="AP62" s="8">
        <f t="shared" ref="AP62" si="767">IF(OR(AP9="",AP61=""),"",(AP59+AP61+AO64)*AP9/12)</f>
        <v>-1963.0871642764603</v>
      </c>
      <c r="AQ62" s="8">
        <f t="shared" ref="AQ62" si="768">IF(OR(AQ9="",AQ61=""),"",(AQ59+AQ61+AP64)*AQ9/12)</f>
        <v>-2076.373139489348</v>
      </c>
      <c r="AR62" s="8">
        <f t="shared" ref="AR62" si="769">IF(OR(AR9="",AR61=""),"",(AR59+AR61+AQ64)*AR9/12)</f>
        <v>-1180.217154786636</v>
      </c>
      <c r="AS62" s="8">
        <f t="shared" ref="AS62" si="770">IF(OR(AS9="",AS61=""),"",(AS59+AS61+AR64)*AS9/12)</f>
        <v>102.46722782708679</v>
      </c>
      <c r="AT62" s="8">
        <f t="shared" ref="AT62" si="771">IF(OR(AT9="",AT61=""),"",(AT59+AT61+AS64)*AT9/12)</f>
        <v>993.98783182775912</v>
      </c>
      <c r="AU62" s="8">
        <f t="shared" ref="AU62" si="772">IF(OR(AU9="",AU61=""),"",(AU59+AU61+AT64)*AU9/12)</f>
        <v>1445.4815529546793</v>
      </c>
      <c r="AV62" s="8">
        <f t="shared" ref="AV62" si="773">IF(OR(AV9="",AV61=""),"",(AV59+AV61+AU64)*AV9/12)</f>
        <v>1273.9834166317835</v>
      </c>
      <c r="AW62" s="8">
        <f t="shared" ref="AW62" si="774">IF(OR(AW9="",AW61=""),"",(AW59+AW61+AV64)*AW9/12)</f>
        <v>985.97082483108932</v>
      </c>
      <c r="AX62" s="8">
        <f t="shared" ref="AX62" si="775">IF(OR(AX9="",AX61=""),"",(AX59+AX61+AW64)*AX9/12)</f>
        <v>912.76410991014882</v>
      </c>
      <c r="AY62" s="8">
        <f t="shared" ref="AY62" si="776">IF(OR(AY9="",AY61=""),"",(AY59+AY61+AX64)*AY9/12)</f>
        <v>805.58259603109354</v>
      </c>
      <c r="AZ62" s="8">
        <f t="shared" ref="AZ62" si="777">IF(OR(AZ9="",AZ61=""),"",(AZ59+AZ61+AY64)*AZ9/12)</f>
        <v>712.39628492134295</v>
      </c>
      <c r="BA62" s="8">
        <f t="shared" ref="BA62" si="778">IF(OR(BA9="",BA61=""),"",(BA59+BA61+AZ64)*BA9/12)</f>
        <v>987.97353288788543</v>
      </c>
      <c r="BB62" s="8">
        <f t="shared" ref="BB62" si="779">IF(OR(BB9="",BB61=""),"",(BB59+BB61+BA64)*BB9/12)</f>
        <v>398.94047950608865</v>
      </c>
      <c r="BC62" s="8">
        <f t="shared" ref="BC62" si="780">IF(OR(BC9="",BC61=""),"",(BC59+BC61+BB64)*BC9/12)</f>
        <v>42.860964894230854</v>
      </c>
      <c r="BD62" s="8">
        <f t="shared" ref="BD62" si="781">IF(OR(BD9="",BD61=""),"",(BD59+BD61+BC64)*BD9/12)</f>
        <v>28.101228715492724</v>
      </c>
      <c r="BE62" s="8">
        <f t="shared" ref="BE62" si="782">IF(OR(BE9="",BE61=""),"",(BE59+BE61+BD64)*BE9/12)</f>
        <v>21.221278928312437</v>
      </c>
      <c r="BF62" s="8">
        <f t="shared" ref="BF62" si="783">IF(OR(BF9="",BF61=""),"",(BF59+BF61+BE64)*BF9/12)</f>
        <v>0.54206418806911305</v>
      </c>
      <c r="BG62" s="8">
        <f t="shared" ref="BG62" si="784">IF(OR(BG9="",BG61=""),"",(BG59+BG61+BF64)*BG9/12)</f>
        <v>-12.337429143674541</v>
      </c>
      <c r="BH62" s="8">
        <f t="shared" ref="BH62" si="785">IF(OR(BH9="",BH61=""),"",(BH59+BH61+BG64)*BH9/12)</f>
        <v>-40.060832989476701</v>
      </c>
      <c r="BI62" s="8">
        <f t="shared" ref="BI62" si="786">IF(OR(BI9="",BI61=""),"",(BI59+BI61+BH64)*BI9/12)</f>
        <v>-75.932317165671193</v>
      </c>
      <c r="BJ62" s="8">
        <f t="shared" ref="BJ62:CH62" si="787">IF(OR(BJ9="",BJ61=""),"",(BJ59+BJ61+BI64)*BJ9/12)</f>
        <v>-114.81778112469891</v>
      </c>
      <c r="BK62" s="8">
        <f t="shared" si="787"/>
        <v>-103.34911341179669</v>
      </c>
      <c r="BL62" s="8">
        <f t="shared" si="787"/>
        <v>-128.71732056143821</v>
      </c>
      <c r="BM62" s="8">
        <f t="shared" si="787"/>
        <v>-112.56650826475799</v>
      </c>
      <c r="BN62" s="8">
        <f t="shared" si="787"/>
        <v>-112.20464285700784</v>
      </c>
      <c r="BO62" s="8">
        <f t="shared" si="787"/>
        <v>-104.37155757149908</v>
      </c>
      <c r="BP62" s="8">
        <f t="shared" si="787"/>
        <v>-83.76041818581453</v>
      </c>
      <c r="BQ62" s="8">
        <f t="shared" si="787"/>
        <v>-48.623845685749181</v>
      </c>
      <c r="BR62" s="8">
        <f t="shared" si="787"/>
        <v>-58.602766805884976</v>
      </c>
      <c r="BS62" s="8">
        <f t="shared" si="787"/>
        <v>-45.5786163510721</v>
      </c>
      <c r="BT62" s="8">
        <f t="shared" si="787"/>
        <v>-30.615728300496102</v>
      </c>
      <c r="BU62" s="8">
        <f t="shared" si="787"/>
        <v>-27.035384303313489</v>
      </c>
      <c r="BV62" s="8">
        <f t="shared" si="787"/>
        <v>-36.855312051041274</v>
      </c>
      <c r="BW62" s="8">
        <f t="shared" si="787"/>
        <v>-25.039728528201056</v>
      </c>
      <c r="BX62" s="8">
        <f t="shared" si="787"/>
        <v>-23.894863251534023</v>
      </c>
      <c r="BY62" s="8">
        <f t="shared" si="787"/>
        <v>-50.234736557447974</v>
      </c>
      <c r="BZ62" s="8">
        <f t="shared" si="787"/>
        <v>-39.124245328254908</v>
      </c>
      <c r="CA62" s="8">
        <f t="shared" si="787"/>
        <v>-54.60684331866792</v>
      </c>
      <c r="CB62" s="8">
        <f t="shared" si="787"/>
        <v>-72.493089678026408</v>
      </c>
      <c r="CC62" s="8">
        <f t="shared" si="787"/>
        <v>-81.73721593391808</v>
      </c>
      <c r="CD62" s="8">
        <f t="shared" si="787"/>
        <v>-78.917491133907006</v>
      </c>
      <c r="CE62" s="8">
        <f t="shared" si="787"/>
        <v>-62.643079382256246</v>
      </c>
      <c r="CF62" s="8">
        <f t="shared" si="787"/>
        <v>-53.138491799223878</v>
      </c>
      <c r="CG62" s="8">
        <f t="shared" si="787"/>
        <v>-32.062871241835253</v>
      </c>
      <c r="CH62" s="8">
        <f t="shared" si="787"/>
        <v>3.0361468714062472</v>
      </c>
      <c r="CI62" s="227">
        <f>IF(OR(CI9="",CI61=""),"",(CI59+CI61+CH64+CI56)*CI9/12)+CI56</f>
        <v>75.401718190379938</v>
      </c>
      <c r="CJ62" s="227">
        <f t="shared" ref="CJ62:CU62" si="788">IF(OR(CJ9="",CJ61=""),"",(CJ59+CJ61+CI64)*CJ9/12)</f>
        <v>65.750379926287692</v>
      </c>
      <c r="CK62" s="227">
        <f t="shared" si="788"/>
        <v>65.47371277214323</v>
      </c>
      <c r="CL62" s="227">
        <f t="shared" si="788"/>
        <v>65.649355028116929</v>
      </c>
      <c r="CM62" s="227">
        <f t="shared" si="788"/>
        <v>63.303544677787848</v>
      </c>
      <c r="CN62" s="227">
        <f t="shared" si="788"/>
        <v>60.569302203289396</v>
      </c>
      <c r="CO62" s="227">
        <f t="shared" si="788"/>
        <v>57.440977156774146</v>
      </c>
      <c r="CP62" s="227">
        <f t="shared" si="788"/>
        <v>54.012287801314727</v>
      </c>
      <c r="CQ62" s="227">
        <f t="shared" si="788"/>
        <v>50.072238281014982</v>
      </c>
      <c r="CR62" s="227">
        <f t="shared" si="788"/>
        <v>46.38553870735538</v>
      </c>
      <c r="CS62" s="227">
        <f t="shared" si="788"/>
        <v>43.140285111411174</v>
      </c>
      <c r="CT62" s="227">
        <f t="shared" si="788"/>
        <v>39.597097217573491</v>
      </c>
      <c r="CU62" s="227">
        <f t="shared" si="788"/>
        <v>34.852472493564072</v>
      </c>
    </row>
    <row r="63" spans="1:99" s="4" customFormat="1" hidden="1" outlineLevel="1" x14ac:dyDescent="0.25">
      <c r="A63" s="292"/>
      <c r="B63" s="16" t="s">
        <v>14</v>
      </c>
      <c r="C63" s="24"/>
      <c r="D63" s="24"/>
      <c r="E63" s="7">
        <f t="shared" ref="E63:N63" si="789">IF(OR(E61="",E62=""),"",E61+E62)</f>
        <v>0</v>
      </c>
      <c r="F63" s="7">
        <f t="shared" si="789"/>
        <v>0</v>
      </c>
      <c r="G63" s="7">
        <f t="shared" si="789"/>
        <v>-1622.8714870824165</v>
      </c>
      <c r="H63" s="7">
        <f t="shared" si="789"/>
        <v>-14895.446991045661</v>
      </c>
      <c r="I63" s="7">
        <f t="shared" si="789"/>
        <v>-17644.218704851832</v>
      </c>
      <c r="J63" s="7">
        <f t="shared" si="789"/>
        <v>-16660.349865915319</v>
      </c>
      <c r="K63" s="7">
        <f t="shared" si="789"/>
        <v>-15715.804920570945</v>
      </c>
      <c r="L63" s="7">
        <f t="shared" si="789"/>
        <v>-13042.238169071437</v>
      </c>
      <c r="M63" s="7">
        <f t="shared" si="789"/>
        <v>-9272.3616762936326</v>
      </c>
      <c r="N63" s="7">
        <f t="shared" si="789"/>
        <v>1302.1523156683361</v>
      </c>
      <c r="O63" s="7">
        <f>IF(OR(O61="",O62=""),"",O61+O62)</f>
        <v>-4063.7489102927188</v>
      </c>
      <c r="P63" s="7">
        <f t="shared" ref="P63:AM63" si="790">IF(OR(P61="",P62=""),"",P61+P62)</f>
        <v>-83967.665437430682</v>
      </c>
      <c r="Q63" s="7">
        <f t="shared" si="790"/>
        <v>-58080.542291380465</v>
      </c>
      <c r="R63" s="7">
        <f t="shared" si="790"/>
        <v>-78229.289466060058</v>
      </c>
      <c r="S63" s="7">
        <f t="shared" si="790"/>
        <v>-64372.034575958925</v>
      </c>
      <c r="T63" s="7">
        <f t="shared" si="790"/>
        <v>21676.718602808523</v>
      </c>
      <c r="U63" s="7">
        <f t="shared" si="790"/>
        <v>71689.259204882095</v>
      </c>
      <c r="V63" s="7">
        <f t="shared" si="790"/>
        <v>108557.015987743</v>
      </c>
      <c r="W63" s="7">
        <f t="shared" si="790"/>
        <v>99015.915908191237</v>
      </c>
      <c r="X63" s="7">
        <f t="shared" si="790"/>
        <v>-2987.0386593699568</v>
      </c>
      <c r="Y63" s="7">
        <f t="shared" si="790"/>
        <v>4439.0443591924195</v>
      </c>
      <c r="Z63" s="7">
        <f t="shared" si="790"/>
        <v>16602.179190496532</v>
      </c>
      <c r="AA63" s="7">
        <f t="shared" si="790"/>
        <v>25257.803533429185</v>
      </c>
      <c r="AB63" s="7">
        <f t="shared" si="790"/>
        <v>-189638.92737315144</v>
      </c>
      <c r="AC63" s="7">
        <f t="shared" si="790"/>
        <v>-173506.99418238987</v>
      </c>
      <c r="AD63" s="7">
        <f t="shared" si="790"/>
        <v>-149159.9627202877</v>
      </c>
      <c r="AE63" s="7">
        <f t="shared" si="790"/>
        <v>-146662.78487537793</v>
      </c>
      <c r="AF63" s="7">
        <f t="shared" si="790"/>
        <v>68671.775994959971</v>
      </c>
      <c r="AG63" s="7">
        <f t="shared" si="790"/>
        <v>177262.66924775133</v>
      </c>
      <c r="AH63" s="7">
        <f t="shared" si="790"/>
        <v>126177.18952898412</v>
      </c>
      <c r="AI63" s="7">
        <f t="shared" si="790"/>
        <v>63669.69645990921</v>
      </c>
      <c r="AJ63" s="7">
        <f t="shared" si="790"/>
        <v>-121646.0322663262</v>
      </c>
      <c r="AK63" s="7">
        <f t="shared" si="790"/>
        <v>-114216.01697203731</v>
      </c>
      <c r="AL63" s="7">
        <f t="shared" si="790"/>
        <v>-104058.53508924684</v>
      </c>
      <c r="AM63" s="7">
        <f t="shared" si="790"/>
        <v>-49424.473939614196</v>
      </c>
      <c r="AN63" s="7">
        <f t="shared" ref="AN63:BJ63" si="791">IF(OR(AN61="",AN62=""),"",AN61+AN62)</f>
        <v>-181595.3993833776</v>
      </c>
      <c r="AO63" s="7">
        <f t="shared" si="791"/>
        <v>-93048.994765855809</v>
      </c>
      <c r="AP63" s="7">
        <f t="shared" si="791"/>
        <v>-98931.597586959484</v>
      </c>
      <c r="AQ63" s="7">
        <f t="shared" si="791"/>
        <v>-88429.392746011988</v>
      </c>
      <c r="AR63" s="7">
        <f t="shared" si="791"/>
        <v>347690.55887727585</v>
      </c>
      <c r="AS63" s="7">
        <f t="shared" si="791"/>
        <v>533434.47735476831</v>
      </c>
      <c r="AT63" s="7">
        <f t="shared" si="791"/>
        <v>408683.18001804274</v>
      </c>
      <c r="AU63" s="7">
        <f t="shared" si="791"/>
        <v>223766.72931815757</v>
      </c>
      <c r="AV63" s="7">
        <f t="shared" si="791"/>
        <v>-107439.08736964632</v>
      </c>
      <c r="AW63" s="7">
        <f t="shared" si="791"/>
        <v>-116356.98172238814</v>
      </c>
      <c r="AX63" s="7">
        <f t="shared" si="791"/>
        <v>-124399.28900887593</v>
      </c>
      <c r="AY63" s="7">
        <f t="shared" si="791"/>
        <v>-106276.05589674354</v>
      </c>
      <c r="AZ63" s="7">
        <f t="shared" si="791"/>
        <v>45009.970864836112</v>
      </c>
      <c r="BA63" s="7">
        <f t="shared" si="791"/>
        <v>188861.86055120663</v>
      </c>
      <c r="BB63" s="7">
        <f t="shared" si="791"/>
        <v>-84663.355397631298</v>
      </c>
      <c r="BC63" s="7">
        <f t="shared" si="791"/>
        <v>-80387.151440030051</v>
      </c>
      <c r="BD63" s="7">
        <f t="shared" si="791"/>
        <v>-93306.129690972637</v>
      </c>
      <c r="BE63" s="7">
        <f t="shared" si="791"/>
        <v>-98205.544518588402</v>
      </c>
      <c r="BF63" s="7">
        <f t="shared" si="791"/>
        <v>-86163.138331918948</v>
      </c>
      <c r="BG63" s="7">
        <f t="shared" si="791"/>
        <v>-83651.193870217787</v>
      </c>
      <c r="BH63" s="7">
        <f t="shared" si="791"/>
        <v>-84829.610801232106</v>
      </c>
      <c r="BI63" s="7">
        <f t="shared" si="791"/>
        <v>-84785.332867424309</v>
      </c>
      <c r="BJ63" s="7">
        <f t="shared" si="791"/>
        <v>-85554.458873219977</v>
      </c>
      <c r="BK63" s="7">
        <f t="shared" ref="BK63:BL63" si="792">IF(OR(BK61="",BK62=""),"",BK61+BK62)</f>
        <v>-80849.426279611842</v>
      </c>
      <c r="BL63" s="7">
        <f t="shared" si="792"/>
        <v>59602.696432747514</v>
      </c>
      <c r="BM63" s="7">
        <f t="shared" ref="BM63:BN63" si="793">IF(OR(BM61="",BM62=""),"",BM61+BM62)</f>
        <v>-7011.3973317220925</v>
      </c>
      <c r="BN63" s="7">
        <f t="shared" si="793"/>
        <v>-8615.2287261828442</v>
      </c>
      <c r="BO63" s="7">
        <f t="shared" ref="BO63:BP63" si="794">IF(OR(BO61="",BO62=""),"",BO61+BO62)</f>
        <v>-5964.7350797008685</v>
      </c>
      <c r="BP63" s="7">
        <f t="shared" si="794"/>
        <v>18884.952623808469</v>
      </c>
      <c r="BQ63" s="7">
        <f t="shared" ref="BQ63:BR63" si="795">IF(OR(BQ61="",BQ62=""),"",BQ61+BQ62)</f>
        <v>23380.922215209564</v>
      </c>
      <c r="BR63" s="7">
        <f t="shared" si="795"/>
        <v>22942.081246211746</v>
      </c>
      <c r="BS63" s="7">
        <f t="shared" ref="BS63:BT63" si="796">IF(OR(BS61="",BS62=""),"",BS61+BS62)</f>
        <v>6879.7176429455531</v>
      </c>
      <c r="BT63" s="7">
        <f t="shared" si="796"/>
        <v>-7592.224365480537</v>
      </c>
      <c r="BU63" s="7">
        <f t="shared" ref="BU63:BV63" si="797">IF(OR(BU61="",BU62=""),"",BU61+BU62)</f>
        <v>-6713.6557534940275</v>
      </c>
      <c r="BV63" s="7">
        <f t="shared" si="797"/>
        <v>-10488.062797508079</v>
      </c>
      <c r="BW63" s="7">
        <f t="shared" ref="BW63:BX63" si="798">IF(OR(BW61="",BW62=""),"",BW61+BW62)</f>
        <v>-8987.4971422552189</v>
      </c>
      <c r="BX63" s="7">
        <f t="shared" si="798"/>
        <v>7612.4331689655346</v>
      </c>
      <c r="BY63" s="7">
        <f t="shared" ref="BY63:BZ63" si="799">IF(OR(BY61="",BY62=""),"",BY61+BY62)</f>
        <v>-922.11641607500326</v>
      </c>
      <c r="BZ63" s="7">
        <f t="shared" si="799"/>
        <v>-904.63913120410609</v>
      </c>
      <c r="CA63" s="7">
        <f t="shared" ref="CA63:CB63" si="800">IF(OR(CA61="",CA62=""),"",CA61+CA62)</f>
        <v>-897.0477313454553</v>
      </c>
      <c r="CB63" s="7">
        <f t="shared" si="800"/>
        <v>-1029.517587451832</v>
      </c>
      <c r="CC63" s="7">
        <f t="shared" ref="CC63:CD63" si="801">IF(OR(CC61="",CC62=""),"",CC61+CC62)</f>
        <v>-1081.8428641592152</v>
      </c>
      <c r="CD63" s="7">
        <f t="shared" si="801"/>
        <v>-1073.1444865828564</v>
      </c>
      <c r="CE63" s="7">
        <f t="shared" ref="CE63:CF63" si="802">IF(OR(CE61="",CE62=""),"",CE61+CE62)</f>
        <v>-1028.8096373801488</v>
      </c>
      <c r="CF63" s="7">
        <f t="shared" si="802"/>
        <v>-2132.3541840609582</v>
      </c>
      <c r="CG63" s="7">
        <f t="shared" ref="CG63:CH63" si="803">IF(OR(CG61="",CG62=""),"",CG61+CG62)</f>
        <v>-900.00640128827456</v>
      </c>
      <c r="CH63" s="7">
        <f t="shared" si="803"/>
        <v>-911.53181240979131</v>
      </c>
      <c r="CI63" s="7">
        <f t="shared" ref="CI63:CJ63" si="804">IF(OR(CI61="",CI62=""),"",CI61+CI62)</f>
        <v>-796.31179477349554</v>
      </c>
      <c r="CJ63" s="7">
        <f t="shared" si="804"/>
        <v>66.218237974821946</v>
      </c>
      <c r="CK63" s="7">
        <f t="shared" ref="CK63:CL63" si="805">IF(OR(CK61="",CK62=""),"",CK61+CK62)</f>
        <v>139.37285675676424</v>
      </c>
      <c r="CL63" s="7">
        <f t="shared" si="805"/>
        <v>140.01835986761171</v>
      </c>
      <c r="CM63" s="7">
        <f t="shared" ref="CM63:CN63" si="806">IF(OR(CM61="",CM62=""),"",CM61+CM62)</f>
        <v>126.30074503148546</v>
      </c>
      <c r="CN63" s="7">
        <f t="shared" si="806"/>
        <v>126.33962345642334</v>
      </c>
      <c r="CO63" s="7">
        <f t="shared" ref="CO63:CP63" si="807">IF(OR(CO61="",CO62=""),"",CO61+CO62)</f>
        <v>130.0197119185589</v>
      </c>
      <c r="CP63" s="7">
        <f t="shared" si="807"/>
        <v>136.05234133705389</v>
      </c>
      <c r="CQ63" s="7">
        <f t="shared" ref="CQ63:CR63" si="808">IF(OR(CQ61="",CQ62=""),"",CQ61+CQ62)</f>
        <v>127.55780345708573</v>
      </c>
      <c r="CR63" s="7">
        <f t="shared" si="808"/>
        <v>112.10478986888106</v>
      </c>
      <c r="CS63" s="7">
        <f t="shared" ref="CS63:CT63" si="809">IF(OR(CS61="",CS62=""),"",CS61+CS62)</f>
        <v>111.43865683088831</v>
      </c>
      <c r="CT63" s="7">
        <f t="shared" si="809"/>
        <v>121.7276934444842</v>
      </c>
      <c r="CU63" s="7">
        <f t="shared" ref="CU63" si="810">IF(OR(CU61="",CU62=""),"",CU61+CU62)</f>
        <v>129.535073040247</v>
      </c>
    </row>
    <row r="64" spans="1:99" s="4" customFormat="1" hidden="1" outlineLevel="1" x14ac:dyDescent="0.25">
      <c r="A64" s="292"/>
      <c r="B64" s="18" t="s">
        <v>18</v>
      </c>
      <c r="C64" s="26"/>
      <c r="D64" s="26"/>
      <c r="E64" s="7">
        <f>E63</f>
        <v>0</v>
      </c>
      <c r="F64" s="7">
        <f>IF(OR(F63="",E64=""),"",F63+E64)</f>
        <v>0</v>
      </c>
      <c r="G64" s="7">
        <f t="shared" ref="G64:N64" si="811">IF(OR(G63="",F64=""),"",G63+F64)</f>
        <v>-1622.8714870824165</v>
      </c>
      <c r="H64" s="7">
        <f t="shared" si="811"/>
        <v>-16518.318478128076</v>
      </c>
      <c r="I64" s="7">
        <f t="shared" si="811"/>
        <v>-34162.537182979911</v>
      </c>
      <c r="J64" s="7">
        <f t="shared" si="811"/>
        <v>-50822.887048895231</v>
      </c>
      <c r="K64" s="7">
        <f t="shared" si="811"/>
        <v>-66538.691969466177</v>
      </c>
      <c r="L64" s="7">
        <f t="shared" si="811"/>
        <v>-79580.930138537617</v>
      </c>
      <c r="M64" s="7">
        <f t="shared" si="811"/>
        <v>-88853.291814831246</v>
      </c>
      <c r="N64" s="7">
        <f t="shared" si="811"/>
        <v>-87551.139499162906</v>
      </c>
      <c r="O64" s="7">
        <f>IF(OR(O63="",N64=""),"",O63+O59+N64)</f>
        <v>-91614.888409455627</v>
      </c>
      <c r="P64" s="7">
        <f>IF(OR(P63="",O64=""),"",P63+P59+O64+P56)</f>
        <v>2083407.5311691668</v>
      </c>
      <c r="Q64" s="7">
        <f t="shared" ref="Q64" si="812">IF(OR(Q63="",P64=""),"",Q63+Q59+P64)</f>
        <v>1847616.2788777864</v>
      </c>
      <c r="R64" s="7">
        <f t="shared" ref="R64" si="813">IF(OR(R63="",Q64=""),"",R63+R59+Q64)</f>
        <v>1578157.2594117261</v>
      </c>
      <c r="S64" s="7">
        <f t="shared" ref="S64" si="814">IF(OR(S63="",R64=""),"",S63+S59+R64)</f>
        <v>1320068.3848357671</v>
      </c>
      <c r="T64" s="7">
        <f t="shared" ref="T64" si="815">IF(OR(T63="",S64=""),"",T63+T59+S64)</f>
        <v>1119120.1834385756</v>
      </c>
      <c r="U64" s="7">
        <f t="shared" ref="U64" si="816">IF(OR(U63="",T64=""),"",U63+U59+T64)</f>
        <v>972735.4926434576</v>
      </c>
      <c r="V64" s="7">
        <f t="shared" ref="V64" si="817">IF(OR(V63="",U64=""),"",V63+V59+U64)</f>
        <v>851233.15863120055</v>
      </c>
      <c r="W64" s="7">
        <f t="shared" ref="W64" si="818">IF(OR(W63="",V64=""),"",W63+W59+V64)</f>
        <v>728890.60453939182</v>
      </c>
      <c r="X64" s="7">
        <f t="shared" ref="X64" si="819">IF(OR(X63="",W64=""),"",X63+X59+W64)</f>
        <v>509239.72588002187</v>
      </c>
      <c r="Y64" s="7">
        <f t="shared" ref="Y64" si="820">IF(OR(Y63="",X64=""),"",Y63+Y59+X64)</f>
        <v>318617.1502392143</v>
      </c>
      <c r="Z64" s="7">
        <f t="shared" ref="Z64" si="821">IF(OR(Z63="",Y64=""),"",Z63+Z59+Y64)</f>
        <v>130804.97942971083</v>
      </c>
      <c r="AA64" s="7">
        <f t="shared" ref="AA64" si="822">IF(OR(AA63="",Z64=""),"",AA63+AA59+Z64)</f>
        <v>-69798.157036859979</v>
      </c>
      <c r="AB64" s="7">
        <f t="shared" ref="AB64" si="823">IF(OR(AB63="",AA64=""),"",AB63+AB59+AA64)</f>
        <v>-256526.81441001143</v>
      </c>
      <c r="AC64" s="7">
        <f t="shared" ref="AC64" si="824">IF(OR(AC63="",AB64=""),"",AC63+AC59+AB64)</f>
        <v>-427132.09859240131</v>
      </c>
      <c r="AD64" s="7">
        <f t="shared" ref="AD64" si="825">IF(OR(AD63="",AC64=""),"",AD63+AD59+AC64)</f>
        <v>-573613.37131268904</v>
      </c>
      <c r="AE64" s="7">
        <f t="shared" ref="AE64" si="826">IF(OR(AE63="",AD64=""),"",AE63+AE59+AD64)</f>
        <v>-717191.16618806694</v>
      </c>
      <c r="AF64" s="7">
        <f t="shared" ref="AF64" si="827">IF(OR(AF63="",AE64=""),"",AF63+AF59+AE64)</f>
        <v>-645173.85019310704</v>
      </c>
      <c r="AG64" s="7">
        <f t="shared" ref="AG64" si="828">IF(OR(AG63="",AF64=""),"",AG63+AG59+AF64)</f>
        <v>-464446.6409453557</v>
      </c>
      <c r="AH64" s="7">
        <f t="shared" ref="AH64" si="829">IF(OR(AH63="",AG64=""),"",AH63+AH59+AG64)</f>
        <v>-334863.95141637156</v>
      </c>
      <c r="AI64" s="7">
        <f t="shared" ref="AI64" si="830">IF(OR(AI63="",AH64=""),"",AI63+AI59+AH64)</f>
        <v>-267880.00495646236</v>
      </c>
      <c r="AJ64" s="7">
        <f t="shared" ref="AJ64" si="831">IF(OR(AJ63="",AI64=""),"",AJ63+AJ59+AI64)</f>
        <v>-386418.15722278855</v>
      </c>
      <c r="AK64" s="7">
        <f t="shared" ref="AK64" si="832">IF(OR(AK63="",AJ64=""),"",AK63+AK59+AJ64)</f>
        <v>-497741.83419482585</v>
      </c>
      <c r="AL64" s="7">
        <f t="shared" ref="AL64" si="833">IF(OR(AL63="",AK64=""),"",AL63+AL59+AK64)</f>
        <v>-598690.25928407267</v>
      </c>
      <c r="AM64" s="7">
        <f t="shared" ref="AM64" si="834">IF(OR(AM63="",AL64=""),"",AM63+AM59+AL64)</f>
        <v>-645260.2032236869</v>
      </c>
      <c r="AN64" s="7">
        <f t="shared" ref="AN64" si="835">IF(OR(AN63="",AM64=""),"",AN63+AN59+AM64)</f>
        <v>-781932.35260706453</v>
      </c>
      <c r="AO64" s="7">
        <f t="shared" ref="AO64" si="836">IF(OR(AO63="",AN64=""),"",AO63+AO59+AN64)</f>
        <v>-830508.58737292036</v>
      </c>
      <c r="AP64" s="7">
        <f t="shared" ref="AP64" si="837">IF(OR(AP63="",AO64=""),"",AP63+AP59+AO64)</f>
        <v>-886809.87495987979</v>
      </c>
      <c r="AQ64" s="7">
        <f t="shared" ref="AQ64" si="838">IF(OR(AQ63="",AP64=""),"",AQ63+AQ59+AP64)</f>
        <v>-932712.08770589181</v>
      </c>
      <c r="AR64" s="7">
        <f t="shared" ref="AR64" si="839">IF(OR(AR63="",AQ64=""),"",AR63+AR59+AQ64)</f>
        <v>-535606.67882861593</v>
      </c>
      <c r="AS64" s="7">
        <f t="shared" ref="AS64" si="840">IF(OR(AS63="",AR64=""),"",AS63+AS59+AR64)</f>
        <v>47488.548526152386</v>
      </c>
      <c r="AT64" s="7">
        <f t="shared" ref="AT64" si="841">IF(OR(AT63="",AS64=""),"",AT63+AT59+AS64)</f>
        <v>508305.34854419512</v>
      </c>
      <c r="AU64" s="7">
        <f t="shared" ref="AU64" si="842">IF(OR(AU63="",AT64=""),"",AU63+AU59+AT64)</f>
        <v>783890.03786235268</v>
      </c>
      <c r="AV64" s="7">
        <f t="shared" ref="AV64" si="843">IF(OR(AV63="",AU64=""),"",AV63+AV59+AU64)</f>
        <v>724466.64049270633</v>
      </c>
      <c r="AW64" s="7">
        <f t="shared" ref="AW64" si="844">IF(OR(AW63="",AV64=""),"",AW63+AW59+AV64)</f>
        <v>652512.48877031822</v>
      </c>
      <c r="AX64" s="7">
        <f t="shared" ref="AX64" si="845">IF(OR(AX63="",AW64=""),"",AX63+AX59+AW64)</f>
        <v>572820.39976144233</v>
      </c>
      <c r="AY64" s="7">
        <f t="shared" ref="AY64" si="846">IF(OR(AY63="",AX64=""),"",AY63+AY59+AX64)</f>
        <v>512536.23386469879</v>
      </c>
      <c r="AZ64" s="7">
        <f t="shared" ref="AZ64" si="847">IF(OR(AZ63="",AY64=""),"",AZ63+AZ59+AY64)</f>
        <v>474699.75472953491</v>
      </c>
      <c r="BA64" s="7">
        <f t="shared" ref="BA64" si="848">IF(OR(BA63="",AZ64=""),"",BA63+BA59+AZ64)</f>
        <v>628740.41528074152</v>
      </c>
      <c r="BB64" s="7">
        <f t="shared" ref="BB64" si="849">IF(OR(BB63="",BA64=""),"",BB63+BB59+BA64)</f>
        <v>510520.38988311024</v>
      </c>
      <c r="BC64" s="7">
        <f t="shared" ref="BC64" si="850">IF(OR(BC63="",BB64=""),"",BC63+BC59+BB64)</f>
        <v>398542.53844308021</v>
      </c>
      <c r="BD64" s="7">
        <f t="shared" ref="BD64" si="851">IF(OR(BD63="",BC64=""),"",BD63+BD59+BC64)</f>
        <v>268444.92875210755</v>
      </c>
      <c r="BE64" s="7">
        <f t="shared" ref="BE64" si="852">IF(OR(BE63="",BD64=""),"",BE63+BE59+BD64)</f>
        <v>131515.28423351914</v>
      </c>
      <c r="BF64" s="7">
        <f t="shared" ref="BF64" si="853">IF(OR(BF63="",BE64=""),"",BF63+BF59+BE64)</f>
        <v>4762.9759016001917</v>
      </c>
      <c r="BG64" s="7">
        <f t="shared" ref="BG64" si="854">IF(OR(BG63="",BF64=""),"",BG63+BG59+BF64)</f>
        <v>-119487.74796861759</v>
      </c>
      <c r="BH64" s="7">
        <f t="shared" ref="BH64" si="855">IF(OR(BH63="",BG64=""),"",BH63+BH59+BG64)</f>
        <v>-240405.05876984971</v>
      </c>
      <c r="BI64" s="7">
        <f t="shared" ref="BI64" si="856">IF(OR(BI63="",BH64=""),"",BI63+BI59+BH64)</f>
        <v>-361022.44163727399</v>
      </c>
      <c r="BJ64" s="7">
        <f t="shared" ref="BJ64:CU64" si="857">IF(OR(BJ63="",BI64=""),"",BJ63+BJ59+BI64)</f>
        <v>-484069.23051049397</v>
      </c>
      <c r="BK64" s="7">
        <f t="shared" si="857"/>
        <v>-601731.06679010577</v>
      </c>
      <c r="BL64" s="7">
        <f t="shared" si="857"/>
        <v>-665285.81035735831</v>
      </c>
      <c r="BM64" s="7">
        <f>IF(OR(BM63="",BL64=""),"",BM63+BM59+BL64)</f>
        <v>-632289.66768908035</v>
      </c>
      <c r="BN64" s="7">
        <f t="shared" si="857"/>
        <v>-598210.00641526317</v>
      </c>
      <c r="BO64" s="7">
        <f t="shared" si="857"/>
        <v>-558559.59149496409</v>
      </c>
      <c r="BP64" s="7">
        <f t="shared" si="857"/>
        <v>-498511.8088711556</v>
      </c>
      <c r="BQ64" s="7">
        <f t="shared" si="857"/>
        <v>-418171.39665594604</v>
      </c>
      <c r="BR64" s="7">
        <f t="shared" si="857"/>
        <v>-342933.6054097343</v>
      </c>
      <c r="BS64" s="7">
        <f t="shared" si="857"/>
        <v>-283094.22776678874</v>
      </c>
      <c r="BT64" s="7">
        <f t="shared" si="857"/>
        <v>-244956.44213226927</v>
      </c>
      <c r="BU64" s="7">
        <f t="shared" si="857"/>
        <v>-211780.00788576331</v>
      </c>
      <c r="BV64" s="7">
        <f t="shared" si="857"/>
        <v>-169835.27068327137</v>
      </c>
      <c r="BW64" s="7">
        <f t="shared" si="857"/>
        <v>-128187.43782552659</v>
      </c>
      <c r="BX64" s="7">
        <f t="shared" si="857"/>
        <v>-96944.404656561062</v>
      </c>
      <c r="BY64" s="7">
        <f t="shared" si="857"/>
        <v>-87631.281072636062</v>
      </c>
      <c r="BZ64" s="7">
        <f t="shared" si="857"/>
        <v>-78233.400203840167</v>
      </c>
      <c r="CA64" s="7">
        <f t="shared" si="857"/>
        <v>-69053.097935185622</v>
      </c>
      <c r="CB64" s="7">
        <f t="shared" si="857"/>
        <v>-58618.625522637456</v>
      </c>
      <c r="CC64" s="7">
        <f t="shared" si="857"/>
        <v>-47772.278386796672</v>
      </c>
      <c r="CD64" s="7">
        <f t="shared" si="857"/>
        <v>-37013.002873379526</v>
      </c>
      <c r="CE64" s="7">
        <f t="shared" si="857"/>
        <v>-26515.752510759674</v>
      </c>
      <c r="CF64" s="7">
        <f t="shared" si="857"/>
        <v>-18428.926694820631</v>
      </c>
      <c r="CG64" s="7">
        <f t="shared" si="857"/>
        <v>-9008.8630961089057</v>
      </c>
      <c r="CH64" s="7">
        <f t="shared" si="857"/>
        <v>792.05509148130295</v>
      </c>
      <c r="CI64" s="7">
        <f t="shared" si="857"/>
        <v>10194.123296707807</v>
      </c>
      <c r="CJ64" s="7">
        <f t="shared" si="857"/>
        <v>16340.781534682628</v>
      </c>
      <c r="CK64" s="7">
        <f t="shared" si="857"/>
        <v>15812.504391439392</v>
      </c>
      <c r="CL64" s="7">
        <f t="shared" si="857"/>
        <v>15074.872751307004</v>
      </c>
      <c r="CM64" s="7">
        <f t="shared" si="857"/>
        <v>14324.11349633849</v>
      </c>
      <c r="CN64" s="7">
        <f t="shared" si="857"/>
        <v>13533.333119794914</v>
      </c>
      <c r="CO64" s="7">
        <f t="shared" si="857"/>
        <v>12722.042831713472</v>
      </c>
      <c r="CP64" s="7">
        <f t="shared" si="857"/>
        <v>11794.795173050527</v>
      </c>
      <c r="CQ64" s="7">
        <f t="shared" si="857"/>
        <v>10905.592976507613</v>
      </c>
      <c r="CR64" s="7">
        <f t="shared" si="857"/>
        <v>10134.847766376493</v>
      </c>
      <c r="CS64" s="7">
        <f t="shared" si="857"/>
        <v>9357.2464232073817</v>
      </c>
      <c r="CT64" s="7">
        <f t="shared" si="857"/>
        <v>8604.8741166518666</v>
      </c>
      <c r="CU64" s="7">
        <f t="shared" si="857"/>
        <v>7811.0591896921133</v>
      </c>
    </row>
    <row r="65" spans="1:99" s="4" customFormat="1" ht="8.25" hidden="1" customHeight="1" outlineLevel="1" x14ac:dyDescent="0.25">
      <c r="A65" s="40"/>
      <c r="B65" s="11"/>
      <c r="C65" s="11"/>
      <c r="D65" s="11"/>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row>
    <row r="66" spans="1:99" s="4" customFormat="1" ht="15" hidden="1" customHeight="1" outlineLevel="1" x14ac:dyDescent="0.25">
      <c r="A66" s="292" t="s">
        <v>24</v>
      </c>
      <c r="B66" s="15"/>
      <c r="C66" s="30"/>
      <c r="D66" s="30"/>
      <c r="E66" s="7"/>
      <c r="F66" s="7"/>
      <c r="G66" s="7"/>
      <c r="H66" s="7"/>
      <c r="I66" s="7"/>
      <c r="J66" s="7"/>
      <c r="K66" s="7"/>
      <c r="L66" s="7"/>
      <c r="M66" s="7"/>
      <c r="N66" s="7"/>
      <c r="O66" s="7"/>
      <c r="P66" s="68">
        <v>1878286.3459755329</v>
      </c>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126">
        <v>-417.5870757009634</v>
      </c>
      <c r="CG66" s="7"/>
      <c r="CH66" s="7"/>
      <c r="CI66" s="113">
        <f>'MEEIA 2 adjs'!EC73</f>
        <v>-4.5602555329351731</v>
      </c>
      <c r="CJ66" s="7"/>
      <c r="CK66" s="7"/>
      <c r="CL66" s="7"/>
      <c r="CM66" s="7"/>
      <c r="CN66" s="7"/>
      <c r="CO66" s="7"/>
      <c r="CP66" s="7"/>
      <c r="CQ66" s="7"/>
      <c r="CR66" s="7"/>
      <c r="CS66" s="7"/>
      <c r="CT66" s="7"/>
      <c r="CU66" s="7"/>
    </row>
    <row r="67" spans="1:99" s="2" customFormat="1" ht="15" hidden="1" customHeight="1" outlineLevel="1" x14ac:dyDescent="0.25">
      <c r="A67" s="292"/>
      <c r="B67" s="15" t="s">
        <v>28</v>
      </c>
      <c r="C67" s="30"/>
      <c r="D67" s="30"/>
      <c r="E67" s="20">
        <f>IF('M2 Allocations - TD'!D9="","",'M2 Allocations - TD'!D35)</f>
        <v>0</v>
      </c>
      <c r="F67" s="20">
        <f>IF('M2 Allocations - TD'!E9="","",'M2 Allocations - TD'!E35)</f>
        <v>0</v>
      </c>
      <c r="G67" s="20">
        <f>IF('M2 Allocations - TD'!F9="","",'M2 Allocations - TD'!F35)</f>
        <v>0</v>
      </c>
      <c r="H67" s="20">
        <f>IF('M2 Allocations - TD'!G9="","",'M2 Allocations - TD'!G35)</f>
        <v>0</v>
      </c>
      <c r="I67" s="20">
        <f>IF('M2 Allocations - TD'!H9="","",'M2 Allocations - TD'!H35)</f>
        <v>360.22</v>
      </c>
      <c r="J67" s="20">
        <f>IF('M2 Allocations - TD'!I9="","",'M2 Allocations - TD'!I35)</f>
        <v>1356.5027975457876</v>
      </c>
      <c r="K67" s="20">
        <f>IF('M2 Allocations - TD'!J9="","",'M2 Allocations - TD'!J35)</f>
        <v>2255.3712414377201</v>
      </c>
      <c r="L67" s="20">
        <f>IF('M2 Allocations - TD'!K9="","",'M2 Allocations - TD'!K35)</f>
        <v>1897.7199413483188</v>
      </c>
      <c r="M67" s="20">
        <f>IF('M2 Allocations - TD'!L9="","",'M2 Allocations - TD'!L35)</f>
        <v>2405.4668833960245</v>
      </c>
      <c r="N67" s="20">
        <f>IF('M2 Allocations - TD'!M9="","",'M2 Allocations - TD'!M35)</f>
        <v>3262.8984825339485</v>
      </c>
      <c r="O67" s="20">
        <f>IF('M2 Allocations - TD'!N9="","",'M2 Allocations - TD'!N35)</f>
        <v>5909.4833335993335</v>
      </c>
      <c r="P67" s="20">
        <f>IF('M2 Allocations - TD'!O9="","",'M2 Allocations - TD'!O35)</f>
        <v>6425.014731291647</v>
      </c>
      <c r="Q67" s="20">
        <f>IF('M2 Allocations - TD'!P9="","",'M2 Allocations - TD'!P35)</f>
        <v>9106.0133494287093</v>
      </c>
      <c r="R67" s="20">
        <f>IF('M2 Allocations - TD'!Q9="","",'M2 Allocations - TD'!Q35)</f>
        <v>8390.7638449238184</v>
      </c>
      <c r="S67" s="20">
        <f>IF('M2 Allocations - TD'!R9="","",'M2 Allocations - TD'!R35)</f>
        <v>10997.379437607351</v>
      </c>
      <c r="T67" s="20">
        <f>IF('M2 Allocations - TD'!S9="","",'M2 Allocations - TD'!S35)</f>
        <v>20856.094406634937</v>
      </c>
      <c r="U67" s="20">
        <f>IF('M2 Allocations - TD'!T9="","",'M2 Allocations - TD'!T35)</f>
        <v>29338.039999999994</v>
      </c>
      <c r="V67" s="20">
        <f>IF('M2 Allocations - TD'!U9="","",'M2 Allocations - TD'!U35)</f>
        <v>27923.370923640025</v>
      </c>
      <c r="W67" s="20">
        <f>IF('M2 Allocations - TD'!V9="","",'M2 Allocations - TD'!V35)</f>
        <v>26983.721535135461</v>
      </c>
      <c r="X67" s="20">
        <f>IF('M2 Allocations - TD'!W9="","",'M2 Allocations - TD'!W35)</f>
        <v>19471.188276380515</v>
      </c>
      <c r="Y67" s="20">
        <f>IF('M2 Allocations - TD'!X9="","",'M2 Allocations - TD'!X35)</f>
        <v>18971.478034215677</v>
      </c>
      <c r="Z67" s="20">
        <f>IF('M2 Allocations - TD'!Y9="","",'M2 Allocations - TD'!Y35)</f>
        <v>20838.032820297231</v>
      </c>
      <c r="AA67" s="20">
        <f>IF('M2 Allocations - TD'!Z9="","",'M2 Allocations - TD'!Z35)</f>
        <v>24107.448446951264</v>
      </c>
      <c r="AB67" s="20">
        <f>IF('M2 Allocations - TD'!AA9="","",'M2 Allocations - TD'!AA35)</f>
        <v>21893.062382864882</v>
      </c>
      <c r="AC67" s="20">
        <f>IF('M2 Allocations - TD'!AB9="","",'M2 Allocations - TD'!AB35)</f>
        <v>24080.232432507251</v>
      </c>
      <c r="AD67" s="20">
        <f>IF('M2 Allocations - TD'!AC9="","",'M2 Allocations - TD'!AC35)</f>
        <v>25697.334922102909</v>
      </c>
      <c r="AE67" s="20">
        <f>IF('M2 Allocations - TD'!AD9="","",'M2 Allocations - TD'!AD35)</f>
        <v>34703.027598888038</v>
      </c>
      <c r="AF67" s="20">
        <f>IF('M2 Allocations - TD'!AE9="","",'M2 Allocations - TD'!AE35)</f>
        <v>75519.476357307751</v>
      </c>
      <c r="AG67" s="20">
        <f>IF('M2 Allocations - TD'!AF9="","",'M2 Allocations - TD'!AF35)</f>
        <v>100273.42685716876</v>
      </c>
      <c r="AH67" s="20">
        <f>IF('M2 Allocations - TD'!AG9="","",'M2 Allocations - TD'!AG35)</f>
        <v>85499.508585205374</v>
      </c>
      <c r="AI67" s="20">
        <f>IF('M2 Allocations - TD'!AH9="","",'M2 Allocations - TD'!AH35)</f>
        <v>69397.820475524379</v>
      </c>
      <c r="AJ67" s="20">
        <f>IF('M2 Allocations - TD'!AI9="","",'M2 Allocations - TD'!AI35)</f>
        <v>37821.144416831085</v>
      </c>
      <c r="AK67" s="20">
        <f>IF('M2 Allocations - TD'!AJ9="","",'M2 Allocations - TD'!AJ35)</f>
        <v>35865.098177838852</v>
      </c>
      <c r="AL67" s="20">
        <f>IF('M2 Allocations - TD'!AK9="","",'M2 Allocations - TD'!AK35)</f>
        <v>42905.24501769265</v>
      </c>
      <c r="AM67" s="20">
        <f>IF('M2 Allocations - TD'!AL9="","",'M2 Allocations - TD'!AL35)</f>
        <v>48941.253195931422</v>
      </c>
      <c r="AN67" s="20">
        <f>IF('M2 Allocations - TD'!AM9="","",'M2 Allocations - TD'!AM35)</f>
        <v>45736.205779424003</v>
      </c>
      <c r="AO67" s="20">
        <f>IF('M2 Allocations - TD'!AN9="","",'M2 Allocations - TD'!AN35)</f>
        <v>61794.995083764363</v>
      </c>
      <c r="AP67" s="20">
        <f>IF('M2 Allocations - TD'!AO9="","",'M2 Allocations - TD'!AO35)</f>
        <v>56159.323619014431</v>
      </c>
      <c r="AQ67" s="20">
        <f>IF('M2 Allocations - TD'!AP9="","",'M2 Allocations - TD'!AP35)</f>
        <v>66116.096564999927</v>
      </c>
      <c r="AR67" s="20">
        <f>IF('M2 Allocations - TD'!AQ9="","",'M2 Allocations - TD'!AQ35)</f>
        <v>196336.18137657503</v>
      </c>
      <c r="AS67" s="20">
        <f>IF('M2 Allocations - TD'!AR9="","",'M2 Allocations - TD'!AR35)</f>
        <v>261767.5472645007</v>
      </c>
      <c r="AT67" s="20">
        <f>IF('M2 Allocations - TD'!AS9="","",'M2 Allocations - TD'!AS35)</f>
        <v>232206.9863998002</v>
      </c>
      <c r="AU67" s="20">
        <f>IF('M2 Allocations - TD'!AT9="","",'M2 Allocations - TD'!AT35)</f>
        <v>149701.48799265211</v>
      </c>
      <c r="AV67" s="20">
        <f>IF('M2 Allocations - TD'!AU9="","",'M2 Allocations - TD'!AU35)</f>
        <v>63981.67593600769</v>
      </c>
      <c r="AW67" s="20">
        <f>IF('M2 Allocations - TD'!AV9="","",'M2 Allocations - TD'!AV35)</f>
        <v>56131.256299554763</v>
      </c>
      <c r="AX67" s="20">
        <f>IF('M2 Allocations - TD'!AW9="","",'M2 Allocations - TD'!AW35)</f>
        <v>57173.072833048078</v>
      </c>
      <c r="AY67" s="20">
        <f>IF('M2 Allocations - TD'!AX9="","",'M2 Allocations - TD'!AX35)</f>
        <v>61251.937727286851</v>
      </c>
      <c r="AZ67" s="20">
        <f>IF('M2 Allocations - TD'!AY9="","",'M2 Allocations - TD'!AY35)</f>
        <v>54765.460012100484</v>
      </c>
      <c r="BA67" s="20">
        <f>IF('M2 Allocations - TD'!AZ9="","",'M2 Allocations - TD'!AZ35)</f>
        <v>55225.416517369085</v>
      </c>
      <c r="BB67" s="20">
        <f>IF('M2 Allocations - TD'!BA9="","",'M2 Allocations - TD'!BA35)</f>
        <v>0</v>
      </c>
      <c r="BC67" s="20">
        <f>IF('M2 Allocations - TD'!BB9="","",'M2 Allocations - TD'!BB35)</f>
        <v>-142.24679364857641</v>
      </c>
      <c r="BD67" s="20">
        <f>IF('M2 Allocations - TD'!BC9="","",'M2 Allocations - TD'!BC35)</f>
        <v>0</v>
      </c>
      <c r="BE67" s="20">
        <f>IF('M2 Allocations - TD'!BD9="","",'M2 Allocations - TD'!BD35)</f>
        <v>0</v>
      </c>
      <c r="BF67" s="20">
        <f>IF('M2 Allocations - TD'!BE9="","",'M2 Allocations - TD'!BE35)</f>
        <v>0</v>
      </c>
      <c r="BG67" s="20">
        <f>IF('M2 Allocations - TD'!BF9="","",'M2 Allocations - TD'!BF35)</f>
        <v>0</v>
      </c>
      <c r="BH67" s="20">
        <f>IF('M2 Allocations - TD'!BG9="","",'M2 Allocations - TD'!BG35)</f>
        <v>0</v>
      </c>
      <c r="BI67" s="20">
        <f>IF('M2 Allocations - TD'!BH9="","",'M2 Allocations - TD'!BH35)</f>
        <v>0</v>
      </c>
      <c r="BJ67" s="20">
        <f>IF('M2 Allocations - TD'!BI9="","",'M2 Allocations - TD'!BI35)</f>
        <v>0</v>
      </c>
      <c r="BK67" s="20">
        <f>IF('M2 Allocations - TD'!BJ9="","",'M2 Allocations - TD'!BJ35)</f>
        <v>0</v>
      </c>
      <c r="BL67" s="20">
        <f>IF('M2 Allocations - TD'!BK9="","",'M2 Allocations - TD'!BK35)</f>
        <v>0</v>
      </c>
      <c r="BM67" s="20">
        <f>IF('M2 Allocations - TD'!BL9="","",'M2 Allocations - TD'!BL35)</f>
        <v>0</v>
      </c>
      <c r="BN67" s="20">
        <f>IF('M2 Allocations - TD'!BM9="","",'M2 Allocations - TD'!BM35)</f>
        <v>0</v>
      </c>
      <c r="BO67" s="20">
        <f>IF('M2 Allocations - TD'!BN9="","",'M2 Allocations - TD'!BN35)</f>
        <v>0</v>
      </c>
      <c r="BP67" s="20">
        <f>IF('M2 Allocations - TD'!BO9="","",'M2 Allocations - TD'!BO35)</f>
        <v>0</v>
      </c>
      <c r="BQ67" s="20">
        <f>IF('M2 Allocations - TD'!BP9="","",'M2 Allocations - TD'!BP35)</f>
        <v>0</v>
      </c>
      <c r="BR67" s="20">
        <f>IF('M2 Allocations - TD'!BQ9="","",'M2 Allocations - TD'!BQ35)</f>
        <v>-101.14999999990687</v>
      </c>
      <c r="BS67" s="20">
        <f>IF('M2 Allocations - TD'!BR9="","",'M2 Allocations - TD'!BR35)</f>
        <v>-108.16000000014901</v>
      </c>
      <c r="BT67" s="20">
        <f>IF('M2 Allocations - TD'!BS9="","",'M2 Allocations - TD'!BS35)</f>
        <v>-67.520000000018626</v>
      </c>
      <c r="BU67" s="20">
        <f>IF('M2 Allocations - TD'!BT9="","",'M2 Allocations - TD'!BT35)</f>
        <v>-54.189999999944121</v>
      </c>
      <c r="BV67" s="20">
        <f>IF('M2 Allocations - TD'!BU9="","",'M2 Allocations - TD'!BU35)</f>
        <v>-56.580000000074506</v>
      </c>
      <c r="BW67" s="20">
        <f>IF('M2 Allocations - TD'!BV9="","",'M2 Allocations - TD'!BV35)</f>
        <v>-61.179999999701977</v>
      </c>
      <c r="BX67" s="20">
        <f>IF('M2 Allocations - TD'!BW9="","",'M2 Allocations - TD'!BW35)</f>
        <v>-51.470000000204891</v>
      </c>
      <c r="BY67" s="20">
        <f>IF('M2 Allocations - TD'!BX9="","",'M2 Allocations - TD'!BX35)</f>
        <v>0</v>
      </c>
      <c r="BZ67" s="20">
        <f>IF('M2 Allocations - TD'!BY9="","",'M2 Allocations - TD'!BY35)</f>
        <v>0</v>
      </c>
      <c r="CA67" s="20">
        <f>IF('M2 Allocations - TD'!BZ9="","",'M2 Allocations - TD'!BZ35)</f>
        <v>0</v>
      </c>
      <c r="CB67" s="20">
        <f>IF('M2 Allocations - TD'!CA9="","",'M2 Allocations - TD'!CA35)</f>
        <v>0</v>
      </c>
      <c r="CC67" s="20">
        <f>IF('M2 Allocations - TD'!CB9="","",'M2 Allocations - TD'!CB35)</f>
        <v>0</v>
      </c>
      <c r="CD67" s="20">
        <f>IF('M2 Allocations - TD'!CC9="","",'M2 Allocations - TD'!CC35)</f>
        <v>0</v>
      </c>
      <c r="CE67" s="20">
        <f>IF('M2 Allocations - TD'!CD9="","",'M2 Allocations - TD'!CD35)</f>
        <v>0</v>
      </c>
      <c r="CF67" s="20">
        <f>IF('M2 Allocations - TD'!CE9="","",'M2 Allocations - TD'!CE35)</f>
        <v>0</v>
      </c>
      <c r="CG67" s="20">
        <f>IF('M2 Allocations - TD'!CF9="","",'M2 Allocations - TD'!CF35)</f>
        <v>0</v>
      </c>
      <c r="CH67" s="20">
        <f>IF('M2 Allocations - TD'!CG9="","",'M2 Allocations - TD'!CG35)</f>
        <v>0</v>
      </c>
      <c r="CI67" s="20">
        <f>IF('M2 Allocations - TD'!CH9="","",'M2 Allocations - TD'!CH35)</f>
        <v>0</v>
      </c>
      <c r="CJ67" s="20">
        <f>IF('M2 Allocations - TD'!CI9="","",'M2 Allocations - TD'!CI35)</f>
        <v>0</v>
      </c>
      <c r="CK67" s="20">
        <f>IF('M2 Allocations - TD'!CJ9="","",'M2 Allocations - TD'!CJ35)</f>
        <v>0</v>
      </c>
      <c r="CL67" s="20">
        <f>IF('M2 Allocations - TD'!CK9="","",'M2 Allocations - TD'!CK35)</f>
        <v>0</v>
      </c>
      <c r="CM67" s="20">
        <f>IF('M2 Allocations - TD'!CL9="","",'M2 Allocations - TD'!CL35)</f>
        <v>0</v>
      </c>
      <c r="CN67" s="20">
        <f>IF('M2 Allocations - TD'!CM9="","",'M2 Allocations - TD'!CM35)</f>
        <v>0</v>
      </c>
      <c r="CO67" s="20">
        <f>IF('M2 Allocations - TD'!CN9="","",'M2 Allocations - TD'!CN35)</f>
        <v>0</v>
      </c>
      <c r="CP67" s="20">
        <f>IF('M2 Allocations - TD'!CO9="","",'M2 Allocations - TD'!CO35)</f>
        <v>0</v>
      </c>
      <c r="CQ67" s="20">
        <f>IF('M2 Allocations - TD'!CP9="","",'M2 Allocations - TD'!CP35)</f>
        <v>0</v>
      </c>
      <c r="CR67" s="20">
        <f>IF('M2 Allocations - TD'!CQ9="","",'M2 Allocations - TD'!CQ35)</f>
        <v>0</v>
      </c>
      <c r="CS67" s="20">
        <f>IF('M2 Allocations - TD'!CR9="","",'M2 Allocations - TD'!CR35)</f>
        <v>0</v>
      </c>
      <c r="CT67" s="20">
        <f>IF('M2 Allocations - TD'!CS9="","",'M2 Allocations - TD'!CS35)</f>
        <v>0</v>
      </c>
      <c r="CU67" s="20">
        <f>IF('M2 Allocations - TD'!CT9="","",'M2 Allocations - TD'!CT35)</f>
        <v>0</v>
      </c>
    </row>
    <row r="68" spans="1:99" s="4" customFormat="1" ht="15" hidden="1" customHeight="1" outlineLevel="1" x14ac:dyDescent="0.25">
      <c r="A68" s="292"/>
      <c r="B68" s="16" t="s">
        <v>26</v>
      </c>
      <c r="C68" s="24"/>
      <c r="D68" s="24"/>
      <c r="E68" s="22">
        <v>0</v>
      </c>
      <c r="F68" s="22">
        <v>0</v>
      </c>
      <c r="G68" s="22">
        <v>0</v>
      </c>
      <c r="H68" s="22">
        <v>4867.8</v>
      </c>
      <c r="I68" s="22">
        <v>9528.7800000000007</v>
      </c>
      <c r="J68" s="22">
        <v>9622.07</v>
      </c>
      <c r="K68" s="22">
        <v>10571.65</v>
      </c>
      <c r="L68" s="22">
        <v>9276.2800000000007</v>
      </c>
      <c r="M68" s="22">
        <v>8552.14</v>
      </c>
      <c r="N68" s="22">
        <v>8040.28</v>
      </c>
      <c r="O68" s="22">
        <v>7958.8</v>
      </c>
      <c r="P68" s="22">
        <f>108234.02+94465.45</f>
        <v>202699.47</v>
      </c>
      <c r="Q68" s="22">
        <v>167678.56</v>
      </c>
      <c r="R68" s="20">
        <f>IF('M2 Allocations - TD'!Q54="","",'M2 Allocations - TD'!Q72)</f>
        <v>183651.06125723169</v>
      </c>
      <c r="S68" s="20">
        <f>IF('M2 Allocations - TD'!R54="","",'M2 Allocations - TD'!R72)</f>
        <v>187110.90550820582</v>
      </c>
      <c r="T68" s="20">
        <f>IF('M2 Allocations - TD'!S54="","",'M2 Allocations - TD'!S72)</f>
        <v>223442.58102316182</v>
      </c>
      <c r="U68" s="20">
        <f>IF('M2 Allocations - TD'!T54="","",'M2 Allocations - TD'!T72)</f>
        <v>211112.22603032622</v>
      </c>
      <c r="V68" s="20">
        <f>IF('M2 Allocations - TD'!U54="","",'M2 Allocations - TD'!U72)</f>
        <v>233963.66032568182</v>
      </c>
      <c r="W68" s="20">
        <f>IF('M2 Allocations - TD'!V54="","",'M2 Allocations - TD'!V72)</f>
        <v>223064.28470931173</v>
      </c>
      <c r="X68" s="20">
        <f>IF('M2 Allocations - TD'!W54="","",'M2 Allocations - TD'!W72)</f>
        <v>212741.63673550039</v>
      </c>
      <c r="Y68" s="20">
        <f>IF('M2 Allocations - TD'!X54="","",'M2 Allocations - TD'!X72)</f>
        <v>202298.65943791193</v>
      </c>
      <c r="Z68" s="20">
        <f>IF('M2 Allocations - TD'!Y54="","",'M2 Allocations - TD'!Y72)</f>
        <v>185145.40058784836</v>
      </c>
      <c r="AA68" s="20">
        <f>IF('M2 Allocations - TD'!Z54="","",'M2 Allocations - TD'!Z72)</f>
        <v>187242.02591890033</v>
      </c>
      <c r="AB68" s="20">
        <f>IF('M2 Allocations - TD'!AA54="","",'M2 Allocations - TD'!AA72)</f>
        <v>102199.67</v>
      </c>
      <c r="AC68" s="20">
        <f>IF('M2 Allocations - TD'!AB54="","",'M2 Allocations - TD'!AB72)</f>
        <v>15774.991410991883</v>
      </c>
      <c r="AD68" s="20">
        <f>IF('M2 Allocations - TD'!AC54="","",'M2 Allocations - TD'!AC72)</f>
        <v>14999.076289049191</v>
      </c>
      <c r="AE68" s="20">
        <f>IF('M2 Allocations - TD'!AD54="","",'M2 Allocations - TD'!AD72)</f>
        <v>17802.440022199695</v>
      </c>
      <c r="AF68" s="20">
        <f>IF('M2 Allocations - TD'!AE54="","",'M2 Allocations - TD'!AE72)</f>
        <v>19775.612550633668</v>
      </c>
      <c r="AG68" s="20">
        <f>IF('M2 Allocations - TD'!AF54="","",'M2 Allocations - TD'!AF72)</f>
        <v>11062.273989486501</v>
      </c>
      <c r="AH68" s="20">
        <f>IF('M2 Allocations - TD'!AG54="","",'M2 Allocations - TD'!AG72)</f>
        <v>20313.771907757455</v>
      </c>
      <c r="AI68" s="20">
        <f>IF('M2 Allocations - TD'!AH54="","",'M2 Allocations - TD'!AH72)</f>
        <v>19132.25484498954</v>
      </c>
      <c r="AJ68" s="20">
        <f>IF('M2 Allocations - TD'!AI54="","",'M2 Allocations - TD'!AI72)</f>
        <v>18842.570934578442</v>
      </c>
      <c r="AK68" s="20">
        <f>IF('M2 Allocations - TD'!AJ54="","",'M2 Allocations - TD'!AJ72)</f>
        <v>17291.908336856264</v>
      </c>
      <c r="AL68" s="20">
        <f>IF('M2 Allocations - TD'!AK54="","",'M2 Allocations - TD'!AK72)</f>
        <v>16424.771759142779</v>
      </c>
      <c r="AM68" s="20">
        <f>IF('M2 Allocations - TD'!AL54="","",'M2 Allocations - TD'!AL72)</f>
        <v>19194.293385468092</v>
      </c>
      <c r="AN68" s="20">
        <f>IF('M2 Allocations - TD'!AM54="","",'M2 Allocations - TD'!AM72)</f>
        <v>38886.814638059877</v>
      </c>
      <c r="AO68" s="20">
        <f>IF('M2 Allocations - TD'!AN54="","",'M2 Allocations - TD'!AN72)</f>
        <v>62163.30838583759</v>
      </c>
      <c r="AP68" s="20">
        <f>IF('M2 Allocations - TD'!AO54="","",'M2 Allocations - TD'!AO72)</f>
        <v>62277.891788111709</v>
      </c>
      <c r="AQ68" s="20">
        <f>IF('M2 Allocations - TD'!AP54="","",'M2 Allocations - TD'!AP72)</f>
        <v>61090.351080169654</v>
      </c>
      <c r="AR68" s="20">
        <f>IF('M2 Allocations - TD'!AQ54="","",'M2 Allocations - TD'!AQ72)</f>
        <v>77031.361873120681</v>
      </c>
      <c r="AS68" s="20">
        <f>IF('M2 Allocations - TD'!AR54="","",'M2 Allocations - TD'!AR72)</f>
        <v>71605.590509478847</v>
      </c>
      <c r="AT68" s="20">
        <f>IF('M2 Allocations - TD'!AS54="","",'M2 Allocations - TD'!AS72)</f>
        <v>79252.326006964737</v>
      </c>
      <c r="AU68" s="20">
        <f>IF('M2 Allocations - TD'!AT54="","",'M2 Allocations - TD'!AT72)</f>
        <v>80418.423982704393</v>
      </c>
      <c r="AV68" s="20">
        <f>IF('M2 Allocations - TD'!AU54="","",'M2 Allocations - TD'!AU72)</f>
        <v>75914.605849404077</v>
      </c>
      <c r="AW68" s="20">
        <f>IF('M2 Allocations - TD'!AV54="","",'M2 Allocations - TD'!AV72)</f>
        <v>67084.185364881603</v>
      </c>
      <c r="AX68" s="20">
        <f>IF('M2 Allocations - TD'!AW54="","",'M2 Allocations - TD'!AW72)</f>
        <v>62856.748290520285</v>
      </c>
      <c r="AY68" s="20">
        <f>IF('M2 Allocations - TD'!AX54="","",'M2 Allocations - TD'!AX72)</f>
        <v>66459.230205220156</v>
      </c>
      <c r="AZ68" s="20">
        <f>IF('M2 Allocations - TD'!AY54="","",'M2 Allocations - TD'!AY72)</f>
        <v>66430.245030828315</v>
      </c>
      <c r="BA68" s="20">
        <f>IF('M2 Allocations - TD'!AZ54="","",'M2 Allocations - TD'!AZ72)</f>
        <v>38508.585383210528</v>
      </c>
      <c r="BB68" s="20">
        <f>IF('M2 Allocations - TD'!BA54="","",'M2 Allocations - TD'!BA72)</f>
        <v>44139.712667457272</v>
      </c>
      <c r="BC68" s="20">
        <f>IF('M2 Allocations - TD'!BB54="","",'M2 Allocations - TD'!BB72)</f>
        <v>44831.320451790816</v>
      </c>
      <c r="BD68" s="20">
        <f>IF('M2 Allocations - TD'!BC54="","",'M2 Allocations - TD'!BC72)</f>
        <v>11299.677842574871</v>
      </c>
      <c r="BE68" s="20">
        <f>IF('M2 Allocations - TD'!BD54="","",'M2 Allocations - TD'!BD72)</f>
        <v>50403.777431042647</v>
      </c>
      <c r="BF68" s="20">
        <f>IF('M2 Allocations - TD'!BE54="","",'M2 Allocations - TD'!BE72)</f>
        <v>51924.778274542303</v>
      </c>
      <c r="BG68" s="20">
        <f>IF('M2 Allocations - TD'!BF54="","",'M2 Allocations - TD'!BF72)</f>
        <v>52673.048419221035</v>
      </c>
      <c r="BH68" s="20">
        <f>IF('M2 Allocations - TD'!BG54="","",'M2 Allocations - TD'!BG72)</f>
        <v>46395.596252741838</v>
      </c>
      <c r="BI68" s="20">
        <f>IF('M2 Allocations - TD'!BH54="","",'M2 Allocations - TD'!BH72)</f>
        <v>45485.528963265475</v>
      </c>
      <c r="BJ68" s="20">
        <f>IF('M2 Allocations - TD'!BI54="","",'M2 Allocations - TD'!BI72)</f>
        <v>46424.397026326449</v>
      </c>
      <c r="BK68" s="20">
        <f>IF('M2 Allocations - TD'!BJ54="","",'M2 Allocations - TD'!BJ72)</f>
        <v>42444.211387439616</v>
      </c>
      <c r="BL68" s="20">
        <f>IF('M2 Allocations - TD'!BK54="","",'M2 Allocations - TD'!BK72)</f>
        <v>37845.94077531778</v>
      </c>
      <c r="BM68" s="20">
        <f>IF('M2 Allocations - TD'!BL54="","",'M2 Allocations - TD'!BL72)</f>
        <v>-731.33700161567504</v>
      </c>
      <c r="BN68" s="20">
        <f>IF('M2 Allocations - TD'!BM54="","",'M2 Allocations - TD'!BM72)</f>
        <v>1437.7999422217736</v>
      </c>
      <c r="BO68" s="20">
        <f>IF('M2 Allocations - TD'!BN54="","",'M2 Allocations - TD'!BN72)</f>
        <v>1448.8425667251033</v>
      </c>
      <c r="BP68" s="20">
        <f>IF('M2 Allocations - TD'!BO54="","",'M2 Allocations - TD'!BO72)</f>
        <v>1380.7821512277105</v>
      </c>
      <c r="BQ68" s="20">
        <f>IF('M2 Allocations - TD'!BP54="","",'M2 Allocations - TD'!BP72)</f>
        <v>1767.2604926793401</v>
      </c>
      <c r="BR68" s="20">
        <f>IF('M2 Allocations - TD'!BQ54="","",'M2 Allocations - TD'!BQ72)</f>
        <v>1691.5909448949833</v>
      </c>
      <c r="BS68" s="20">
        <f>IF('M2 Allocations - TD'!BR54="","",'M2 Allocations - TD'!BR72)</f>
        <v>1824.9961214654177</v>
      </c>
      <c r="BT68" s="20">
        <f>IF('M2 Allocations - TD'!BS54="","",'M2 Allocations - TD'!BS72)</f>
        <v>1633.3060195728406</v>
      </c>
      <c r="BU68" s="20">
        <f>IF('M2 Allocations - TD'!BT54="","",'M2 Allocations - TD'!BT72)</f>
        <v>1134.0675425845006</v>
      </c>
      <c r="BV68" s="20">
        <f>IF('M2 Allocations - TD'!BU54="","",'M2 Allocations - TD'!BU72)</f>
        <v>1713.7681476555249</v>
      </c>
      <c r="BW68" s="20">
        <f>IF('M2 Allocations - TD'!BV54="","",'M2 Allocations - TD'!BV72)</f>
        <v>1528.2002495401016</v>
      </c>
      <c r="BX68" s="20">
        <f>IF('M2 Allocations - TD'!BW54="","",'M2 Allocations - TD'!BW72)</f>
        <v>880.06349454617578</v>
      </c>
      <c r="BY68" s="20">
        <f>IF('M2 Allocations - TD'!BX54="","",'M2 Allocations - TD'!BX72)</f>
        <v>-2097.7749559192816</v>
      </c>
      <c r="BZ68" s="20">
        <f>IF('M2 Allocations - TD'!BY54="","",'M2 Allocations - TD'!BY72)</f>
        <v>-9941.5602511884663</v>
      </c>
      <c r="CA68" s="20">
        <f>IF('M2 Allocations - TD'!BZ54="","",'M2 Allocations - TD'!BZ72)</f>
        <v>-1916.6757761009615</v>
      </c>
      <c r="CB68" s="20">
        <f>IF('M2 Allocations - TD'!CA54="","",'M2 Allocations - TD'!CA72)</f>
        <v>-2336.6180031047011</v>
      </c>
      <c r="CC68" s="20">
        <f>IF('M2 Allocations - TD'!CB54="","",'M2 Allocations - TD'!CB72)</f>
        <v>-2679.3289962978324</v>
      </c>
      <c r="CD68" s="20">
        <f>IF('M2 Allocations - TD'!CC54="","",'M2 Allocations - TD'!CC72)</f>
        <v>-2648.8730550887763</v>
      </c>
      <c r="CE68" s="20">
        <f>IF('M2 Allocations - TD'!CD54="","",'M2 Allocations - TD'!CD72)</f>
        <v>-2762.0412565834886</v>
      </c>
      <c r="CF68" s="20">
        <f>IF('M2 Allocations - TD'!CE54="","",'M2 Allocations - TD'!CE72)</f>
        <v>-2372.9708277142608</v>
      </c>
      <c r="CG68" s="20">
        <f>IF('M2 Allocations - TD'!CF54="","",'M2 Allocations - TD'!CF72)</f>
        <v>-2369.0270963874896</v>
      </c>
      <c r="CH68" s="20">
        <f>IF('M2 Allocations - TD'!CG54="","",'M2 Allocations - TD'!CG72)</f>
        <v>-2320.8511941080565</v>
      </c>
      <c r="CI68" s="20">
        <f>IF('M2 Allocations - TD'!CH54="","",'M2 Allocations - TD'!CH72)</f>
        <v>-1958.1190231074463</v>
      </c>
      <c r="CJ68" s="20">
        <f>IF('M2 Allocations - TD'!CI54="","",'M2 Allocations - TD'!CI72)</f>
        <v>-1623.9777556599881</v>
      </c>
      <c r="CK68" s="20">
        <f>IF('M2 Allocations - TD'!CJ54="","",'M2 Allocations - TD'!CJ72)</f>
        <v>-31.727229387163341</v>
      </c>
      <c r="CL68" s="20">
        <f>IF('M2 Allocations - TD'!CK54="","",'M2 Allocations - TD'!CK72)</f>
        <v>-21.913770259463259</v>
      </c>
      <c r="CM68" s="20">
        <f>IF('M2 Allocations - TD'!CL54="","",'M2 Allocations - TD'!CL72)</f>
        <v>-19.431521380489585</v>
      </c>
      <c r="CN68" s="20">
        <f>IF('M2 Allocations - TD'!CM54="","",'M2 Allocations - TD'!CM72)</f>
        <v>-23.007750837930821</v>
      </c>
      <c r="CO68" s="20">
        <f>IF('M2 Allocations - TD'!CN54="","",'M2 Allocations - TD'!CN72)</f>
        <v>-23.519135312415173</v>
      </c>
      <c r="CP68" s="20">
        <f>IF('M2 Allocations - TD'!CO54="","",'M2 Allocations - TD'!CO72)</f>
        <v>-27.323845680704316</v>
      </c>
      <c r="CQ68" s="20">
        <f>IF('M2 Allocations - TD'!CP54="","",'M2 Allocations - TD'!CP72)</f>
        <v>-29.041239780857424</v>
      </c>
      <c r="CR68" s="20">
        <f>IF('M2 Allocations - TD'!CQ54="","",'M2 Allocations - TD'!CQ72)</f>
        <v>-28.609465326327861</v>
      </c>
      <c r="CS68" s="20">
        <f>IF('M2 Allocations - TD'!CR54="","",'M2 Allocations - TD'!CR72)</f>
        <v>-26.659825343432857</v>
      </c>
      <c r="CT68" s="20">
        <f>IF('M2 Allocations - TD'!CS54="","",'M2 Allocations - TD'!CS72)</f>
        <v>-36.245125401328671</v>
      </c>
      <c r="CU68" s="20">
        <f>IF('M2 Allocations - TD'!CT54="","",'M2 Allocations - TD'!CT72)</f>
        <v>-35.313906986189053</v>
      </c>
    </row>
    <row r="69" spans="1:99" s="4" customFormat="1" ht="15" hidden="1" customHeight="1" outlineLevel="1" x14ac:dyDescent="0.25">
      <c r="A69" s="292"/>
      <c r="B69" s="16" t="s">
        <v>51</v>
      </c>
      <c r="C69" s="24"/>
      <c r="D69" s="24"/>
      <c r="E69" s="22"/>
      <c r="F69" s="22"/>
      <c r="G69" s="22"/>
      <c r="H69" s="22"/>
      <c r="I69" s="22"/>
      <c r="J69" s="22"/>
      <c r="K69" s="22"/>
      <c r="L69" s="22"/>
      <c r="M69" s="22"/>
      <c r="N69" s="22"/>
      <c r="O69" s="22">
        <f>+'M2 TD amort'!C36</f>
        <v>0</v>
      </c>
      <c r="P69" s="22">
        <f>IF(P68="","",-'M2 TD amort'!D36)</f>
        <v>-147923.54</v>
      </c>
      <c r="Q69" s="22">
        <f>IF(Q68="","",-'M2 TD amort'!E36)</f>
        <v>-122366.41</v>
      </c>
      <c r="R69" s="20">
        <f>IF(R68="","",-'M2 TD amort'!F36)</f>
        <v>-135610.26999999999</v>
      </c>
      <c r="S69" s="20">
        <f>IF(S68="","",-'M2 TD amort'!G36)</f>
        <v>-137927.79</v>
      </c>
      <c r="T69" s="20">
        <f>IF(T68="","",-'M2 TD amort'!H36)</f>
        <v>-164689.71</v>
      </c>
      <c r="U69" s="20">
        <f>IF(U68="","",-'M2 TD amort'!I36)</f>
        <v>-155769.59</v>
      </c>
      <c r="V69" s="20">
        <f>IF(V68="","",-'M2 TD amort'!J36)</f>
        <v>-172638.51</v>
      </c>
      <c r="W69" s="20">
        <f>IF(W68="","",-'M2 TD amort'!K36)</f>
        <v>-164503.71</v>
      </c>
      <c r="X69" s="20">
        <f>IF(X68="","",-'M2 TD amort'!L36)</f>
        <v>-156843.66</v>
      </c>
      <c r="Y69" s="20">
        <f>IF(Y68="","",-'M2 TD amort'!M36)</f>
        <v>-149437.09</v>
      </c>
      <c r="Z69" s="20">
        <f>IF(Z68="","",-'M2 TD amort'!N36)</f>
        <v>-137029.1</v>
      </c>
      <c r="AA69" s="20">
        <f>IF(AA68="","",-'M2 TD amort'!O36)</f>
        <v>-138956.35</v>
      </c>
      <c r="AB69" s="20">
        <f>IF(AB68="","",-'M2 TD amort'!P36)</f>
        <v>163073.60999999999</v>
      </c>
      <c r="AC69" s="20">
        <f>IF(AC68="","",-'M2 TD amort'!Q36)</f>
        <v>28184.85</v>
      </c>
      <c r="AD69" s="20">
        <f>IF(AD68="","",-'M2 TD amort'!R36)</f>
        <v>26811.56</v>
      </c>
      <c r="AE69" s="20">
        <f>IF(AE68="","",-'M2 TD amort'!S36)</f>
        <v>30658.16</v>
      </c>
      <c r="AF69" s="20">
        <f>IF(AF68="","",-'M2 TD amort'!T36)</f>
        <v>33927.269999999997</v>
      </c>
      <c r="AG69" s="20">
        <f>IF(AG68="","",-'M2 TD amort'!U36)</f>
        <v>20613.12</v>
      </c>
      <c r="AH69" s="20">
        <f>IF(AH68="","",-'M2 TD amort'!V36)</f>
        <v>34940.29</v>
      </c>
      <c r="AI69" s="20">
        <f>IF(AI68="","",-'M2 TD amort'!W36)</f>
        <v>32815.35</v>
      </c>
      <c r="AJ69" s="20">
        <f>IF(AJ68="","",-'M2 TD amort'!X36)</f>
        <v>32400.86</v>
      </c>
      <c r="AK69" s="20">
        <f>IF(AK68="","",-'M2 TD amort'!Y36)</f>
        <v>30448.7</v>
      </c>
      <c r="AL69" s="20">
        <f>IF(AL68="","",-'M2 TD amort'!Z36)</f>
        <v>29651.5</v>
      </c>
      <c r="AM69" s="20">
        <f>IF(AM68="","",-'M2 TD amort'!AA36)</f>
        <v>33179.11</v>
      </c>
      <c r="AN69" s="20">
        <f>IF(AN68="","",-'M2 TD amort'!AB36)</f>
        <v>1500.43</v>
      </c>
      <c r="AO69" s="20">
        <f>IF(AO68="","",-'M2 TD amort'!AC36)</f>
        <v>2352.08</v>
      </c>
      <c r="AP69" s="20">
        <f>IF(AP68="","",-'M2 TD amort'!AD36)</f>
        <v>2341.8200000000002</v>
      </c>
      <c r="AQ69" s="20">
        <f>IF(AQ68="","",-'M2 TD amort'!AE36)</f>
        <v>2285.06</v>
      </c>
      <c r="AR69" s="20">
        <f>IF(AR68="","",-'M2 TD amort'!AF36)</f>
        <v>2878.25</v>
      </c>
      <c r="AS69" s="20">
        <f>IF(AS68="","",-'M2 TD amort'!AG36)</f>
        <v>2679.25</v>
      </c>
      <c r="AT69" s="20">
        <f>IF(AT68="","",-'M2 TD amort'!AH36)</f>
        <v>2966.75</v>
      </c>
      <c r="AU69" s="20">
        <f>IF(AU68="","",-'M2 TD amort'!AI36)</f>
        <v>3006.59</v>
      </c>
      <c r="AV69" s="20">
        <f>IF(AV68="","",-'M2 TD amort'!AJ36)</f>
        <v>2836.24</v>
      </c>
      <c r="AW69" s="20">
        <f>IF(AW68="","",-'M2 TD amort'!AK36)</f>
        <v>2518.7800000000002</v>
      </c>
      <c r="AX69" s="20">
        <f>IF(AX68="","",-'M2 TD amort'!AL36)</f>
        <v>2370.0100000000002</v>
      </c>
      <c r="AY69" s="20">
        <f>IF(AY68="","",-'M2 TD amort'!AM36)</f>
        <v>2508.15</v>
      </c>
      <c r="AZ69" s="20">
        <f>IF(AZ68="","",-'M2 TD amort'!AN36)</f>
        <v>-43670.64</v>
      </c>
      <c r="BA69" s="20">
        <f>IF(BA68="","",-'M2 TD amort'!AO36)</f>
        <v>-24903.919999999998</v>
      </c>
      <c r="BB69" s="20">
        <f>IF(BB68="","",-'M2 TD amort'!AP36)</f>
        <v>-28515.46</v>
      </c>
      <c r="BC69" s="20">
        <f>IF(BC68="","",-'M2 TD amort'!AQ36)</f>
        <v>-28951.69</v>
      </c>
      <c r="BD69" s="20">
        <f>IF(BD68="","",-'M2 TD amort'!AR36)</f>
        <v>-7358.44</v>
      </c>
      <c r="BE69" s="20">
        <f>IF(BE68="","",-'M2 TD amort'!AS36)</f>
        <v>-32544.66</v>
      </c>
      <c r="BF69" s="20">
        <f>IF(BF68="","",-'M2 TD amort'!AT36)</f>
        <v>-33521.589999999997</v>
      </c>
      <c r="BG69" s="20">
        <f>IF(BG68="","",-'M2 TD amort'!AU36)</f>
        <v>-33998.61</v>
      </c>
      <c r="BH69" s="20">
        <f>IF(BH68="","",-'M2 TD amort'!AV36)</f>
        <v>-29947.3</v>
      </c>
      <c r="BI69" s="20">
        <f>IF(BI68="","",-'M2 TD amort'!AW36)</f>
        <v>-29372.76</v>
      </c>
      <c r="BJ69" s="20">
        <f>IF(BJ68="","",-'M2 TD amort'!AX36)</f>
        <v>-29994.51</v>
      </c>
      <c r="BK69" s="20">
        <f>IF(BK68="","",-'M2 TD amort'!AY36)</f>
        <v>-27431.4</v>
      </c>
      <c r="BL69" s="20">
        <f>IF(BL68="","",-'M2 TD amort'!AZ36)</f>
        <v>-37690.370000000003</v>
      </c>
      <c r="BM69" s="20">
        <f>IF(BM68="","",-'M2 TD amort'!BA36)</f>
        <v>999.06</v>
      </c>
      <c r="BN69" s="20">
        <f>IF(BN68="","",-'M2 TD amort'!BB36)</f>
        <v>-1068.3499999999999</v>
      </c>
      <c r="BO69" s="20">
        <f>IF(BO68="","",-'M2 TD amort'!BC36)</f>
        <v>-1085.3800000000001</v>
      </c>
      <c r="BP69" s="20">
        <f>IF(BP68="","",-'M2 TD amort'!BD36)</f>
        <v>-1047.53</v>
      </c>
      <c r="BQ69" s="20">
        <f>IF(BQ68="","",-'M2 TD amort'!BE36)</f>
        <v>-1336.85</v>
      </c>
      <c r="BR69" s="20">
        <f>IF(BR68="","",-'M2 TD amort'!BF36)</f>
        <v>-1272.6199999999999</v>
      </c>
      <c r="BS69" s="20">
        <f>IF(BS68="","",-'M2 TD amort'!BG36)</f>
        <v>-1376.1</v>
      </c>
      <c r="BT69" s="20">
        <f>IF(BT68="","",-'M2 TD amort'!BH36)</f>
        <v>-1261.3</v>
      </c>
      <c r="BU69" s="20">
        <f>IF(BU68="","",-'M2 TD amort'!BI36)</f>
        <v>-837.34</v>
      </c>
      <c r="BV69" s="20">
        <f>IF(BV68="","",-'M2 TD amort'!BJ36)</f>
        <v>-1174.03</v>
      </c>
      <c r="BW69" s="20">
        <f>IF(BW68="","",-'M2 TD amort'!BK36)</f>
        <v>-1093.94</v>
      </c>
      <c r="BX69" s="20">
        <f>IF(BX68="","",-'M2 TD amort'!BL36)</f>
        <v>-595.17999999999995</v>
      </c>
      <c r="BY69" s="20">
        <f>IF(BY68="","",-'M2 TD amort'!BM36)</f>
        <v>2111.9699999999998</v>
      </c>
      <c r="BZ69" s="20">
        <f>IF(BZ68="","",-'M2 TD amort'!BN36)</f>
        <v>9939.4599999999991</v>
      </c>
      <c r="CA69" s="20">
        <f>IF(CA68="","",-'M2 TD amort'!BO36)</f>
        <v>1923.43</v>
      </c>
      <c r="CB69" s="20">
        <f>IF(CB68="","",-'M2 TD amort'!BP36)</f>
        <v>2344.67</v>
      </c>
      <c r="CC69" s="20">
        <f>IF(CC68="","",-'M2 TD amort'!BQ36)</f>
        <v>2689.87</v>
      </c>
      <c r="CD69" s="20">
        <f>IF(CD68="","",-'M2 TD amort'!BR36)</f>
        <v>2659.72</v>
      </c>
      <c r="CE69" s="20">
        <f>IF(CE68="","",-'M2 TD amort'!BS36)</f>
        <v>2772.83</v>
      </c>
      <c r="CF69" s="20">
        <f>IF(CF68="","",-'M2 TD amort'!BT36)</f>
        <v>2382.11</v>
      </c>
      <c r="CG69" s="20">
        <f>IF(CG68="","",-'M2 TD amort'!BU36)</f>
        <v>2379.37</v>
      </c>
      <c r="CH69" s="20">
        <f>IF(CH68="","",-'M2 TD amort'!BV36)</f>
        <v>2335.83</v>
      </c>
      <c r="CI69" s="20">
        <f>IF(CI68="","",-'M2 TD amort'!BW36)</f>
        <v>1971.85</v>
      </c>
      <c r="CJ69" s="20">
        <f>IF(CJ68="","",-'M2 TD amort'!BX36)</f>
        <v>1623.82</v>
      </c>
      <c r="CK69" s="20">
        <f>IF(CK68="","",-'M2 TD amort'!BY36)</f>
        <v>8.4700000000000006</v>
      </c>
      <c r="CL69" s="20">
        <f>IF(CL68="","",-'M2 TD amort'!BZ36)</f>
        <v>0</v>
      </c>
      <c r="CM69" s="20">
        <f>IF(CM68="","",-'M2 TD amort'!CA36)</f>
        <v>0</v>
      </c>
      <c r="CN69" s="20">
        <f>IF(CN68="","",-'M2 TD amort'!CB36)</f>
        <v>0</v>
      </c>
      <c r="CO69" s="20">
        <f>IF(CO68="","",-'M2 TD amort'!CC36)</f>
        <v>0</v>
      </c>
      <c r="CP69" s="20">
        <f>IF(CP68="","",-'M2 TD amort'!CD36)</f>
        <v>0</v>
      </c>
      <c r="CQ69" s="20">
        <f>IF(CQ68="","",-'M2 TD amort'!CE36)</f>
        <v>0</v>
      </c>
      <c r="CR69" s="20">
        <f>IF(CR68="","",-'M2 TD amort'!CF36)</f>
        <v>0</v>
      </c>
      <c r="CS69" s="20">
        <f>IF(CS68="","",-'M2 TD amort'!CG36)</f>
        <v>0</v>
      </c>
      <c r="CT69" s="20">
        <f>IF(CT68="","",-'M2 TD amort'!CH36)</f>
        <v>0</v>
      </c>
      <c r="CU69" s="20">
        <f>IF(CU68="","",-'M2 TD amort'!CI36)</f>
        <v>0</v>
      </c>
    </row>
    <row r="70" spans="1:99" s="4" customFormat="1" ht="15" hidden="1" customHeight="1" outlineLevel="1" x14ac:dyDescent="0.25">
      <c r="A70" s="292"/>
      <c r="B70" s="16" t="s">
        <v>52</v>
      </c>
      <c r="C70" s="24"/>
      <c r="D70" s="24"/>
      <c r="E70" s="7"/>
      <c r="F70" s="7"/>
      <c r="G70" s="7"/>
      <c r="H70" s="7"/>
      <c r="I70" s="7"/>
      <c r="J70" s="7"/>
      <c r="K70" s="7"/>
      <c r="L70" s="7"/>
      <c r="M70" s="7"/>
      <c r="N70" s="7"/>
      <c r="O70" s="7">
        <f>IF(OR(O69="",O68=""),"",O68+O69)</f>
        <v>7958.8</v>
      </c>
      <c r="P70" s="7">
        <f t="shared" ref="P70" si="858">IF(OR(P69="",P68=""),"",P68+P69)</f>
        <v>54775.929999999993</v>
      </c>
      <c r="Q70" s="7">
        <f t="shared" ref="Q70" si="859">IF(OR(Q69="",Q68=""),"",Q68+Q69)</f>
        <v>45312.149999999994</v>
      </c>
      <c r="R70" s="7">
        <f t="shared" ref="R70" si="860">IF(OR(R69="",R68=""),"",R68+R69)</f>
        <v>48040.7912572317</v>
      </c>
      <c r="S70" s="7">
        <f t="shared" ref="S70" si="861">IF(OR(S69="",S68=""),"",S68+S69)</f>
        <v>49183.11550820581</v>
      </c>
      <c r="T70" s="7">
        <f t="shared" ref="T70" si="862">IF(OR(T69="",T68=""),"",T68+T69)</f>
        <v>58752.871023161832</v>
      </c>
      <c r="U70" s="7">
        <f t="shared" ref="U70" si="863">IF(OR(U69="",U68=""),"",U68+U69)</f>
        <v>55342.636030326219</v>
      </c>
      <c r="V70" s="7">
        <f t="shared" ref="V70" si="864">IF(OR(V69="",V68=""),"",V68+V69)</f>
        <v>61325.150325681811</v>
      </c>
      <c r="W70" s="7">
        <f t="shared" ref="W70" si="865">IF(OR(W69="",W68=""),"",W68+W69)</f>
        <v>58560.574709311739</v>
      </c>
      <c r="X70" s="7">
        <f t="shared" ref="X70" si="866">IF(OR(X69="",X68=""),"",X68+X69)</f>
        <v>55897.976735500386</v>
      </c>
      <c r="Y70" s="7">
        <f t="shared" ref="Y70" si="867">IF(OR(Y69="",Y68=""),"",Y68+Y69)</f>
        <v>52861.569437911938</v>
      </c>
      <c r="Z70" s="7">
        <f t="shared" ref="Z70" si="868">IF(OR(Z69="",Z68=""),"",Z68+Z69)</f>
        <v>48116.300587848353</v>
      </c>
      <c r="AA70" s="7">
        <f t="shared" ref="AA70" si="869">IF(OR(AA69="",AA68=""),"",AA68+AA69)</f>
        <v>48285.675918900321</v>
      </c>
      <c r="AB70" s="7">
        <f>IF(OR(AB69="",AB68=""),"",AB68+AB69)</f>
        <v>265273.27999999997</v>
      </c>
      <c r="AC70" s="7">
        <f t="shared" ref="AC70" si="870">IF(OR(AC69="",AC68=""),"",AC68+AC69)</f>
        <v>43959.841410991881</v>
      </c>
      <c r="AD70" s="7">
        <f t="shared" ref="AD70" si="871">IF(OR(AD69="",AD68=""),"",AD68+AD69)</f>
        <v>41810.636289049195</v>
      </c>
      <c r="AE70" s="7">
        <f t="shared" ref="AE70" si="872">IF(OR(AE69="",AE68=""),"",AE68+AE69)</f>
        <v>48460.600022199695</v>
      </c>
      <c r="AF70" s="7">
        <f t="shared" ref="AF70" si="873">IF(OR(AF69="",AF68=""),"",AF68+AF69)</f>
        <v>53702.882550633665</v>
      </c>
      <c r="AG70" s="7">
        <f t="shared" ref="AG70" si="874">IF(OR(AG69="",AG68=""),"",AG68+AG69)</f>
        <v>31675.3939894865</v>
      </c>
      <c r="AH70" s="7">
        <f t="shared" ref="AH70" si="875">IF(OR(AH69="",AH68=""),"",AH68+AH69)</f>
        <v>55254.061907757452</v>
      </c>
      <c r="AI70" s="7">
        <f t="shared" ref="AI70" si="876">IF(OR(AI69="",AI68=""),"",AI68+AI69)</f>
        <v>51947.604844989539</v>
      </c>
      <c r="AJ70" s="7">
        <f t="shared" ref="AJ70" si="877">IF(OR(AJ69="",AJ68=""),"",AJ68+AJ69)</f>
        <v>51243.430934578442</v>
      </c>
      <c r="AK70" s="7">
        <f t="shared" ref="AK70" si="878">IF(OR(AK69="",AK68=""),"",AK68+AK69)</f>
        <v>47740.608336856269</v>
      </c>
      <c r="AL70" s="7">
        <f t="shared" ref="AL70" si="879">IF(OR(AL69="",AL68=""),"",AL68+AL69)</f>
        <v>46076.271759142779</v>
      </c>
      <c r="AM70" s="7">
        <f t="shared" ref="AM70:BJ70" si="880">IF(OR(AM69="",AM68=""),"",AM68+AM69)</f>
        <v>52373.403385468089</v>
      </c>
      <c r="AN70" s="7">
        <f t="shared" si="880"/>
        <v>40387.244638059878</v>
      </c>
      <c r="AO70" s="7">
        <f t="shared" si="880"/>
        <v>64515.388385837592</v>
      </c>
      <c r="AP70" s="7">
        <f t="shared" si="880"/>
        <v>64619.711788111708</v>
      </c>
      <c r="AQ70" s="7">
        <f t="shared" si="880"/>
        <v>63375.411080169652</v>
      </c>
      <c r="AR70" s="7">
        <f t="shared" si="880"/>
        <v>79909.611873120681</v>
      </c>
      <c r="AS70" s="7">
        <f t="shared" si="880"/>
        <v>74284.840509478847</v>
      </c>
      <c r="AT70" s="7">
        <f t="shared" si="880"/>
        <v>82219.076006964737</v>
      </c>
      <c r="AU70" s="7">
        <f t="shared" si="880"/>
        <v>83425.013982704389</v>
      </c>
      <c r="AV70" s="7">
        <f t="shared" si="880"/>
        <v>78750.845849404082</v>
      </c>
      <c r="AW70" s="7">
        <f t="shared" si="880"/>
        <v>69602.965364881602</v>
      </c>
      <c r="AX70" s="7">
        <f t="shared" si="880"/>
        <v>65226.758290520287</v>
      </c>
      <c r="AY70" s="7">
        <f t="shared" si="880"/>
        <v>68967.38020522015</v>
      </c>
      <c r="AZ70" s="7">
        <f t="shared" si="880"/>
        <v>22759.605030828316</v>
      </c>
      <c r="BA70" s="7">
        <f t="shared" si="880"/>
        <v>13604.665383210529</v>
      </c>
      <c r="BB70" s="7">
        <f t="shared" si="880"/>
        <v>15624.252667457273</v>
      </c>
      <c r="BC70" s="7">
        <f t="shared" si="880"/>
        <v>15879.630451790817</v>
      </c>
      <c r="BD70" s="7">
        <f t="shared" si="880"/>
        <v>3941.2378425748711</v>
      </c>
      <c r="BE70" s="7">
        <f t="shared" si="880"/>
        <v>17859.117431042647</v>
      </c>
      <c r="BF70" s="7">
        <f t="shared" si="880"/>
        <v>18403.188274542306</v>
      </c>
      <c r="BG70" s="7">
        <f t="shared" si="880"/>
        <v>18674.438419221035</v>
      </c>
      <c r="BH70" s="7">
        <f t="shared" si="880"/>
        <v>16448.296252741839</v>
      </c>
      <c r="BI70" s="7">
        <f t="shared" si="880"/>
        <v>16112.768963265476</v>
      </c>
      <c r="BJ70" s="7">
        <f t="shared" si="880"/>
        <v>16429.887026326451</v>
      </c>
      <c r="BK70" s="7">
        <f t="shared" ref="BK70:BL70" si="881">IF(OR(BK69="",BK68=""),"",BK68+BK69)</f>
        <v>15012.811387439615</v>
      </c>
      <c r="BL70" s="7">
        <f t="shared" si="881"/>
        <v>155.57077531777759</v>
      </c>
      <c r="BM70" s="7">
        <f t="shared" ref="BM70:BN70" si="882">IF(OR(BM69="",BM68=""),"",BM68+BM69)</f>
        <v>267.72299838432491</v>
      </c>
      <c r="BN70" s="7">
        <f t="shared" si="882"/>
        <v>369.44994222177365</v>
      </c>
      <c r="BO70" s="7">
        <f t="shared" ref="BO70:BP70" si="883">IF(OR(BO69="",BO68=""),"",BO68+BO69)</f>
        <v>363.46256672510322</v>
      </c>
      <c r="BP70" s="7">
        <f t="shared" si="883"/>
        <v>333.25215122771056</v>
      </c>
      <c r="BQ70" s="7">
        <f t="shared" ref="BQ70:BR70" si="884">IF(OR(BQ69="",BQ68=""),"",BQ68+BQ69)</f>
        <v>430.41049267934022</v>
      </c>
      <c r="BR70" s="7">
        <f t="shared" si="884"/>
        <v>418.9709448949834</v>
      </c>
      <c r="BS70" s="7">
        <f t="shared" ref="BS70:BT70" si="885">IF(OR(BS69="",BS68=""),"",BS68+BS69)</f>
        <v>448.89612146541776</v>
      </c>
      <c r="BT70" s="7">
        <f t="shared" si="885"/>
        <v>372.00601957284061</v>
      </c>
      <c r="BU70" s="7">
        <f t="shared" ref="BU70:BV70" si="886">IF(OR(BU69="",BU68=""),"",BU68+BU69)</f>
        <v>296.72754258450061</v>
      </c>
      <c r="BV70" s="7">
        <f t="shared" si="886"/>
        <v>539.73814765552493</v>
      </c>
      <c r="BW70" s="7">
        <f t="shared" ref="BW70:BX70" si="887">IF(OR(BW69="",BW68=""),"",BW68+BW69)</f>
        <v>434.26024954010154</v>
      </c>
      <c r="BX70" s="7">
        <f t="shared" si="887"/>
        <v>284.88349454617583</v>
      </c>
      <c r="BY70" s="7">
        <f t="shared" ref="BY70:BZ70" si="888">IF(OR(BY69="",BY68=""),"",BY68+BY69)</f>
        <v>14.195044080718162</v>
      </c>
      <c r="BZ70" s="7">
        <f t="shared" si="888"/>
        <v>-2.1002511884671549</v>
      </c>
      <c r="CA70" s="7">
        <f t="shared" ref="CA70:CB70" si="889">IF(OR(CA69="",CA68=""),"",CA68+CA69)</f>
        <v>6.7542238990386068</v>
      </c>
      <c r="CB70" s="7">
        <f t="shared" si="889"/>
        <v>8.0519968952989984</v>
      </c>
      <c r="CC70" s="7">
        <f t="shared" ref="CC70:CD70" si="890">IF(OR(CC69="",CC68=""),"",CC68+CC69)</f>
        <v>10.541003702167473</v>
      </c>
      <c r="CD70" s="7">
        <f t="shared" si="890"/>
        <v>10.846944911223545</v>
      </c>
      <c r="CE70" s="7">
        <f t="shared" ref="CE70:CF70" si="891">IF(OR(CE69="",CE68=""),"",CE68+CE69)</f>
        <v>10.788743416511352</v>
      </c>
      <c r="CF70" s="7">
        <f t="shared" si="891"/>
        <v>9.1391722857392779</v>
      </c>
      <c r="CG70" s="7">
        <f t="shared" ref="CG70:CH70" si="892">IF(OR(CG69="",CG68=""),"",CG68+CG69)</f>
        <v>10.342903612510327</v>
      </c>
      <c r="CH70" s="7">
        <f t="shared" si="892"/>
        <v>14.978805891943466</v>
      </c>
      <c r="CI70" s="7">
        <f t="shared" ref="CI70:CJ70" si="893">IF(OR(CI69="",CI68=""),"",CI68+CI69)</f>
        <v>13.730976892553599</v>
      </c>
      <c r="CJ70" s="7">
        <f t="shared" si="893"/>
        <v>-0.15775565998819729</v>
      </c>
      <c r="CK70" s="7">
        <f t="shared" ref="CK70:CL70" si="894">IF(OR(CK69="",CK68=""),"",CK68+CK69)</f>
        <v>-23.257229387163342</v>
      </c>
      <c r="CL70" s="7">
        <f t="shared" si="894"/>
        <v>-21.913770259463259</v>
      </c>
      <c r="CM70" s="7">
        <f t="shared" ref="CM70:CN70" si="895">IF(OR(CM69="",CM68=""),"",CM68+CM69)</f>
        <v>-19.431521380489585</v>
      </c>
      <c r="CN70" s="7">
        <f t="shared" si="895"/>
        <v>-23.007750837930821</v>
      </c>
      <c r="CO70" s="7">
        <f t="shared" ref="CO70:CP70" si="896">IF(OR(CO69="",CO68=""),"",CO68+CO69)</f>
        <v>-23.519135312415173</v>
      </c>
      <c r="CP70" s="7">
        <f t="shared" si="896"/>
        <v>-27.323845680704316</v>
      </c>
      <c r="CQ70" s="7">
        <f t="shared" ref="CQ70:CR70" si="897">IF(OR(CQ69="",CQ68=""),"",CQ68+CQ69)</f>
        <v>-29.041239780857424</v>
      </c>
      <c r="CR70" s="7">
        <f t="shared" si="897"/>
        <v>-28.609465326327861</v>
      </c>
      <c r="CS70" s="7">
        <f t="shared" ref="CS70:CT70" si="898">IF(OR(CS69="",CS68=""),"",CS68+CS69)</f>
        <v>-26.659825343432857</v>
      </c>
      <c r="CT70" s="7">
        <f t="shared" si="898"/>
        <v>-36.245125401328671</v>
      </c>
      <c r="CU70" s="7">
        <f t="shared" ref="CU70" si="899">IF(OR(CU69="",CU68=""),"",CU68+CU69)</f>
        <v>-35.313906986189053</v>
      </c>
    </row>
    <row r="71" spans="1:99" s="4" customFormat="1" hidden="1" outlineLevel="1" x14ac:dyDescent="0.25">
      <c r="A71" s="292"/>
      <c r="B71" s="16" t="s">
        <v>13</v>
      </c>
      <c r="C71" s="24"/>
      <c r="D71" s="24"/>
      <c r="E71" s="7">
        <f t="shared" ref="E71:M71" si="900">IF(OR(E68="",E67=""),"",E67-E68)</f>
        <v>0</v>
      </c>
      <c r="F71" s="7">
        <f t="shared" si="900"/>
        <v>0</v>
      </c>
      <c r="G71" s="7">
        <f t="shared" si="900"/>
        <v>0</v>
      </c>
      <c r="H71" s="7">
        <f t="shared" si="900"/>
        <v>-4867.8</v>
      </c>
      <c r="I71" s="7">
        <f t="shared" si="900"/>
        <v>-9168.5600000000013</v>
      </c>
      <c r="J71" s="7">
        <f t="shared" si="900"/>
        <v>-8265.5672024542127</v>
      </c>
      <c r="K71" s="7">
        <f t="shared" si="900"/>
        <v>-8316.2787585622791</v>
      </c>
      <c r="L71" s="7">
        <f t="shared" si="900"/>
        <v>-7378.5600586516821</v>
      </c>
      <c r="M71" s="7">
        <f t="shared" si="900"/>
        <v>-6146.6731166039754</v>
      </c>
      <c r="N71" s="7">
        <f>IF(OR(N68="",N67=""),"",N67-N68)</f>
        <v>-4777.3815174660513</v>
      </c>
      <c r="O71" s="7">
        <f>IF(OR(O70="",O67=""),"",O67-O70)</f>
        <v>-2049.3166664006667</v>
      </c>
      <c r="P71" s="7">
        <f t="shared" ref="P71:AM71" si="901">IF(OR(P70="",P67=""),"",P67-P70)</f>
        <v>-48350.915268708348</v>
      </c>
      <c r="Q71" s="7">
        <f t="shared" si="901"/>
        <v>-36206.136650571287</v>
      </c>
      <c r="R71" s="7">
        <f t="shared" si="901"/>
        <v>-39650.027412307885</v>
      </c>
      <c r="S71" s="7">
        <f t="shared" si="901"/>
        <v>-38185.736070598461</v>
      </c>
      <c r="T71" s="7">
        <f t="shared" si="901"/>
        <v>-37896.776616526899</v>
      </c>
      <c r="U71" s="7">
        <f t="shared" si="901"/>
        <v>-26004.596030326225</v>
      </c>
      <c r="V71" s="7">
        <f t="shared" si="901"/>
        <v>-33401.779402041786</v>
      </c>
      <c r="W71" s="7">
        <f t="shared" si="901"/>
        <v>-31576.853174176278</v>
      </c>
      <c r="X71" s="7">
        <f t="shared" si="901"/>
        <v>-36426.788459119867</v>
      </c>
      <c r="Y71" s="7">
        <f t="shared" si="901"/>
        <v>-33890.091403696264</v>
      </c>
      <c r="Z71" s="7">
        <f t="shared" si="901"/>
        <v>-27278.267767551122</v>
      </c>
      <c r="AA71" s="7">
        <f t="shared" si="901"/>
        <v>-24178.227471949056</v>
      </c>
      <c r="AB71" s="7">
        <f t="shared" si="901"/>
        <v>-243380.21761713509</v>
      </c>
      <c r="AC71" s="7">
        <f t="shared" si="901"/>
        <v>-19879.60897848463</v>
      </c>
      <c r="AD71" s="7">
        <f t="shared" si="901"/>
        <v>-16113.301366946285</v>
      </c>
      <c r="AE71" s="7">
        <f t="shared" si="901"/>
        <v>-13757.572423311656</v>
      </c>
      <c r="AF71" s="7">
        <f t="shared" si="901"/>
        <v>21816.593806674085</v>
      </c>
      <c r="AG71" s="7">
        <f t="shared" si="901"/>
        <v>68598.032867682254</v>
      </c>
      <c r="AH71" s="7">
        <f t="shared" si="901"/>
        <v>30245.446677447922</v>
      </c>
      <c r="AI71" s="7">
        <f t="shared" si="901"/>
        <v>17450.21563053484</v>
      </c>
      <c r="AJ71" s="7">
        <f t="shared" si="901"/>
        <v>-13422.286517747358</v>
      </c>
      <c r="AK71" s="7">
        <f t="shared" si="901"/>
        <v>-11875.510159017416</v>
      </c>
      <c r="AL71" s="7">
        <f t="shared" si="901"/>
        <v>-3171.0267414501286</v>
      </c>
      <c r="AM71" s="7">
        <f t="shared" si="901"/>
        <v>-3432.1501895366673</v>
      </c>
      <c r="AN71" s="7">
        <f t="shared" ref="AN71:BJ71" si="902">IF(OR(AN70="",AN67=""),"",AN67-AN70)</f>
        <v>5348.9611413641251</v>
      </c>
      <c r="AO71" s="7">
        <f t="shared" si="902"/>
        <v>-2720.3933020732293</v>
      </c>
      <c r="AP71" s="7">
        <f t="shared" si="902"/>
        <v>-8460.3881690972776</v>
      </c>
      <c r="AQ71" s="7">
        <f t="shared" si="902"/>
        <v>2740.6854848302755</v>
      </c>
      <c r="AR71" s="7">
        <f t="shared" si="902"/>
        <v>116426.56950345435</v>
      </c>
      <c r="AS71" s="7">
        <f t="shared" si="902"/>
        <v>187482.70675502185</v>
      </c>
      <c r="AT71" s="7">
        <f t="shared" si="902"/>
        <v>149987.91039283545</v>
      </c>
      <c r="AU71" s="7">
        <f t="shared" si="902"/>
        <v>66276.47400994772</v>
      </c>
      <c r="AV71" s="7">
        <f t="shared" si="902"/>
        <v>-14769.169913396392</v>
      </c>
      <c r="AW71" s="7">
        <f t="shared" si="902"/>
        <v>-13471.709065326839</v>
      </c>
      <c r="AX71" s="7">
        <f t="shared" si="902"/>
        <v>-8053.6854574722092</v>
      </c>
      <c r="AY71" s="7">
        <f t="shared" si="902"/>
        <v>-7715.4424779332985</v>
      </c>
      <c r="AZ71" s="7">
        <f t="shared" si="902"/>
        <v>32005.854981272169</v>
      </c>
      <c r="BA71" s="7">
        <f t="shared" si="902"/>
        <v>41620.751134158556</v>
      </c>
      <c r="BB71" s="7">
        <f t="shared" si="902"/>
        <v>-15624.252667457273</v>
      </c>
      <c r="BC71" s="7">
        <f t="shared" si="902"/>
        <v>-16021.877245439395</v>
      </c>
      <c r="BD71" s="7">
        <f t="shared" si="902"/>
        <v>-3941.2378425748711</v>
      </c>
      <c r="BE71" s="7">
        <f t="shared" si="902"/>
        <v>-17859.117431042647</v>
      </c>
      <c r="BF71" s="7">
        <f t="shared" si="902"/>
        <v>-18403.188274542306</v>
      </c>
      <c r="BG71" s="7">
        <f t="shared" si="902"/>
        <v>-18674.438419221035</v>
      </c>
      <c r="BH71" s="7">
        <f t="shared" si="902"/>
        <v>-16448.296252741839</v>
      </c>
      <c r="BI71" s="7">
        <f t="shared" si="902"/>
        <v>-16112.768963265476</v>
      </c>
      <c r="BJ71" s="7">
        <f t="shared" si="902"/>
        <v>-16429.887026326451</v>
      </c>
      <c r="BK71" s="7">
        <f t="shared" ref="BK71:BL71" si="903">IF(OR(BK70="",BK67=""),"",BK67-BK70)</f>
        <v>-15012.811387439615</v>
      </c>
      <c r="BL71" s="7">
        <f t="shared" si="903"/>
        <v>-155.57077531777759</v>
      </c>
      <c r="BM71" s="7">
        <f t="shared" ref="BM71:BN71" si="904">IF(OR(BM70="",BM67=""),"",BM67-BM70)</f>
        <v>-267.72299838432491</v>
      </c>
      <c r="BN71" s="7">
        <f t="shared" si="904"/>
        <v>-369.44994222177365</v>
      </c>
      <c r="BO71" s="7">
        <f t="shared" ref="BO71:BP71" si="905">IF(OR(BO70="",BO67=""),"",BO67-BO70)</f>
        <v>-363.46256672510322</v>
      </c>
      <c r="BP71" s="7">
        <f t="shared" si="905"/>
        <v>-333.25215122771056</v>
      </c>
      <c r="BQ71" s="7">
        <f t="shared" ref="BQ71:BR71" si="906">IF(OR(BQ70="",BQ67=""),"",BQ67-BQ70)</f>
        <v>-430.41049267934022</v>
      </c>
      <c r="BR71" s="7">
        <f t="shared" si="906"/>
        <v>-520.12094489489027</v>
      </c>
      <c r="BS71" s="7">
        <f t="shared" ref="BS71:BT71" si="907">IF(OR(BS70="",BS67=""),"",BS67-BS70)</f>
        <v>-557.05612146556678</v>
      </c>
      <c r="BT71" s="7">
        <f t="shared" si="907"/>
        <v>-439.52601957285924</v>
      </c>
      <c r="BU71" s="7">
        <f t="shared" ref="BU71:BV71" si="908">IF(OR(BU70="",BU67=""),"",BU67-BU70)</f>
        <v>-350.91754258444473</v>
      </c>
      <c r="BV71" s="7">
        <f t="shared" si="908"/>
        <v>-596.31814765559943</v>
      </c>
      <c r="BW71" s="7">
        <f t="shared" ref="BW71:BX71" si="909">IF(OR(BW70="",BW67=""),"",BW67-BW70)</f>
        <v>-495.44024953980352</v>
      </c>
      <c r="BX71" s="7">
        <f t="shared" si="909"/>
        <v>-336.35349454638072</v>
      </c>
      <c r="BY71" s="7">
        <f t="shared" ref="BY71:BZ71" si="910">IF(OR(BY70="",BY67=""),"",BY67-BY70)</f>
        <v>-14.195044080718162</v>
      </c>
      <c r="BZ71" s="7">
        <f t="shared" si="910"/>
        <v>2.1002511884671549</v>
      </c>
      <c r="CA71" s="7">
        <f t="shared" ref="CA71:CB71" si="911">IF(OR(CA70="",CA67=""),"",CA67-CA70)</f>
        <v>-6.7542238990386068</v>
      </c>
      <c r="CB71" s="7">
        <f t="shared" si="911"/>
        <v>-8.0519968952989984</v>
      </c>
      <c r="CC71" s="7">
        <f t="shared" ref="CC71:CD71" si="912">IF(OR(CC70="",CC67=""),"",CC67-CC70)</f>
        <v>-10.541003702167473</v>
      </c>
      <c r="CD71" s="7">
        <f t="shared" si="912"/>
        <v>-10.846944911223545</v>
      </c>
      <c r="CE71" s="7">
        <f t="shared" ref="CE71" si="913">IF(OR(CE70="",CE67=""),"",CE67-CE70)</f>
        <v>-10.788743416511352</v>
      </c>
      <c r="CF71" s="126">
        <f>IF(OR(CF70="",CF67=""),"",CF67-CF70)+CF66</f>
        <v>-426.72624798670267</v>
      </c>
      <c r="CG71" s="7">
        <f t="shared" ref="CG71:CL71" si="914">IF(OR(CG70="",CG67=""),"",CG67-CG70)</f>
        <v>-10.342903612510327</v>
      </c>
      <c r="CH71" s="7">
        <f t="shared" si="914"/>
        <v>-14.978805891943466</v>
      </c>
      <c r="CI71" s="7">
        <f t="shared" si="914"/>
        <v>-13.730976892553599</v>
      </c>
      <c r="CJ71" s="7">
        <f t="shared" si="914"/>
        <v>0.15775565998819729</v>
      </c>
      <c r="CK71" s="7">
        <f t="shared" si="914"/>
        <v>23.257229387163342</v>
      </c>
      <c r="CL71" s="7">
        <f t="shared" si="914"/>
        <v>21.913770259463259</v>
      </c>
      <c r="CM71" s="7">
        <f t="shared" ref="CM71:CN71" si="915">IF(OR(CM70="",CM67=""),"",CM67-CM70)</f>
        <v>19.431521380489585</v>
      </c>
      <c r="CN71" s="7">
        <f t="shared" si="915"/>
        <v>23.007750837930821</v>
      </c>
      <c r="CO71" s="7">
        <f t="shared" ref="CO71:CP71" si="916">IF(OR(CO70="",CO67=""),"",CO67-CO70)</f>
        <v>23.519135312415173</v>
      </c>
      <c r="CP71" s="7">
        <f t="shared" si="916"/>
        <v>27.323845680704316</v>
      </c>
      <c r="CQ71" s="7">
        <f t="shared" ref="CQ71:CR71" si="917">IF(OR(CQ70="",CQ67=""),"",CQ67-CQ70)</f>
        <v>29.041239780857424</v>
      </c>
      <c r="CR71" s="7">
        <f t="shared" si="917"/>
        <v>28.609465326327861</v>
      </c>
      <c r="CS71" s="7">
        <f t="shared" ref="CS71:CT71" si="918">IF(OR(CS70="",CS67=""),"",CS67-CS70)</f>
        <v>26.659825343432857</v>
      </c>
      <c r="CT71" s="7">
        <f t="shared" si="918"/>
        <v>36.245125401328671</v>
      </c>
      <c r="CU71" s="7">
        <f t="shared" ref="CU71" si="919">IF(OR(CU70="",CU67=""),"",CU67-CU70)</f>
        <v>35.313906986189053</v>
      </c>
    </row>
    <row r="72" spans="1:99" s="4" customFormat="1" hidden="1" outlineLevel="1" x14ac:dyDescent="0.25">
      <c r="A72" s="292"/>
      <c r="B72" s="17" t="s">
        <v>8</v>
      </c>
      <c r="C72" s="28"/>
      <c r="D72" s="28"/>
      <c r="E72" s="7">
        <f t="shared" ref="E72:N72" si="920">IF(OR(E9="",E71=""),"",(E71+D74)*E9/12)</f>
        <v>0</v>
      </c>
      <c r="F72" s="7">
        <f t="shared" si="920"/>
        <v>0</v>
      </c>
      <c r="G72" s="7">
        <f t="shared" si="920"/>
        <v>0</v>
      </c>
      <c r="H72" s="7">
        <f t="shared" si="920"/>
        <v>-2.5406751929999998</v>
      </c>
      <c r="I72" s="7">
        <f t="shared" si="920"/>
        <v>-7.3592268311878604</v>
      </c>
      <c r="J72" s="7">
        <f t="shared" si="920"/>
        <v>-14.215720334968864</v>
      </c>
      <c r="K72" s="7">
        <f t="shared" si="920"/>
        <v>-19.290866032814765</v>
      </c>
      <c r="L72" s="7">
        <f t="shared" si="920"/>
        <v>-24.097498279543402</v>
      </c>
      <c r="M72" s="7">
        <f t="shared" si="920"/>
        <v>-28.152975943901492</v>
      </c>
      <c r="N72" s="7">
        <f t="shared" si="920"/>
        <v>-39.30320902363826</v>
      </c>
      <c r="O72" s="8">
        <f>IF(OR(O9="",O71=""),"",(O69+O71+N74)*O9/12)</f>
        <v>-38.328823118833434</v>
      </c>
      <c r="P72" s="8">
        <f>IF(OR(P9="",P71=""),"",(P69+P71+O74+P66)*P9/12)</f>
        <v>1223.1513482939456</v>
      </c>
      <c r="Q72" s="8">
        <f t="shared" ref="Q72:AM72" si="921">IF(OR(Q9="",Q71=""),"",(Q69+Q71+P74)*Q9/12)</f>
        <v>1412.122441210915</v>
      </c>
      <c r="R72" s="8">
        <f t="shared" si="921"/>
        <v>1245.5179401969469</v>
      </c>
      <c r="S72" s="8">
        <f t="shared" si="921"/>
        <v>1077.936099071979</v>
      </c>
      <c r="T72" s="8">
        <f t="shared" si="921"/>
        <v>1084.8708441780689</v>
      </c>
      <c r="U72" s="8">
        <f t="shared" si="921"/>
        <v>861.32899790254112</v>
      </c>
      <c r="V72" s="8">
        <f t="shared" si="921"/>
        <v>656.99260968260307</v>
      </c>
      <c r="W72" s="8">
        <f t="shared" si="921"/>
        <v>412.76166434708119</v>
      </c>
      <c r="X72" s="8">
        <f t="shared" si="921"/>
        <v>180.31979486812497</v>
      </c>
      <c r="Y72" s="8">
        <f t="shared" si="921"/>
        <v>-40.883761327985937</v>
      </c>
      <c r="Z72" s="8">
        <f>IF(OR(Z9="",Z71=""),"",(Z69+Z71+Y74)*Z9/12)</f>
        <v>-293.15200686767656</v>
      </c>
      <c r="AA72" s="8">
        <f t="shared" si="921"/>
        <v>-517.15748757254585</v>
      </c>
      <c r="AB72" s="8">
        <f t="shared" si="921"/>
        <v>-674.07000893525424</v>
      </c>
      <c r="AC72" s="8">
        <f t="shared" si="921"/>
        <v>-744.50516183908019</v>
      </c>
      <c r="AD72" s="8">
        <f t="shared" si="921"/>
        <v>-818.5810955366461</v>
      </c>
      <c r="AE72" s="8">
        <f t="shared" si="921"/>
        <v>-749.30329732821622</v>
      </c>
      <c r="AF72" s="8">
        <f t="shared" si="921"/>
        <v>-672.35711291424161</v>
      </c>
      <c r="AG72" s="8">
        <f t="shared" si="921"/>
        <v>-519.11851294545033</v>
      </c>
      <c r="AH72" s="8">
        <f t="shared" si="921"/>
        <v>-388.99847484623848</v>
      </c>
      <c r="AI72" s="8">
        <f t="shared" si="921"/>
        <v>-292.78610343929927</v>
      </c>
      <c r="AJ72" s="8">
        <f t="shared" si="921"/>
        <v>-270.66877582879988</v>
      </c>
      <c r="AK72" s="8">
        <f t="shared" si="921"/>
        <v>-239.80230007797388</v>
      </c>
      <c r="AL72" s="8">
        <f t="shared" si="921"/>
        <v>-201.15164686801617</v>
      </c>
      <c r="AM72" s="8">
        <f t="shared" si="921"/>
        <v>-138.9017157601111</v>
      </c>
      <c r="AN72" s="8">
        <f t="shared" ref="AN72" si="922">IF(OR(AN9="",AN71=""),"",(AN69+AN71+AM74)*AN9/12)</f>
        <v>-121.59963744740622</v>
      </c>
      <c r="AO72" s="8">
        <f t="shared" ref="AO72" si="923">IF(OR(AO9="",AO71=""),"",(AO69+AO71+AN74)*AO9/12)</f>
        <v>-120.48696817003263</v>
      </c>
      <c r="AP72" s="8">
        <f t="shared" ref="AP72" si="924">IF(OR(AP9="",AP71=""),"",(AP69+AP71+AO74)*AP9/12)</f>
        <v>-128.90292261641707</v>
      </c>
      <c r="AQ72" s="8">
        <f t="shared" ref="AQ72" si="925">IF(OR(AQ9="",AQ71=""),"",(AQ69+AQ71+AP74)*AQ9/12)</f>
        <v>-118.70789756049489</v>
      </c>
      <c r="AR72" s="8">
        <f t="shared" ref="AR72" si="926">IF(OR(AR9="",AR71=""),"",(AR69+AR71+AQ74)*AR9/12)</f>
        <v>145.71102213179589</v>
      </c>
      <c r="AS72" s="8">
        <f t="shared" ref="AS72" si="927">IF(OR(AS9="",AS71=""),"",(AS69+AS71+AR74)*AS9/12)</f>
        <v>554.19611545558507</v>
      </c>
      <c r="AT72" s="8">
        <f t="shared" ref="AT72" si="928">IF(OR(AT9="",AT71=""),"",(AT69+AT71+AS74)*AT9/12)</f>
        <v>802.92639796449419</v>
      </c>
      <c r="AU72" s="8">
        <f t="shared" ref="AU72" si="929">IF(OR(AU9="",AU71=""),"",(AU69+AU71+AT74)*AU9/12)</f>
        <v>886.53267749609847</v>
      </c>
      <c r="AV72" s="8">
        <f t="shared" ref="AV72" si="930">IF(OR(AV9="",AV71=""),"",(AV69+AV71+AU74)*AV9/12)</f>
        <v>825.90803193275872</v>
      </c>
      <c r="AW72" s="8">
        <f t="shared" ref="AW72" si="931">IF(OR(AW9="",AW71=""),"",(AW69+AW71+AV74)*AW9/12)</f>
        <v>694.17696913377824</v>
      </c>
      <c r="AX72" s="8">
        <f t="shared" ref="AX72" si="932">IF(OR(AX9="",AX71=""),"",(AX69+AX71+AW74)*AX9/12)</f>
        <v>724.13758517464032</v>
      </c>
      <c r="AY72" s="8">
        <f t="shared" ref="AY72" si="933">IF(OR(AY9="",AY71=""),"",(AY69+AY71+AX74)*AY9/12)</f>
        <v>707.20369917464097</v>
      </c>
      <c r="AZ72" s="8">
        <f t="shared" ref="AZ72" si="934">IF(OR(AZ9="",AZ71=""),"",(AZ69+AZ71+AY74)*AZ9/12)</f>
        <v>658.72831864604416</v>
      </c>
      <c r="BA72" s="8">
        <f t="shared" ref="BA72" si="935">IF(OR(BA9="",BA71=""),"",(BA69+BA71+AZ74)*BA9/12)</f>
        <v>717.12254317057807</v>
      </c>
      <c r="BB72" s="8">
        <f t="shared" ref="BB72" si="936">IF(OR(BB9="",BB71=""),"",(BB69+BB71+BA74)*BB9/12)</f>
        <v>322.38663111860211</v>
      </c>
      <c r="BC72" s="8">
        <f t="shared" ref="BC72" si="937">IF(OR(BC9="",BC71=""),"",(BC69+BC71+BB74)*BC9/12)</f>
        <v>39.535543248427892</v>
      </c>
      <c r="BD72" s="8">
        <f t="shared" ref="BD72" si="938">IF(OR(BD9="",BD71=""),"",(BD69+BD71+BC74)*BD9/12)</f>
        <v>37.304182207531994</v>
      </c>
      <c r="BE72" s="8">
        <f t="shared" ref="BE72" si="939">IF(OR(BE9="",BE71=""),"",(BE69+BE71+BD74)*BE9/12)</f>
        <v>49.376797040892455</v>
      </c>
      <c r="BF72" s="8">
        <f t="shared" ref="BF72" si="940">IF(OR(BF9="",BF71=""),"",(BF69+BF71+BE74)*BF9/12)</f>
        <v>28.919547689701602</v>
      </c>
      <c r="BG72" s="8">
        <f t="shared" ref="BG72" si="941">IF(OR(BG9="",BG71=""),"",(BG69+BG71+BF74)*BG9/12)</f>
        <v>20.800894466713963</v>
      </c>
      <c r="BH72" s="8">
        <f t="shared" ref="BH72" si="942">IF(OR(BH9="",BH71=""),"",(BH69+BH71+BG74)*BH9/12)</f>
        <v>25.843439935710126</v>
      </c>
      <c r="BI72" s="8">
        <f>IF(OR(BI9="",BI71=""),"",(BI69+BI71+BH74)*BI9/12)</f>
        <v>23.056752712109155</v>
      </c>
      <c r="BJ72" s="8">
        <f t="shared" ref="BJ72:CH72" si="943">IF(OR(BJ9="",BJ71=""),"",(BJ69+BJ71+BI74)*BJ9/12)</f>
        <v>14.99405571181353</v>
      </c>
      <c r="BK72" s="8">
        <f t="shared" si="943"/>
        <v>3.5679906342856662</v>
      </c>
      <c r="BL72" s="8">
        <f t="shared" si="943"/>
        <v>-3.3036692668723848</v>
      </c>
      <c r="BM72" s="8">
        <f t="shared" si="943"/>
        <v>-2.9102297245637101</v>
      </c>
      <c r="BN72" s="8">
        <f t="shared" si="943"/>
        <v>-3.3364453904515003</v>
      </c>
      <c r="BO72" s="8">
        <f t="shared" si="943"/>
        <v>-3.5952356834382946</v>
      </c>
      <c r="BP72" s="8">
        <f t="shared" si="943"/>
        <v>-3.4653770784723776</v>
      </c>
      <c r="BQ72" s="8">
        <f t="shared" si="943"/>
        <v>-2.6039768284816387</v>
      </c>
      <c r="BR72" s="8">
        <f t="shared" si="943"/>
        <v>-4.1339891735321705</v>
      </c>
      <c r="BS72" s="8">
        <f t="shared" si="943"/>
        <v>-4.2067742665012018</v>
      </c>
      <c r="BT72" s="8">
        <f t="shared" si="943"/>
        <v>-3.4787004042098162</v>
      </c>
      <c r="BU72" s="8">
        <f t="shared" si="943"/>
        <v>-3.7052753332339194</v>
      </c>
      <c r="BV72" s="8">
        <f t="shared" si="943"/>
        <v>-6.6842426801800059</v>
      </c>
      <c r="BW72" s="8">
        <f t="shared" si="943"/>
        <v>-6.3284809879377741</v>
      </c>
      <c r="BX72" s="8">
        <f t="shared" si="943"/>
        <v>-8.2170381712741474</v>
      </c>
      <c r="BY72" s="8">
        <f t="shared" si="943"/>
        <v>-17.918502372297308</v>
      </c>
      <c r="BZ72" s="8">
        <f t="shared" si="943"/>
        <v>-10.665449438586032</v>
      </c>
      <c r="CA72" s="8">
        <f t="shared" si="943"/>
        <v>-15.361564936007662</v>
      </c>
      <c r="CB72" s="8">
        <f t="shared" si="943"/>
        <v>-21.159787963854146</v>
      </c>
      <c r="CC72" s="8">
        <f t="shared" si="943"/>
        <v>-24.732869096570358</v>
      </c>
      <c r="CD72" s="8">
        <f t="shared" si="943"/>
        <v>-25.227179328534643</v>
      </c>
      <c r="CE72" s="8">
        <f t="shared" si="943"/>
        <v>-21.477844950136724</v>
      </c>
      <c r="CF72" s="8">
        <f t="shared" si="943"/>
        <v>-20.635136702419569</v>
      </c>
      <c r="CG72" s="8">
        <f t="shared" si="943"/>
        <v>-17.099500829981263</v>
      </c>
      <c r="CH72" s="8">
        <f t="shared" si="943"/>
        <v>-9.5572064813603284</v>
      </c>
      <c r="CI72" s="227">
        <f>IF(OR(CI9="",CI71=""),"",(CI69+CI71+CH74+CI66)*CI9/12)+CI66</f>
        <v>-6.7118865274010009</v>
      </c>
      <c r="CJ72" s="227">
        <f t="shared" ref="CJ72:CU72" si="944">IF(OR(CJ9="",CJ71=""),"",(CJ69+CJ71+CI74)*CJ9/12)</f>
        <v>4.3718274382182267</v>
      </c>
      <c r="CK72" s="227">
        <f t="shared" si="944"/>
        <v>4.6494970248776468</v>
      </c>
      <c r="CL72" s="227">
        <f t="shared" si="944"/>
        <v>5.0073240346201029</v>
      </c>
      <c r="CM72" s="227">
        <f t="shared" si="944"/>
        <v>5.1902804575702159</v>
      </c>
      <c r="CN72" s="227">
        <f t="shared" si="944"/>
        <v>5.3833444360431137</v>
      </c>
      <c r="CO72" s="227">
        <f t="shared" si="944"/>
        <v>5.5621733898420347</v>
      </c>
      <c r="CP72" s="227">
        <f t="shared" si="944"/>
        <v>5.7929858573852373</v>
      </c>
      <c r="CQ72" s="227">
        <f t="shared" si="944"/>
        <v>5.9690334775351355</v>
      </c>
      <c r="CR72" s="227">
        <f t="shared" si="944"/>
        <v>6.108965010793912</v>
      </c>
      <c r="CS72" s="227">
        <f t="shared" si="944"/>
        <v>6.3056955206402483</v>
      </c>
      <c r="CT72" s="227">
        <f t="shared" si="944"/>
        <v>6.4905139673147145</v>
      </c>
      <c r="CU72" s="227">
        <f t="shared" si="944"/>
        <v>6.4798608084370555</v>
      </c>
    </row>
    <row r="73" spans="1:99" s="4" customFormat="1" hidden="1" outlineLevel="1" x14ac:dyDescent="0.25">
      <c r="A73" s="292"/>
      <c r="B73" s="16" t="s">
        <v>14</v>
      </c>
      <c r="C73" s="24"/>
      <c r="D73" s="24"/>
      <c r="E73" s="7">
        <f t="shared" ref="E73:N73" si="945">IF(OR(E71="",E72=""),"",E71+E72)</f>
        <v>0</v>
      </c>
      <c r="F73" s="7">
        <f t="shared" si="945"/>
        <v>0</v>
      </c>
      <c r="G73" s="7">
        <f t="shared" si="945"/>
        <v>0</v>
      </c>
      <c r="H73" s="7">
        <f t="shared" si="945"/>
        <v>-4870.3406751930006</v>
      </c>
      <c r="I73" s="7">
        <f t="shared" si="945"/>
        <v>-9175.919226831189</v>
      </c>
      <c r="J73" s="7">
        <f t="shared" si="945"/>
        <v>-8279.7829227891816</v>
      </c>
      <c r="K73" s="7">
        <f t="shared" si="945"/>
        <v>-8335.569624595093</v>
      </c>
      <c r="L73" s="7">
        <f t="shared" si="945"/>
        <v>-7402.6575569312254</v>
      </c>
      <c r="M73" s="7">
        <f t="shared" si="945"/>
        <v>-6174.8260925478771</v>
      </c>
      <c r="N73" s="7">
        <f t="shared" si="945"/>
        <v>-4816.6847264896896</v>
      </c>
      <c r="O73" s="7">
        <f>IF(OR(O71="",O72=""),"",O71+O72)</f>
        <v>-2087.6454895195002</v>
      </c>
      <c r="P73" s="7">
        <f t="shared" ref="P73:AM73" si="946">IF(OR(P71="",P72=""),"",P71+P72)</f>
        <v>-47127.7639204144</v>
      </c>
      <c r="Q73" s="7">
        <f t="shared" si="946"/>
        <v>-34794.014209360372</v>
      </c>
      <c r="R73" s="7">
        <f t="shared" si="946"/>
        <v>-38404.509472110942</v>
      </c>
      <c r="S73" s="7">
        <f t="shared" si="946"/>
        <v>-37107.799971526481</v>
      </c>
      <c r="T73" s="7">
        <f t="shared" si="946"/>
        <v>-36811.905772348829</v>
      </c>
      <c r="U73" s="7">
        <f t="shared" si="946"/>
        <v>-25143.267032423686</v>
      </c>
      <c r="V73" s="7">
        <f t="shared" si="946"/>
        <v>-32744.786792359184</v>
      </c>
      <c r="W73" s="7">
        <f t="shared" si="946"/>
        <v>-31164.091509829195</v>
      </c>
      <c r="X73" s="7">
        <f t="shared" si="946"/>
        <v>-36246.468664251741</v>
      </c>
      <c r="Y73" s="7">
        <f t="shared" si="946"/>
        <v>-33930.975165024247</v>
      </c>
      <c r="Z73" s="7">
        <f t="shared" si="946"/>
        <v>-27571.419774418799</v>
      </c>
      <c r="AA73" s="7">
        <f t="shared" si="946"/>
        <v>-24695.384959521602</v>
      </c>
      <c r="AB73" s="7">
        <f t="shared" si="946"/>
        <v>-244054.28762607035</v>
      </c>
      <c r="AC73" s="7">
        <f t="shared" si="946"/>
        <v>-20624.114140323709</v>
      </c>
      <c r="AD73" s="7">
        <f t="shared" si="946"/>
        <v>-16931.882462482932</v>
      </c>
      <c r="AE73" s="7">
        <f t="shared" si="946"/>
        <v>-14506.875720639873</v>
      </c>
      <c r="AF73" s="7">
        <f t="shared" si="946"/>
        <v>21144.236693759845</v>
      </c>
      <c r="AG73" s="7">
        <f t="shared" si="946"/>
        <v>68078.9143547368</v>
      </c>
      <c r="AH73" s="7">
        <f t="shared" si="946"/>
        <v>29856.448202601685</v>
      </c>
      <c r="AI73" s="7">
        <f t="shared" si="946"/>
        <v>17157.429527095541</v>
      </c>
      <c r="AJ73" s="7">
        <f t="shared" si="946"/>
        <v>-13692.955293576157</v>
      </c>
      <c r="AK73" s="7">
        <f t="shared" si="946"/>
        <v>-12115.31245909539</v>
      </c>
      <c r="AL73" s="7">
        <f t="shared" si="946"/>
        <v>-3372.1783883181447</v>
      </c>
      <c r="AM73" s="7">
        <f t="shared" si="946"/>
        <v>-3571.0519052967784</v>
      </c>
      <c r="AN73" s="7">
        <f t="shared" ref="AN73:BJ73" si="947">IF(OR(AN71="",AN72=""),"",AN71+AN72)</f>
        <v>5227.3615039167189</v>
      </c>
      <c r="AO73" s="7">
        <f t="shared" si="947"/>
        <v>-2840.8802702432617</v>
      </c>
      <c r="AP73" s="7">
        <f t="shared" si="947"/>
        <v>-8589.2910917136942</v>
      </c>
      <c r="AQ73" s="7">
        <f t="shared" si="947"/>
        <v>2621.9775872697805</v>
      </c>
      <c r="AR73" s="7">
        <f t="shared" si="947"/>
        <v>116572.28052558615</v>
      </c>
      <c r="AS73" s="7">
        <f t="shared" si="947"/>
        <v>188036.90287047744</v>
      </c>
      <c r="AT73" s="7">
        <f t="shared" si="947"/>
        <v>150790.83679079995</v>
      </c>
      <c r="AU73" s="7">
        <f t="shared" si="947"/>
        <v>67163.00668744382</v>
      </c>
      <c r="AV73" s="7">
        <f t="shared" si="947"/>
        <v>-13943.261881463633</v>
      </c>
      <c r="AW73" s="7">
        <f t="shared" si="947"/>
        <v>-12777.532096193061</v>
      </c>
      <c r="AX73" s="7">
        <f t="shared" si="947"/>
        <v>-7329.5478722975686</v>
      </c>
      <c r="AY73" s="7">
        <f t="shared" si="947"/>
        <v>-7008.2387787586576</v>
      </c>
      <c r="AZ73" s="7">
        <f t="shared" si="947"/>
        <v>32664.583299918213</v>
      </c>
      <c r="BA73" s="7">
        <f t="shared" si="947"/>
        <v>42337.873677329131</v>
      </c>
      <c r="BB73" s="7">
        <f t="shared" si="947"/>
        <v>-15301.86603633867</v>
      </c>
      <c r="BC73" s="7">
        <f t="shared" si="947"/>
        <v>-15982.341702190966</v>
      </c>
      <c r="BD73" s="7">
        <f t="shared" si="947"/>
        <v>-3903.9336603673391</v>
      </c>
      <c r="BE73" s="7">
        <f t="shared" si="947"/>
        <v>-17809.740634001755</v>
      </c>
      <c r="BF73" s="7">
        <f t="shared" si="947"/>
        <v>-18374.268726852606</v>
      </c>
      <c r="BG73" s="7">
        <f t="shared" si="947"/>
        <v>-18653.637524754322</v>
      </c>
      <c r="BH73" s="7">
        <f t="shared" si="947"/>
        <v>-16422.452812806128</v>
      </c>
      <c r="BI73" s="7">
        <f t="shared" si="947"/>
        <v>-16089.712210553367</v>
      </c>
      <c r="BJ73" s="7">
        <f t="shared" si="947"/>
        <v>-16414.892970614637</v>
      </c>
      <c r="BK73" s="7">
        <f t="shared" ref="BK73:BL73" si="948">IF(OR(BK71="",BK72=""),"",BK71+BK72)</f>
        <v>-15009.24339680533</v>
      </c>
      <c r="BL73" s="7">
        <f t="shared" si="948"/>
        <v>-158.87444458464998</v>
      </c>
      <c r="BM73" s="7">
        <f t="shared" ref="BM73:BN73" si="949">IF(OR(BM71="",BM72=""),"",BM71+BM72)</f>
        <v>-270.6332281088886</v>
      </c>
      <c r="BN73" s="7">
        <f t="shared" si="949"/>
        <v>-372.78638761222516</v>
      </c>
      <c r="BO73" s="7">
        <f t="shared" ref="BO73:BP73" si="950">IF(OR(BO71="",BO72=""),"",BO71+BO72)</f>
        <v>-367.05780240854153</v>
      </c>
      <c r="BP73" s="7">
        <f t="shared" si="950"/>
        <v>-336.71752830618294</v>
      </c>
      <c r="BQ73" s="7">
        <f t="shared" ref="BQ73:BR73" si="951">IF(OR(BQ71="",BQ72=""),"",BQ71+BQ72)</f>
        <v>-433.01446950782184</v>
      </c>
      <c r="BR73" s="7">
        <f t="shared" si="951"/>
        <v>-524.25493406842247</v>
      </c>
      <c r="BS73" s="7">
        <f t="shared" ref="BS73:BT73" si="952">IF(OR(BS71="",BS72=""),"",BS71+BS72)</f>
        <v>-561.26289573206793</v>
      </c>
      <c r="BT73" s="7">
        <f t="shared" si="952"/>
        <v>-443.00471997706904</v>
      </c>
      <c r="BU73" s="7">
        <f t="shared" ref="BU73:BV73" si="953">IF(OR(BU71="",BU72=""),"",BU71+BU72)</f>
        <v>-354.62281791767867</v>
      </c>
      <c r="BV73" s="7">
        <f t="shared" si="953"/>
        <v>-603.00239033577941</v>
      </c>
      <c r="BW73" s="7">
        <f t="shared" ref="BW73:BX73" si="954">IF(OR(BW71="",BW72=""),"",BW71+BW72)</f>
        <v>-501.7687305277413</v>
      </c>
      <c r="BX73" s="7">
        <f t="shared" si="954"/>
        <v>-344.57053271765488</v>
      </c>
      <c r="BY73" s="7">
        <f t="shared" ref="BY73:BZ73" si="955">IF(OR(BY71="",BY72=""),"",BY71+BY72)</f>
        <v>-32.113546453015474</v>
      </c>
      <c r="BZ73" s="7">
        <f t="shared" si="955"/>
        <v>-8.5651982501188773</v>
      </c>
      <c r="CA73" s="7">
        <f t="shared" ref="CA73:CB73" si="956">IF(OR(CA71="",CA72=""),"",CA71+CA72)</f>
        <v>-22.115788835046267</v>
      </c>
      <c r="CB73" s="7">
        <f t="shared" si="956"/>
        <v>-29.211784859153145</v>
      </c>
      <c r="CC73" s="7">
        <f t="shared" ref="CC73:CD73" si="957">IF(OR(CC71="",CC72=""),"",CC71+CC72)</f>
        <v>-35.273872798737827</v>
      </c>
      <c r="CD73" s="7">
        <f t="shared" si="957"/>
        <v>-36.074124239758191</v>
      </c>
      <c r="CE73" s="7">
        <f t="shared" ref="CE73:CF73" si="958">IF(OR(CE71="",CE72=""),"",CE71+CE72)</f>
        <v>-32.26658836664808</v>
      </c>
      <c r="CF73" s="7">
        <f t="shared" si="958"/>
        <v>-447.36138468912225</v>
      </c>
      <c r="CG73" s="7">
        <f t="shared" ref="CG73:CH73" si="959">IF(OR(CG71="",CG72=""),"",CG71+CG72)</f>
        <v>-27.44240444249159</v>
      </c>
      <c r="CH73" s="7">
        <f t="shared" si="959"/>
        <v>-24.536012373303794</v>
      </c>
      <c r="CI73" s="7">
        <f t="shared" ref="CI73:CJ73" si="960">IF(OR(CI71="",CI72=""),"",CI71+CI72)</f>
        <v>-20.442863419954598</v>
      </c>
      <c r="CJ73" s="7">
        <f t="shared" si="960"/>
        <v>4.529583098206424</v>
      </c>
      <c r="CK73" s="7">
        <f t="shared" ref="CK73:CL73" si="961">IF(OR(CK71="",CK72=""),"",CK71+CK72)</f>
        <v>27.906726412040989</v>
      </c>
      <c r="CL73" s="7">
        <f t="shared" si="961"/>
        <v>26.92109429408336</v>
      </c>
      <c r="CM73" s="7">
        <f t="shared" ref="CM73:CN73" si="962">IF(OR(CM71="",CM72=""),"",CM71+CM72)</f>
        <v>24.621801838059802</v>
      </c>
      <c r="CN73" s="7">
        <f t="shared" si="962"/>
        <v>28.391095273973935</v>
      </c>
      <c r="CO73" s="7">
        <f t="shared" ref="CO73:CP73" si="963">IF(OR(CO71="",CO72=""),"",CO71+CO72)</f>
        <v>29.081308702257207</v>
      </c>
      <c r="CP73" s="7">
        <f t="shared" si="963"/>
        <v>33.116831538089556</v>
      </c>
      <c r="CQ73" s="7">
        <f t="shared" ref="CQ73:CR73" si="964">IF(OR(CQ71="",CQ72=""),"",CQ71+CQ72)</f>
        <v>35.010273258392559</v>
      </c>
      <c r="CR73" s="7">
        <f t="shared" si="964"/>
        <v>34.718430337121774</v>
      </c>
      <c r="CS73" s="7">
        <f t="shared" ref="CS73:CT73" si="965">IF(OR(CS71="",CS72=""),"",CS71+CS72)</f>
        <v>32.965520864073106</v>
      </c>
      <c r="CT73" s="7">
        <f t="shared" si="965"/>
        <v>42.735639368643383</v>
      </c>
      <c r="CU73" s="7">
        <f t="shared" ref="CU73" si="966">IF(OR(CU71="",CU72=""),"",CU71+CU72)</f>
        <v>41.793767794626106</v>
      </c>
    </row>
    <row r="74" spans="1:99" s="4" customFormat="1" hidden="1" outlineLevel="1" x14ac:dyDescent="0.25">
      <c r="A74" s="292"/>
      <c r="B74" s="18" t="s">
        <v>19</v>
      </c>
      <c r="C74" s="26"/>
      <c r="D74" s="26"/>
      <c r="E74" s="7">
        <f>E73</f>
        <v>0</v>
      </c>
      <c r="F74" s="7">
        <f>IF(OR(F73="",E74=""),"",F73+E74)</f>
        <v>0</v>
      </c>
      <c r="G74" s="7">
        <f t="shared" ref="G74:N74" si="967">IF(OR(G73="",F74=""),"",G73+F74)</f>
        <v>0</v>
      </c>
      <c r="H74" s="7">
        <f t="shared" si="967"/>
        <v>-4870.3406751930006</v>
      </c>
      <c r="I74" s="7">
        <f t="shared" si="967"/>
        <v>-14046.259902024191</v>
      </c>
      <c r="J74" s="7">
        <f t="shared" si="967"/>
        <v>-22326.042824813372</v>
      </c>
      <c r="K74" s="7">
        <f t="shared" si="967"/>
        <v>-30661.612449408465</v>
      </c>
      <c r="L74" s="7">
        <f t="shared" si="967"/>
        <v>-38064.270006339691</v>
      </c>
      <c r="M74" s="7">
        <f t="shared" si="967"/>
        <v>-44239.096098887567</v>
      </c>
      <c r="N74" s="7">
        <f t="shared" si="967"/>
        <v>-49055.780825377253</v>
      </c>
      <c r="O74" s="7">
        <f>IF(OR(O73="",N74=""),"",O73+O69+N74)</f>
        <v>-51143.426314896751</v>
      </c>
      <c r="P74" s="7">
        <f>IF(OR(P73="",O74=""),"",P73+P69+O74+P66)</f>
        <v>1632091.6157402217</v>
      </c>
      <c r="Q74" s="7">
        <f t="shared" ref="Q74" si="968">IF(OR(Q73="",P74=""),"",Q73+Q69+P74)</f>
        <v>1474931.1915308614</v>
      </c>
      <c r="R74" s="7">
        <f t="shared" ref="R74" si="969">IF(OR(R73="",Q74=""),"",R73+R69+Q74)</f>
        <v>1300916.4120587504</v>
      </c>
      <c r="S74" s="7">
        <f t="shared" ref="S74" si="970">IF(OR(S73="",R74=""),"",S73+S69+R74)</f>
        <v>1125880.8220872239</v>
      </c>
      <c r="T74" s="7">
        <f t="shared" ref="T74" si="971">IF(OR(T73="",S74=""),"",T73+T69+S74)</f>
        <v>924379.20631487505</v>
      </c>
      <c r="U74" s="7">
        <f t="shared" ref="U74" si="972">IF(OR(U73="",T74=""),"",U73+U69+T74)</f>
        <v>743466.34928245132</v>
      </c>
      <c r="V74" s="7">
        <f t="shared" ref="V74" si="973">IF(OR(V73="",U74=""),"",V73+V69+U74)</f>
        <v>538083.05249009212</v>
      </c>
      <c r="W74" s="7">
        <f t="shared" ref="W74" si="974">IF(OR(W73="",V74=""),"",W73+W69+V74)</f>
        <v>342415.25098026294</v>
      </c>
      <c r="X74" s="7">
        <f t="shared" ref="X74" si="975">IF(OR(X73="",W74=""),"",X73+X69+W74)</f>
        <v>149325.1223160112</v>
      </c>
      <c r="Y74" s="7">
        <f t="shared" ref="Y74" si="976">IF(OR(Y73="",X74=""),"",Y73+Y69+X74)</f>
        <v>-34042.942849013052</v>
      </c>
      <c r="Z74" s="7">
        <f t="shared" ref="Z74" si="977">IF(OR(Z73="",Y74=""),"",Z73+Z69+Y74)</f>
        <v>-198643.46262343184</v>
      </c>
      <c r="AA74" s="7">
        <f t="shared" ref="AA74" si="978">IF(OR(AA73="",Z74=""),"",AA73+AA69+Z74)</f>
        <v>-362295.19758295349</v>
      </c>
      <c r="AB74" s="7">
        <f t="shared" ref="AB74" si="979">IF(OR(AB73="",AA74=""),"",AB73+AB69+AA74)</f>
        <v>-443275.87520902383</v>
      </c>
      <c r="AC74" s="7">
        <f t="shared" ref="AC74" si="980">IF(OR(AC73="",AB74=""),"",AC73+AC69+AB74)</f>
        <v>-435715.13934934756</v>
      </c>
      <c r="AD74" s="7">
        <f t="shared" ref="AD74" si="981">IF(OR(AD73="",AC74=""),"",AD73+AD69+AC74)</f>
        <v>-425835.46181183052</v>
      </c>
      <c r="AE74" s="7">
        <f t="shared" ref="AE74" si="982">IF(OR(AE73="",AD74=""),"",AE73+AE69+AD74)</f>
        <v>-409684.17753247038</v>
      </c>
      <c r="AF74" s="7">
        <f t="shared" ref="AF74" si="983">IF(OR(AF73="",AE74=""),"",AF73+AF69+AE74)</f>
        <v>-354612.6708387105</v>
      </c>
      <c r="AG74" s="7">
        <f t="shared" ref="AG74" si="984">IF(OR(AG73="",AF74=""),"",AG73+AG69+AF74)</f>
        <v>-265920.63648397371</v>
      </c>
      <c r="AH74" s="7">
        <f t="shared" ref="AH74" si="985">IF(OR(AH73="",AG74=""),"",AH73+AH69+AG74)</f>
        <v>-201123.89828137204</v>
      </c>
      <c r="AI74" s="7">
        <f t="shared" ref="AI74" si="986">IF(OR(AI73="",AH74=""),"",AI73+AI69+AH74)</f>
        <v>-151151.11875427648</v>
      </c>
      <c r="AJ74" s="7">
        <f t="shared" ref="AJ74" si="987">IF(OR(AJ73="",AI74=""),"",AJ73+AJ69+AI74)</f>
        <v>-132443.21404785264</v>
      </c>
      <c r="AK74" s="7">
        <f t="shared" ref="AK74" si="988">IF(OR(AK73="",AJ74=""),"",AK73+AK69+AJ74)</f>
        <v>-114109.82650694804</v>
      </c>
      <c r="AL74" s="7">
        <f t="shared" ref="AL74" si="989">IF(OR(AL73="",AK74=""),"",AL73+AL69+AK74)</f>
        <v>-87830.504895266189</v>
      </c>
      <c r="AM74" s="7">
        <f t="shared" ref="AM74" si="990">IF(OR(AM73="",AL74=""),"",AM73+AM69+AL74)</f>
        <v>-58222.446800562968</v>
      </c>
      <c r="AN74" s="7">
        <f t="shared" ref="AN74" si="991">IF(OR(AN73="",AM74=""),"",AN73+AN69+AM74)</f>
        <v>-51494.655296646248</v>
      </c>
      <c r="AO74" s="7">
        <f t="shared" ref="AO74" si="992">IF(OR(AO73="",AN74=""),"",AO73+AO69+AN74)</f>
        <v>-51983.455566889512</v>
      </c>
      <c r="AP74" s="7">
        <f t="shared" ref="AP74" si="993">IF(OR(AP73="",AO74=""),"",AP73+AP69+AO74)</f>
        <v>-58230.926658603203</v>
      </c>
      <c r="AQ74" s="7">
        <f t="shared" ref="AQ74" si="994">IF(OR(AQ73="",AP74=""),"",AQ73+AQ69+AP74)</f>
        <v>-53323.889071333426</v>
      </c>
      <c r="AR74" s="7">
        <f t="shared" ref="AR74" si="995">IF(OR(AR73="",AQ74=""),"",AR73+AR69+AQ74)</f>
        <v>66126.64145425272</v>
      </c>
      <c r="AS74" s="7">
        <f t="shared" ref="AS74" si="996">IF(OR(AS73="",AR74=""),"",AS73+AS69+AR74)</f>
        <v>256842.79432473017</v>
      </c>
      <c r="AT74" s="7">
        <f t="shared" ref="AT74" si="997">IF(OR(AT73="",AS74=""),"",AT73+AT69+AS74)</f>
        <v>410600.38111553015</v>
      </c>
      <c r="AU74" s="7">
        <f t="shared" ref="AU74" si="998">IF(OR(AU73="",AT74=""),"",AU73+AU69+AT74)</f>
        <v>480769.97780297394</v>
      </c>
      <c r="AV74" s="7">
        <f t="shared" ref="AV74" si="999">IF(OR(AV73="",AU74=""),"",AV73+AV69+AU74)</f>
        <v>469662.95592151029</v>
      </c>
      <c r="AW74" s="7">
        <f t="shared" ref="AW74" si="1000">IF(OR(AW73="",AV74=""),"",AW73+AW69+AV74)</f>
        <v>459404.20382531721</v>
      </c>
      <c r="AX74" s="7">
        <f t="shared" ref="AX74" si="1001">IF(OR(AX73="",AW74=""),"",AX73+AX69+AW74)</f>
        <v>454444.66595301963</v>
      </c>
      <c r="AY74" s="7">
        <f t="shared" ref="AY74" si="1002">IF(OR(AY73="",AX74=""),"",AY73+AY69+AX74)</f>
        <v>449944.57717426098</v>
      </c>
      <c r="AZ74" s="7">
        <f t="shared" ref="AZ74" si="1003">IF(OR(AZ73="",AY74=""),"",AZ73+AZ69+AY74)</f>
        <v>438938.52047417918</v>
      </c>
      <c r="BA74" s="7">
        <f t="shared" ref="BA74" si="1004">IF(OR(BA73="",AZ74=""),"",BA73+BA69+AZ74)</f>
        <v>456372.4741515083</v>
      </c>
      <c r="BB74" s="7">
        <f t="shared" ref="BB74" si="1005">IF(OR(BB73="",BA74=""),"",BB73+BB69+BA74)</f>
        <v>412555.14811516961</v>
      </c>
      <c r="BC74" s="7">
        <f t="shared" ref="BC74" si="1006">IF(OR(BC73="",BB74=""),"",BC73+BC69+BB74)</f>
        <v>367621.11641297862</v>
      </c>
      <c r="BD74" s="7">
        <f t="shared" ref="BD74" si="1007">IF(OR(BD73="",BC74=""),"",BD73+BD69+BC74)</f>
        <v>356358.74275261129</v>
      </c>
      <c r="BE74" s="7">
        <f t="shared" ref="BE74" si="1008">IF(OR(BE73="",BD74=""),"",BE73+BE69+BD74)</f>
        <v>306004.34211860952</v>
      </c>
      <c r="BF74" s="7">
        <f t="shared" ref="BF74" si="1009">IF(OR(BF73="",BE74=""),"",BF73+BF69+BE74)</f>
        <v>254108.48339175692</v>
      </c>
      <c r="BG74" s="7">
        <f t="shared" ref="BG74" si="1010">IF(OR(BG73="",BF74=""),"",BG73+BG69+BF74)</f>
        <v>201456.2358670026</v>
      </c>
      <c r="BH74" s="7">
        <f t="shared" ref="BH74" si="1011">IF(OR(BH73="",BG74=""),"",BH73+BH69+BG74)</f>
        <v>155086.48305419646</v>
      </c>
      <c r="BI74" s="7">
        <f t="shared" ref="BI74" si="1012">IF(OR(BI73="",BH74=""),"",BI73+BI69+BH74)</f>
        <v>109624.0108436431</v>
      </c>
      <c r="BJ74" s="7">
        <f t="shared" ref="BJ74:BL74" si="1013">IF(OR(BJ73="",BI74=""),"",BJ73+BJ69+BI74)</f>
        <v>63214.607873028464</v>
      </c>
      <c r="BK74" s="7">
        <f>IF(OR(BK73="",BJ74=""),"",BK73+BK69+BJ74)</f>
        <v>20773.964476223133</v>
      </c>
      <c r="BL74" s="7">
        <f t="shared" si="1013"/>
        <v>-17075.279968361523</v>
      </c>
      <c r="BM74" s="7">
        <f t="shared" ref="BM74:CU74" si="1014">IF(OR(BM73="",BL74=""),"",BM73+BM69+BL74)</f>
        <v>-16346.853196470413</v>
      </c>
      <c r="BN74" s="7">
        <f t="shared" si="1014"/>
        <v>-17787.989584082636</v>
      </c>
      <c r="BO74" s="7">
        <f t="shared" si="1014"/>
        <v>-19240.427386491177</v>
      </c>
      <c r="BP74" s="7">
        <f t="shared" si="1014"/>
        <v>-20624.674914797361</v>
      </c>
      <c r="BQ74" s="7">
        <f t="shared" si="1014"/>
        <v>-22394.539384305182</v>
      </c>
      <c r="BR74" s="7">
        <f t="shared" si="1014"/>
        <v>-24191.414318373605</v>
      </c>
      <c r="BS74" s="7">
        <f t="shared" si="1014"/>
        <v>-26128.777214105674</v>
      </c>
      <c r="BT74" s="7">
        <f t="shared" si="1014"/>
        <v>-27833.081934082744</v>
      </c>
      <c r="BU74" s="7">
        <f t="shared" si="1014"/>
        <v>-29025.044752000424</v>
      </c>
      <c r="BV74" s="7">
        <f t="shared" si="1014"/>
        <v>-30802.077142336202</v>
      </c>
      <c r="BW74" s="7">
        <f t="shared" si="1014"/>
        <v>-32397.785872863944</v>
      </c>
      <c r="BX74" s="7">
        <f t="shared" si="1014"/>
        <v>-33337.536405581595</v>
      </c>
      <c r="BY74" s="7">
        <f t="shared" si="1014"/>
        <v>-31257.67995203461</v>
      </c>
      <c r="BZ74" s="7">
        <f t="shared" si="1014"/>
        <v>-21326.78515028473</v>
      </c>
      <c r="CA74" s="7">
        <f t="shared" si="1014"/>
        <v>-19425.470939119776</v>
      </c>
      <c r="CB74" s="7">
        <f t="shared" si="1014"/>
        <v>-17110.012723978929</v>
      </c>
      <c r="CC74" s="7">
        <f t="shared" si="1014"/>
        <v>-14455.416596777668</v>
      </c>
      <c r="CD74" s="7">
        <f t="shared" si="1014"/>
        <v>-11831.770721017427</v>
      </c>
      <c r="CE74" s="7">
        <f t="shared" si="1014"/>
        <v>-9091.2073093840754</v>
      </c>
      <c r="CF74" s="7">
        <f t="shared" si="1014"/>
        <v>-7156.458694073197</v>
      </c>
      <c r="CG74" s="7">
        <f t="shared" si="1014"/>
        <v>-4804.5310985156884</v>
      </c>
      <c r="CH74" s="7">
        <f t="shared" si="1014"/>
        <v>-2493.2371108889924</v>
      </c>
      <c r="CI74" s="7">
        <f t="shared" si="1014"/>
        <v>-541.82997430894716</v>
      </c>
      <c r="CJ74" s="7">
        <f t="shared" si="1014"/>
        <v>1086.5196087892591</v>
      </c>
      <c r="CK74" s="7">
        <f t="shared" si="1014"/>
        <v>1122.8963352013002</v>
      </c>
      <c r="CL74" s="7">
        <f t="shared" si="1014"/>
        <v>1149.8174294953835</v>
      </c>
      <c r="CM74" s="7">
        <f t="shared" si="1014"/>
        <v>1174.4392313334433</v>
      </c>
      <c r="CN74" s="7">
        <f t="shared" si="1014"/>
        <v>1202.8303266074172</v>
      </c>
      <c r="CO74" s="7">
        <f t="shared" si="1014"/>
        <v>1231.9116353096745</v>
      </c>
      <c r="CP74" s="7">
        <f t="shared" si="1014"/>
        <v>1265.0284668477641</v>
      </c>
      <c r="CQ74" s="7">
        <f t="shared" si="1014"/>
        <v>1300.0387401061566</v>
      </c>
      <c r="CR74" s="7">
        <f t="shared" si="1014"/>
        <v>1334.7571704432785</v>
      </c>
      <c r="CS74" s="7">
        <f t="shared" si="1014"/>
        <v>1367.7226913073516</v>
      </c>
      <c r="CT74" s="7">
        <f t="shared" si="1014"/>
        <v>1410.4583306759951</v>
      </c>
      <c r="CU74" s="7">
        <f t="shared" si="1014"/>
        <v>1452.2520984706211</v>
      </c>
    </row>
    <row r="75" spans="1:99" s="4" customFormat="1" ht="8.25" hidden="1" customHeight="1" outlineLevel="1" x14ac:dyDescent="0.25">
      <c r="A75" s="40"/>
      <c r="B75" s="11"/>
      <c r="C75" s="11"/>
      <c r="D75" s="11"/>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row>
    <row r="76" spans="1:99" ht="15" customHeight="1" collapsed="1" x14ac:dyDescent="0.25">
      <c r="A76" s="293" t="s">
        <v>65</v>
      </c>
      <c r="B76" s="84"/>
      <c r="C76" s="24"/>
      <c r="D76" s="24"/>
      <c r="E76" s="29"/>
      <c r="F76" s="29"/>
      <c r="G76" s="29"/>
      <c r="H76" s="29"/>
      <c r="I76" s="29"/>
      <c r="J76" s="29"/>
      <c r="K76" s="29"/>
      <c r="L76" s="29"/>
      <c r="M76" s="29"/>
      <c r="N76" s="29"/>
      <c r="O76" s="29"/>
      <c r="P76" s="7"/>
      <c r="Q76" s="29"/>
      <c r="R76" s="29"/>
      <c r="S76" s="29"/>
      <c r="T76" s="29"/>
      <c r="U76" s="29"/>
      <c r="V76" s="29"/>
      <c r="W76" s="29"/>
      <c r="X76" s="29"/>
      <c r="Y76" s="68">
        <v>-950587.29</v>
      </c>
      <c r="Z76" s="29"/>
      <c r="AA76" s="29"/>
      <c r="AB76" s="29"/>
      <c r="AC76" s="29"/>
      <c r="AD76" s="29"/>
      <c r="AE76" s="29"/>
      <c r="AF76" s="29"/>
      <c r="AG76" s="29"/>
      <c r="AH76" s="29"/>
      <c r="AI76" s="29"/>
      <c r="AJ76" s="29"/>
      <c r="AK76" s="68">
        <v>-46000</v>
      </c>
      <c r="AL76" s="29"/>
      <c r="AM76" s="29"/>
      <c r="AN76" s="93"/>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row>
    <row r="77" spans="1:99" s="3" customFormat="1" x14ac:dyDescent="0.25">
      <c r="A77" s="293"/>
      <c r="B77" s="84" t="s">
        <v>66</v>
      </c>
      <c r="C77" s="24"/>
      <c r="D77" s="24"/>
      <c r="E77" s="22"/>
      <c r="F77" s="22"/>
      <c r="G77" s="22"/>
      <c r="H77" s="22"/>
      <c r="I77" s="22"/>
      <c r="J77" s="22"/>
      <c r="K77" s="22"/>
      <c r="L77" s="22"/>
      <c r="M77" s="21"/>
      <c r="N77" s="22"/>
      <c r="O77" s="22"/>
      <c r="P77" s="21"/>
      <c r="Q77" s="22"/>
      <c r="R77" s="22"/>
      <c r="S77" s="22"/>
      <c r="T77" s="22"/>
      <c r="U77" s="22"/>
      <c r="V77" s="22"/>
      <c r="W77" s="22"/>
      <c r="X77" s="22"/>
      <c r="Y77" s="22">
        <v>0</v>
      </c>
      <c r="Z77" s="22">
        <v>0</v>
      </c>
      <c r="AA77" s="22">
        <v>-11434.029999999999</v>
      </c>
      <c r="AB77" s="22">
        <v>-97063.06</v>
      </c>
      <c r="AC77" s="22">
        <v>-78439.839999999997</v>
      </c>
      <c r="AD77" s="22">
        <v>-75986.289999999994</v>
      </c>
      <c r="AE77" s="22">
        <v>-62392.98</v>
      </c>
      <c r="AF77" s="22">
        <v>-91978.92</v>
      </c>
      <c r="AG77" s="22">
        <v>-107509.38</v>
      </c>
      <c r="AH77" s="22">
        <v>-96563.72</v>
      </c>
      <c r="AI77" s="22">
        <v>-92958.44</v>
      </c>
      <c r="AJ77" s="22">
        <v>-72329.81</v>
      </c>
      <c r="AK77" s="22">
        <v>-67043.09</v>
      </c>
      <c r="AL77" s="22">
        <v>-92630.26</v>
      </c>
      <c r="AM77" s="22">
        <v>-91472.06</v>
      </c>
      <c r="AN77" s="22">
        <v>3116.63</v>
      </c>
      <c r="AO77" s="22">
        <v>2587.12</v>
      </c>
      <c r="AP77" s="22">
        <v>842.75</v>
      </c>
      <c r="AQ77" s="22">
        <v>56.56</v>
      </c>
      <c r="AR77" s="22">
        <v>1511.37</v>
      </c>
      <c r="AS77" s="22">
        <v>3222.89</v>
      </c>
      <c r="AT77" s="22">
        <v>3620.76</v>
      </c>
      <c r="AU77" s="22">
        <v>2953.3</v>
      </c>
      <c r="AV77" s="22">
        <v>1582.66</v>
      </c>
      <c r="AW77" s="22">
        <v>859.68</v>
      </c>
      <c r="AX77" s="22">
        <v>2364.75</v>
      </c>
      <c r="AY77" s="22">
        <v>3022.68</v>
      </c>
      <c r="AZ77" s="22">
        <v>944.99</v>
      </c>
      <c r="BA77" s="22">
        <v>-2.4400000000000013</v>
      </c>
      <c r="BB77" s="22">
        <v>-0.16</v>
      </c>
      <c r="BC77" s="22">
        <v>2.42</v>
      </c>
      <c r="BD77" s="22">
        <v>85.57</v>
      </c>
      <c r="BE77" s="22">
        <v>-0.13</v>
      </c>
      <c r="BF77" s="22">
        <v>-0.4</v>
      </c>
      <c r="BG77" s="22">
        <v>-0.62</v>
      </c>
      <c r="BH77" s="22">
        <v>-0.01</v>
      </c>
      <c r="BI77" s="22">
        <v>-0.33</v>
      </c>
      <c r="BJ77" s="22">
        <v>0.28999999999999998</v>
      </c>
      <c r="BK77" s="22">
        <v>0.18</v>
      </c>
      <c r="BL77" s="22">
        <v>-383.51</v>
      </c>
      <c r="BM77" s="22">
        <v>-838.54</v>
      </c>
      <c r="BN77" s="22">
        <v>-901.74</v>
      </c>
      <c r="BO77" s="22">
        <v>-918.67</v>
      </c>
      <c r="BP77" s="22">
        <v>-989.05</v>
      </c>
      <c r="BQ77" s="22">
        <v>-1207.8800000000001</v>
      </c>
      <c r="BR77" s="22">
        <v>-1173.18</v>
      </c>
      <c r="BS77" s="22">
        <v>-1200.93</v>
      </c>
      <c r="BT77" s="22">
        <v>-1051.26</v>
      </c>
      <c r="BU77" s="22">
        <v>-899.18</v>
      </c>
      <c r="BV77" s="22">
        <v>-1032.83</v>
      </c>
      <c r="BW77" s="22">
        <v>-970.5</v>
      </c>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row>
    <row r="78" spans="1:99" s="3" customFormat="1" x14ac:dyDescent="0.25">
      <c r="A78" s="293"/>
      <c r="B78" s="84" t="s">
        <v>67</v>
      </c>
      <c r="C78" s="24"/>
      <c r="D78" s="24"/>
      <c r="E78" s="7"/>
      <c r="F78" s="7"/>
      <c r="G78" s="7"/>
      <c r="H78" s="7"/>
      <c r="I78" s="7"/>
      <c r="J78" s="8"/>
      <c r="K78" s="8"/>
      <c r="L78" s="8"/>
      <c r="M78" s="8"/>
      <c r="N78" s="8"/>
      <c r="O78" s="8"/>
      <c r="P78" s="8"/>
      <c r="Q78" s="8"/>
      <c r="R78" s="8"/>
      <c r="S78" s="8"/>
      <c r="T78" s="8"/>
      <c r="U78" s="8"/>
      <c r="V78" s="8"/>
      <c r="W78" s="8"/>
      <c r="X78" s="8"/>
      <c r="Y78" s="8">
        <f>IF(OR(Y77=""),"",Y76-Y77)</f>
        <v>-950587.29</v>
      </c>
      <c r="Z78" s="8">
        <f>IF(OR(Z77=""),"",Z76-Z77)</f>
        <v>0</v>
      </c>
      <c r="AA78" s="8">
        <f t="shared" ref="AA78:AX78" si="1015">IF(OR(AA77=""),"",AA76-AA77)</f>
        <v>11434.029999999999</v>
      </c>
      <c r="AB78" s="8">
        <f t="shared" si="1015"/>
        <v>97063.06</v>
      </c>
      <c r="AC78" s="8">
        <f t="shared" si="1015"/>
        <v>78439.839999999997</v>
      </c>
      <c r="AD78" s="8">
        <f t="shared" si="1015"/>
        <v>75986.289999999994</v>
      </c>
      <c r="AE78" s="8">
        <f t="shared" si="1015"/>
        <v>62392.98</v>
      </c>
      <c r="AF78" s="8">
        <f t="shared" si="1015"/>
        <v>91978.92</v>
      </c>
      <c r="AG78" s="8">
        <f t="shared" si="1015"/>
        <v>107509.38</v>
      </c>
      <c r="AH78" s="8">
        <f t="shared" si="1015"/>
        <v>96563.72</v>
      </c>
      <c r="AI78" s="8">
        <f t="shared" si="1015"/>
        <v>92958.44</v>
      </c>
      <c r="AJ78" s="8">
        <f>IF(OR(AJ77=""),"",AJ76-AJ77)</f>
        <v>72329.81</v>
      </c>
      <c r="AK78" s="8">
        <f>IF(OR(AK77=""),"",AK76-AK77)</f>
        <v>21043.089999999997</v>
      </c>
      <c r="AL78" s="8">
        <f>IF(OR(AL77=""),"",AL76-AL77)</f>
        <v>92630.26</v>
      </c>
      <c r="AM78" s="8">
        <f t="shared" si="1015"/>
        <v>91472.06</v>
      </c>
      <c r="AN78" s="8">
        <f t="shared" si="1015"/>
        <v>-3116.63</v>
      </c>
      <c r="AO78" s="8">
        <f t="shared" si="1015"/>
        <v>-2587.12</v>
      </c>
      <c r="AP78" s="8">
        <f t="shared" si="1015"/>
        <v>-842.75</v>
      </c>
      <c r="AQ78" s="8">
        <f t="shared" si="1015"/>
        <v>-56.56</v>
      </c>
      <c r="AR78" s="8">
        <f t="shared" si="1015"/>
        <v>-1511.37</v>
      </c>
      <c r="AS78" s="8">
        <f t="shared" si="1015"/>
        <v>-3222.89</v>
      </c>
      <c r="AT78" s="8">
        <f t="shared" si="1015"/>
        <v>-3620.76</v>
      </c>
      <c r="AU78" s="8">
        <f t="shared" si="1015"/>
        <v>-2953.3</v>
      </c>
      <c r="AV78" s="8">
        <f t="shared" si="1015"/>
        <v>-1582.66</v>
      </c>
      <c r="AW78" s="8">
        <f t="shared" si="1015"/>
        <v>-859.68</v>
      </c>
      <c r="AX78" s="8">
        <f t="shared" si="1015"/>
        <v>-2364.75</v>
      </c>
      <c r="AY78" s="8">
        <f>IF(OR(AY77=""),"",AY76-AY77)</f>
        <v>-3022.68</v>
      </c>
      <c r="AZ78" s="8">
        <f t="shared" ref="AZ78:BJ78" si="1016">IF(OR(AZ77=""),"",AZ76-AZ77)</f>
        <v>-944.99</v>
      </c>
      <c r="BA78" s="8">
        <f t="shared" si="1016"/>
        <v>2.4400000000000013</v>
      </c>
      <c r="BB78" s="8">
        <f t="shared" si="1016"/>
        <v>0.16</v>
      </c>
      <c r="BC78" s="8">
        <f t="shared" si="1016"/>
        <v>-2.42</v>
      </c>
      <c r="BD78" s="8">
        <f t="shared" si="1016"/>
        <v>-85.57</v>
      </c>
      <c r="BE78" s="8">
        <f t="shared" si="1016"/>
        <v>0.13</v>
      </c>
      <c r="BF78" s="8">
        <f t="shared" si="1016"/>
        <v>0.4</v>
      </c>
      <c r="BG78" s="8">
        <f t="shared" si="1016"/>
        <v>0.62</v>
      </c>
      <c r="BH78" s="8">
        <f>IF(OR(BH77=""),"",BH76-BH77)</f>
        <v>0.01</v>
      </c>
      <c r="BI78" s="8">
        <f t="shared" si="1016"/>
        <v>0.33</v>
      </c>
      <c r="BJ78" s="8">
        <f t="shared" si="1016"/>
        <v>-0.28999999999999998</v>
      </c>
      <c r="BK78" s="8">
        <f t="shared" ref="BK78:BL78" si="1017">IF(OR(BK77=""),"",BK76-BK77)</f>
        <v>-0.18</v>
      </c>
      <c r="BL78" s="8">
        <f t="shared" si="1017"/>
        <v>383.51</v>
      </c>
      <c r="BM78" s="8">
        <f t="shared" ref="BM78" si="1018">IF(OR(BM77=""),"",BM76-BM77)</f>
        <v>838.54</v>
      </c>
      <c r="BN78" s="8">
        <f t="shared" ref="BN78:BW78" si="1019">IF(OR(BN77=""),"",BN76-BN77)</f>
        <v>901.74</v>
      </c>
      <c r="BO78" s="8">
        <f t="shared" si="1019"/>
        <v>918.67</v>
      </c>
      <c r="BP78" s="8">
        <f t="shared" si="1019"/>
        <v>989.05</v>
      </c>
      <c r="BQ78" s="8">
        <f t="shared" si="1019"/>
        <v>1207.8800000000001</v>
      </c>
      <c r="BR78" s="8">
        <f t="shared" si="1019"/>
        <v>1173.18</v>
      </c>
      <c r="BS78" s="8">
        <f t="shared" si="1019"/>
        <v>1200.93</v>
      </c>
      <c r="BT78" s="8">
        <f t="shared" si="1019"/>
        <v>1051.26</v>
      </c>
      <c r="BU78" s="8">
        <f t="shared" si="1019"/>
        <v>899.18</v>
      </c>
      <c r="BV78" s="8">
        <f t="shared" si="1019"/>
        <v>1032.83</v>
      </c>
      <c r="BW78" s="8">
        <f t="shared" si="1019"/>
        <v>970.5</v>
      </c>
      <c r="BX78" s="12" t="str">
        <f t="shared" ref="BX78:BY78" si="1020">IF(OR(BX77=""),"",BX76-BX77)</f>
        <v/>
      </c>
      <c r="BY78" s="12" t="str">
        <f t="shared" si="1020"/>
        <v/>
      </c>
      <c r="BZ78" s="12" t="str">
        <f t="shared" ref="BZ78:CA78" si="1021">IF(OR(BZ77=""),"",BZ76-BZ77)</f>
        <v/>
      </c>
      <c r="CA78" s="12" t="str">
        <f t="shared" si="1021"/>
        <v/>
      </c>
      <c r="CB78" s="12" t="str">
        <f t="shared" ref="CB78:CC78" si="1022">IF(OR(CB77=""),"",CB76-CB77)</f>
        <v/>
      </c>
      <c r="CC78" s="12" t="str">
        <f t="shared" si="1022"/>
        <v/>
      </c>
      <c r="CD78" s="12" t="str">
        <f t="shared" ref="CD78:CE78" si="1023">IF(OR(CD77=""),"",CD76-CD77)</f>
        <v/>
      </c>
      <c r="CE78" s="12" t="str">
        <f t="shared" si="1023"/>
        <v/>
      </c>
      <c r="CF78" s="12" t="str">
        <f t="shared" ref="CF78:CG78" si="1024">IF(OR(CF77=""),"",CF76-CF77)</f>
        <v/>
      </c>
      <c r="CG78" s="12" t="str">
        <f t="shared" si="1024"/>
        <v/>
      </c>
      <c r="CH78" s="12" t="str">
        <f t="shared" ref="CH78:CI78" si="1025">IF(OR(CH77=""),"",CH76-CH77)</f>
        <v/>
      </c>
      <c r="CI78" s="12" t="str">
        <f t="shared" si="1025"/>
        <v/>
      </c>
      <c r="CJ78" s="12" t="str">
        <f t="shared" ref="CJ78:CK78" si="1026">IF(OR(CJ77=""),"",CJ76-CJ77)</f>
        <v/>
      </c>
      <c r="CK78" s="12" t="str">
        <f t="shared" si="1026"/>
        <v/>
      </c>
      <c r="CL78" s="12" t="str">
        <f t="shared" ref="CL78:CM78" si="1027">IF(OR(CL77=""),"",CL76-CL77)</f>
        <v/>
      </c>
      <c r="CM78" s="12" t="str">
        <f t="shared" si="1027"/>
        <v/>
      </c>
      <c r="CN78" s="12" t="str">
        <f t="shared" ref="CN78:CO78" si="1028">IF(OR(CN77=""),"",CN76-CN77)</f>
        <v/>
      </c>
      <c r="CO78" s="12" t="str">
        <f t="shared" si="1028"/>
        <v/>
      </c>
      <c r="CP78" s="12" t="str">
        <f t="shared" ref="CP78:CQ78" si="1029">IF(OR(CP77=""),"",CP76-CP77)</f>
        <v/>
      </c>
      <c r="CQ78" s="12" t="str">
        <f t="shared" si="1029"/>
        <v/>
      </c>
      <c r="CR78" s="12" t="str">
        <f t="shared" ref="CR78:CS78" si="1030">IF(OR(CR77=""),"",CR76-CR77)</f>
        <v/>
      </c>
      <c r="CS78" s="12" t="str">
        <f t="shared" si="1030"/>
        <v/>
      </c>
      <c r="CT78" s="12" t="str">
        <f t="shared" ref="CT78:CU78" si="1031">IF(OR(CT77=""),"",CT76-CT77)</f>
        <v/>
      </c>
      <c r="CU78" s="12" t="str">
        <f t="shared" si="1031"/>
        <v/>
      </c>
    </row>
    <row r="79" spans="1:99" s="3" customFormat="1" x14ac:dyDescent="0.25">
      <c r="A79" s="293"/>
      <c r="B79" s="85" t="s">
        <v>8</v>
      </c>
      <c r="C79" s="24"/>
      <c r="D79" s="24"/>
      <c r="E79" s="8"/>
      <c r="F79" s="8"/>
      <c r="G79" s="8"/>
      <c r="H79" s="8"/>
      <c r="I79" s="8"/>
      <c r="J79" s="8"/>
      <c r="K79" s="8"/>
      <c r="L79" s="8"/>
      <c r="M79" s="8"/>
      <c r="N79" s="8"/>
      <c r="O79" s="8"/>
      <c r="P79" s="8"/>
      <c r="Q79" s="8"/>
      <c r="R79" s="8"/>
      <c r="S79" s="8"/>
      <c r="T79" s="8"/>
      <c r="U79" s="8"/>
      <c r="V79" s="8"/>
      <c r="W79" s="8"/>
      <c r="X79" s="8"/>
      <c r="Y79" s="8">
        <f>IF(OR(Y9="",Y78=""),"",((Y78)*Y9)/12)</f>
        <v>-1142.9773645635676</v>
      </c>
      <c r="Z79" s="8">
        <f>IF(OR(Z9="",Z78=""),"",((Z78+Y82)*Z9)/12)</f>
        <v>-1406.6105417600129</v>
      </c>
      <c r="AA79" s="8">
        <f t="shared" ref="AA79:AX79" si="1032">IF(OR(AA9="",AA78=""),"",((AA78+Z82)*AA9)/12)</f>
        <v>-1346.153234548864</v>
      </c>
      <c r="AB79" s="8">
        <f t="shared" si="1032"/>
        <v>-1288.4126187558829</v>
      </c>
      <c r="AC79" s="8">
        <f t="shared" si="1032"/>
        <v>-1315.9538118321113</v>
      </c>
      <c r="AD79" s="8">
        <f t="shared" si="1032"/>
        <v>-1336.9578921220411</v>
      </c>
      <c r="AE79" s="8">
        <f t="shared" si="1032"/>
        <v>-1160.0625389104569</v>
      </c>
      <c r="AF79" s="8">
        <f t="shared" si="1032"/>
        <v>-1030.1512787032175</v>
      </c>
      <c r="AG79" s="8">
        <f t="shared" si="1032"/>
        <v>-852.43323708722994</v>
      </c>
      <c r="AH79" s="8">
        <f t="shared" si="1032"/>
        <v>-659.06779451001023</v>
      </c>
      <c r="AI79" s="8">
        <f t="shared" si="1032"/>
        <v>-480.92950853408678</v>
      </c>
      <c r="AJ79" s="8">
        <f t="shared" si="1032"/>
        <v>-360.31926611651494</v>
      </c>
      <c r="AK79" s="8">
        <f>IF(OR(AK9="",AK78=""),"",((AK78+AJ82)*AK9)/12)</f>
        <v>-326.98303189502104</v>
      </c>
      <c r="AL79" s="8">
        <f>IF(OR(AL9="",AL78=""),"",((AL78+AK82)*AL9)/12)</f>
        <v>-144.53386682650574</v>
      </c>
      <c r="AM79" s="8">
        <f t="shared" si="1032"/>
        <v>67.827737992733816</v>
      </c>
      <c r="AN79" s="8">
        <f t="shared" si="1032"/>
        <v>59.918620369761747</v>
      </c>
      <c r="AO79" s="8">
        <f t="shared" si="1032"/>
        <v>52.938377462680137</v>
      </c>
      <c r="AP79" s="8">
        <f t="shared" si="1032"/>
        <v>48.802208476892723</v>
      </c>
      <c r="AQ79" s="8">
        <f t="shared" si="1032"/>
        <v>49.061459961622738</v>
      </c>
      <c r="AR79" s="8">
        <f t="shared" si="1032"/>
        <v>45.331792046848214</v>
      </c>
      <c r="AS79" s="8">
        <f t="shared" si="1032"/>
        <v>37.516625105978882</v>
      </c>
      <c r="AT79" s="8">
        <f t="shared" si="1032"/>
        <v>26.972774943528055</v>
      </c>
      <c r="AU79" s="8">
        <f t="shared" si="1032"/>
        <v>20.025787757859852</v>
      </c>
      <c r="AV79" s="8">
        <f t="shared" si="1032"/>
        <v>16.343159553426808</v>
      </c>
      <c r="AW79" s="8">
        <f t="shared" si="1032"/>
        <v>12.763470691451941</v>
      </c>
      <c r="AX79" s="8">
        <f t="shared" si="1032"/>
        <v>9.7069882726060612</v>
      </c>
      <c r="AY79" s="8">
        <f t="shared" ref="AY79" si="1033">IF(OR(AY9="",AY78=""),"",((AY78+AX82)*AY9)/12)</f>
        <v>4.8314791567889772</v>
      </c>
      <c r="AZ79" s="8">
        <f>IF(OR(AZ9="",AZ78=""),"",((AZ78+AY82)*AZ9)/12)</f>
        <v>3.1997734168797702</v>
      </c>
      <c r="BA79" s="8">
        <f>IF(OR(BA9="",BA78=""),"",((BA78+AZ82)*BA9)/12)</f>
        <v>3.3594656448678157</v>
      </c>
      <c r="BB79" s="8">
        <f t="shared" ref="BB79" si="1034">IF(OR(BB9="",BB78=""),"",((BB78+BA82)*BB9)/12)</f>
        <v>1.6721040257130282</v>
      </c>
      <c r="BC79" s="8">
        <f t="shared" ref="BC79" si="1035">IF(OR(BC9="",BC78=""),"",((BC78+BB82)*BC9)/12)</f>
        <v>0.22988508836275723</v>
      </c>
      <c r="BD79" s="8">
        <f t="shared" ref="BD79" si="1036">IF(OR(BD9="",BD78=""),"",((BD78+BC82)*BD9)/12)</f>
        <v>0.21483065616418598</v>
      </c>
      <c r="BE79" s="8">
        <f t="shared" ref="BE79" si="1037">IF(OR(BE9="",BE78=""),"",((BE78+BD82)*BE9)/12)</f>
        <v>0.33122191838176246</v>
      </c>
      <c r="BF79" s="8">
        <f t="shared" ref="BF79" si="1038">IF(OR(BF9="",BF78=""),"",((BF78+BE82)*BF9)/12)</f>
        <v>0.2336846168970412</v>
      </c>
      <c r="BG79" s="8">
        <f t="shared" ref="BG79" si="1039">IF(OR(BG9="",BG78=""),"",((BG78+BF82)*BG9)/12)</f>
        <v>0.2120972547870974</v>
      </c>
      <c r="BH79" s="8">
        <f>IF(OR(BH9="",BH78=""),"",((BH78+BG82)*BH9)/12)</f>
        <v>0.34236125970811027</v>
      </c>
      <c r="BI79" s="8">
        <f t="shared" ref="BI79" si="1040">IF(OR(BI9="",BI78=""),"",((BI78+BH82)*BI9)/12)</f>
        <v>0.43227667386697566</v>
      </c>
      <c r="BJ79" s="8">
        <f t="shared" ref="BJ79:BM79" si="1041">IF(OR(BJ9="",BJ78=""),"",((BJ78+BI82)*BJ9)/12)</f>
        <v>0.48754281355907209</v>
      </c>
      <c r="BK79" s="8">
        <f t="shared" si="1041"/>
        <v>0.35306280958904529</v>
      </c>
      <c r="BL79" s="8">
        <f t="shared" si="1041"/>
        <v>0.47201062181403408</v>
      </c>
      <c r="BM79" s="8">
        <f t="shared" si="1041"/>
        <v>0.58371549010880763</v>
      </c>
      <c r="BN79" s="8">
        <f t="shared" ref="BN79:CU79" si="1042">IF(OR(BN9="",BN78=""),"",((BN78+BM82)*BN9)/12)</f>
        <v>0.78427009905860645</v>
      </c>
      <c r="BO79" s="8">
        <f t="shared" si="1042"/>
        <v>0.95314530933060526</v>
      </c>
      <c r="BP79" s="8">
        <f t="shared" si="1042"/>
        <v>1.0234103408209305</v>
      </c>
      <c r="BQ79" s="8">
        <f t="shared" si="1042"/>
        <v>0.8487892737123407</v>
      </c>
      <c r="BR79" s="8">
        <f t="shared" si="1042"/>
        <v>1.4481490285324148</v>
      </c>
      <c r="BS79" s="8">
        <f t="shared" si="1042"/>
        <v>1.5579823325549995</v>
      </c>
      <c r="BT79" s="8">
        <f t="shared" si="1042"/>
        <v>1.3410092842876644</v>
      </c>
      <c r="BU79" s="8">
        <f t="shared" si="1042"/>
        <v>1.4846712123357226</v>
      </c>
      <c r="BV79" s="8">
        <f t="shared" si="1042"/>
        <v>2.7485268153887428</v>
      </c>
      <c r="BW79" s="8">
        <f t="shared" si="1042"/>
        <v>2.664164463345204</v>
      </c>
      <c r="BX79" s="12" t="str">
        <f t="shared" si="1042"/>
        <v/>
      </c>
      <c r="BY79" s="12" t="str">
        <f t="shared" si="1042"/>
        <v/>
      </c>
      <c r="BZ79" s="12" t="str">
        <f t="shared" si="1042"/>
        <v/>
      </c>
      <c r="CA79" s="12" t="str">
        <f t="shared" si="1042"/>
        <v/>
      </c>
      <c r="CB79" s="12" t="str">
        <f t="shared" si="1042"/>
        <v/>
      </c>
      <c r="CC79" s="12" t="str">
        <f t="shared" si="1042"/>
        <v/>
      </c>
      <c r="CD79" s="12" t="str">
        <f t="shared" si="1042"/>
        <v/>
      </c>
      <c r="CE79" s="12" t="str">
        <f t="shared" si="1042"/>
        <v/>
      </c>
      <c r="CF79" s="12" t="str">
        <f t="shared" si="1042"/>
        <v/>
      </c>
      <c r="CG79" s="12" t="str">
        <f t="shared" si="1042"/>
        <v/>
      </c>
      <c r="CH79" s="12" t="str">
        <f t="shared" si="1042"/>
        <v/>
      </c>
      <c r="CI79" s="12" t="str">
        <f t="shared" si="1042"/>
        <v/>
      </c>
      <c r="CJ79" s="12" t="str">
        <f t="shared" si="1042"/>
        <v/>
      </c>
      <c r="CK79" s="12" t="str">
        <f t="shared" si="1042"/>
        <v/>
      </c>
      <c r="CL79" s="12" t="str">
        <f t="shared" si="1042"/>
        <v/>
      </c>
      <c r="CM79" s="12" t="str">
        <f t="shared" si="1042"/>
        <v/>
      </c>
      <c r="CN79" s="12" t="str">
        <f t="shared" si="1042"/>
        <v/>
      </c>
      <c r="CO79" s="12" t="str">
        <f t="shared" si="1042"/>
        <v/>
      </c>
      <c r="CP79" s="12" t="str">
        <f t="shared" si="1042"/>
        <v/>
      </c>
      <c r="CQ79" s="12" t="str">
        <f t="shared" si="1042"/>
        <v/>
      </c>
      <c r="CR79" s="12" t="str">
        <f t="shared" si="1042"/>
        <v/>
      </c>
      <c r="CS79" s="12" t="str">
        <f t="shared" si="1042"/>
        <v/>
      </c>
      <c r="CT79" s="12" t="str">
        <f t="shared" si="1042"/>
        <v/>
      </c>
      <c r="CU79" s="12" t="str">
        <f t="shared" si="1042"/>
        <v/>
      </c>
    </row>
    <row r="80" spans="1:99" s="3" customFormat="1" x14ac:dyDescent="0.25">
      <c r="A80" s="293"/>
      <c r="B80" s="85" t="s">
        <v>6</v>
      </c>
      <c r="C80" s="28"/>
      <c r="D80" s="28"/>
      <c r="E80" s="8"/>
      <c r="F80" s="8"/>
      <c r="G80" s="8"/>
      <c r="H80" s="8"/>
      <c r="I80" s="8"/>
      <c r="J80" s="8"/>
      <c r="K80" s="8"/>
      <c r="L80" s="8"/>
      <c r="M80" s="8"/>
      <c r="N80" s="8"/>
      <c r="O80" s="8"/>
      <c r="P80" s="8"/>
      <c r="Q80" s="8"/>
      <c r="R80" s="8"/>
      <c r="S80" s="8"/>
      <c r="T80" s="8"/>
      <c r="U80" s="8"/>
      <c r="V80" s="8"/>
      <c r="W80" s="8"/>
      <c r="X80" s="8"/>
      <c r="Y80" s="8">
        <f>IF(OR(Y79=""),"",Y79)</f>
        <v>-1142.9773645635676</v>
      </c>
      <c r="Z80" s="8">
        <f>IF(OR(Y80="",Z79=""),"",Y80+Z79)</f>
        <v>-2549.5879063235807</v>
      </c>
      <c r="AA80" s="8">
        <f t="shared" ref="AA80:AX80" si="1043">IF(OR(Z80="",AA79=""),"",Z80+AA79)</f>
        <v>-3895.7411408724447</v>
      </c>
      <c r="AB80" s="8">
        <f t="shared" si="1043"/>
        <v>-5184.1537596283279</v>
      </c>
      <c r="AC80" s="8">
        <f t="shared" si="1043"/>
        <v>-6500.1075714604394</v>
      </c>
      <c r="AD80" s="8">
        <f t="shared" si="1043"/>
        <v>-7837.0654635824803</v>
      </c>
      <c r="AE80" s="8">
        <f t="shared" si="1043"/>
        <v>-8997.1280024929365</v>
      </c>
      <c r="AF80" s="8">
        <f t="shared" si="1043"/>
        <v>-10027.279281196154</v>
      </c>
      <c r="AG80" s="8">
        <f t="shared" si="1043"/>
        <v>-10879.712518283384</v>
      </c>
      <c r="AH80" s="8">
        <f t="shared" si="1043"/>
        <v>-11538.780312793395</v>
      </c>
      <c r="AI80" s="8">
        <f t="shared" si="1043"/>
        <v>-12019.709821327482</v>
      </c>
      <c r="AJ80" s="8">
        <f t="shared" si="1043"/>
        <v>-12380.029087443998</v>
      </c>
      <c r="AK80" s="8">
        <f>IF(OR(AJ80="",AK79=""),"",AJ80+AK79)</f>
        <v>-12707.012119339019</v>
      </c>
      <c r="AL80" s="8">
        <f>IF(OR(AK80="",AL79=""),"",AK80+AL79)</f>
        <v>-12851.545986165524</v>
      </c>
      <c r="AM80" s="8">
        <f t="shared" si="1043"/>
        <v>-12783.71824817279</v>
      </c>
      <c r="AN80" s="8">
        <f t="shared" si="1043"/>
        <v>-12723.79962780303</v>
      </c>
      <c r="AO80" s="8">
        <f t="shared" si="1043"/>
        <v>-12670.861250340349</v>
      </c>
      <c r="AP80" s="8">
        <f t="shared" si="1043"/>
        <v>-12622.059041863457</v>
      </c>
      <c r="AQ80" s="8">
        <f t="shared" si="1043"/>
        <v>-12572.997581901835</v>
      </c>
      <c r="AR80" s="8">
        <f t="shared" si="1043"/>
        <v>-12527.665789854986</v>
      </c>
      <c r="AS80" s="8">
        <f t="shared" si="1043"/>
        <v>-12490.149164749007</v>
      </c>
      <c r="AT80" s="8">
        <f t="shared" si="1043"/>
        <v>-12463.17638980548</v>
      </c>
      <c r="AU80" s="8">
        <f t="shared" si="1043"/>
        <v>-12443.150602047619</v>
      </c>
      <c r="AV80" s="8">
        <f t="shared" si="1043"/>
        <v>-12426.807442494191</v>
      </c>
      <c r="AW80" s="8">
        <f t="shared" si="1043"/>
        <v>-12414.043971802739</v>
      </c>
      <c r="AX80" s="8">
        <f t="shared" si="1043"/>
        <v>-12404.336983530133</v>
      </c>
      <c r="AY80" s="8">
        <f t="shared" ref="AY80" si="1044">IF(OR(AX80="",AY79=""),"",AX80+AY79)</f>
        <v>-12399.505504373345</v>
      </c>
      <c r="AZ80" s="8">
        <f t="shared" ref="AZ80" si="1045">IF(OR(AY80="",AZ79=""),"",AY80+AZ79)</f>
        <v>-12396.305730956465</v>
      </c>
      <c r="BA80" s="8">
        <f>IF(OR(AZ80="",BA79=""),"",AZ80+BA79)</f>
        <v>-12392.946265311597</v>
      </c>
      <c r="BB80" s="8">
        <f t="shared" ref="BB80" si="1046">IF(OR(BA80="",BB79=""),"",BA80+BB79)</f>
        <v>-12391.274161285884</v>
      </c>
      <c r="BC80" s="8">
        <f t="shared" ref="BC80" si="1047">IF(OR(BB80="",BC79=""),"",BB80+BC79)</f>
        <v>-12391.044276197521</v>
      </c>
      <c r="BD80" s="8">
        <f t="shared" ref="BD80" si="1048">IF(OR(BC80="",BD79=""),"",BC80+BD79)</f>
        <v>-12390.829445541356</v>
      </c>
      <c r="BE80" s="8">
        <f t="shared" ref="BE80" si="1049">IF(OR(BD80="",BE79=""),"",BD80+BE79)</f>
        <v>-12390.498223622973</v>
      </c>
      <c r="BF80" s="8">
        <f t="shared" ref="BF80" si="1050">IF(OR(BE80="",BF79=""),"",BE80+BF79)</f>
        <v>-12390.264539006077</v>
      </c>
      <c r="BG80" s="8">
        <f t="shared" ref="BG80" si="1051">IF(OR(BF80="",BG79=""),"",BF80+BG79)</f>
        <v>-12390.05244175129</v>
      </c>
      <c r="BH80" s="8">
        <f>IF(OR(BG80="",BH79=""),"",BG80+BH79)</f>
        <v>-12389.710080491581</v>
      </c>
      <c r="BI80" s="8">
        <f t="shared" ref="BI80" si="1052">IF(OR(BH80="",BI79=""),"",BH80+BI79)</f>
        <v>-12389.277803817713</v>
      </c>
      <c r="BJ80" s="8">
        <f t="shared" ref="BJ80:CU80" si="1053">IF(OR(BI80="",BJ79=""),"",BI80+BJ79)</f>
        <v>-12388.790261004155</v>
      </c>
      <c r="BK80" s="8">
        <f t="shared" si="1053"/>
        <v>-12388.437198194566</v>
      </c>
      <c r="BL80" s="8">
        <f t="shared" si="1053"/>
        <v>-12387.965187572752</v>
      </c>
      <c r="BM80" s="8">
        <f t="shared" si="1053"/>
        <v>-12387.381472082643</v>
      </c>
      <c r="BN80" s="8">
        <f t="shared" si="1053"/>
        <v>-12386.597201983584</v>
      </c>
      <c r="BO80" s="8">
        <f t="shared" si="1053"/>
        <v>-12385.644056674253</v>
      </c>
      <c r="BP80" s="8">
        <f t="shared" si="1053"/>
        <v>-12384.620646333433</v>
      </c>
      <c r="BQ80" s="8">
        <f t="shared" si="1053"/>
        <v>-12383.771857059721</v>
      </c>
      <c r="BR80" s="8">
        <f t="shared" si="1053"/>
        <v>-12382.323708031188</v>
      </c>
      <c r="BS80" s="8">
        <f t="shared" si="1053"/>
        <v>-12380.765725698633</v>
      </c>
      <c r="BT80" s="8">
        <f t="shared" si="1053"/>
        <v>-12379.424716414345</v>
      </c>
      <c r="BU80" s="8">
        <f t="shared" si="1053"/>
        <v>-12377.940045202009</v>
      </c>
      <c r="BV80" s="8">
        <f t="shared" si="1053"/>
        <v>-12375.19151838662</v>
      </c>
      <c r="BW80" s="8">
        <f t="shared" si="1053"/>
        <v>-12372.527353923275</v>
      </c>
      <c r="BX80" s="12" t="str">
        <f t="shared" si="1053"/>
        <v/>
      </c>
      <c r="BY80" s="12" t="str">
        <f t="shared" si="1053"/>
        <v/>
      </c>
      <c r="BZ80" s="12" t="str">
        <f t="shared" si="1053"/>
        <v/>
      </c>
      <c r="CA80" s="12" t="str">
        <f t="shared" si="1053"/>
        <v/>
      </c>
      <c r="CB80" s="12" t="str">
        <f t="shared" si="1053"/>
        <v/>
      </c>
      <c r="CC80" s="12" t="str">
        <f t="shared" si="1053"/>
        <v/>
      </c>
      <c r="CD80" s="12" t="str">
        <f t="shared" si="1053"/>
        <v/>
      </c>
      <c r="CE80" s="12" t="str">
        <f t="shared" si="1053"/>
        <v/>
      </c>
      <c r="CF80" s="12" t="str">
        <f t="shared" si="1053"/>
        <v/>
      </c>
      <c r="CG80" s="12" t="str">
        <f t="shared" si="1053"/>
        <v/>
      </c>
      <c r="CH80" s="12" t="str">
        <f t="shared" si="1053"/>
        <v/>
      </c>
      <c r="CI80" s="12" t="str">
        <f t="shared" si="1053"/>
        <v/>
      </c>
      <c r="CJ80" s="12" t="str">
        <f t="shared" si="1053"/>
        <v/>
      </c>
      <c r="CK80" s="12" t="str">
        <f t="shared" si="1053"/>
        <v/>
      </c>
      <c r="CL80" s="12" t="str">
        <f t="shared" si="1053"/>
        <v/>
      </c>
      <c r="CM80" s="12" t="str">
        <f t="shared" si="1053"/>
        <v/>
      </c>
      <c r="CN80" s="12" t="str">
        <f t="shared" si="1053"/>
        <v/>
      </c>
      <c r="CO80" s="12" t="str">
        <f t="shared" si="1053"/>
        <v/>
      </c>
      <c r="CP80" s="12" t="str">
        <f t="shared" si="1053"/>
        <v/>
      </c>
      <c r="CQ80" s="12" t="str">
        <f t="shared" si="1053"/>
        <v/>
      </c>
      <c r="CR80" s="12" t="str">
        <f t="shared" si="1053"/>
        <v/>
      </c>
      <c r="CS80" s="12" t="str">
        <f t="shared" si="1053"/>
        <v/>
      </c>
      <c r="CT80" s="12" t="str">
        <f t="shared" si="1053"/>
        <v/>
      </c>
      <c r="CU80" s="12" t="str">
        <f t="shared" si="1053"/>
        <v/>
      </c>
    </row>
    <row r="81" spans="1:99" s="3" customFormat="1" x14ac:dyDescent="0.25">
      <c r="A81" s="293"/>
      <c r="B81" s="84" t="s">
        <v>69</v>
      </c>
      <c r="C81" s="24"/>
      <c r="D81" s="24"/>
      <c r="E81" s="8"/>
      <c r="F81" s="8"/>
      <c r="G81" s="8"/>
      <c r="H81" s="8"/>
      <c r="I81" s="8"/>
      <c r="J81" s="8"/>
      <c r="K81" s="8"/>
      <c r="L81" s="8"/>
      <c r="M81" s="8"/>
      <c r="N81" s="8"/>
      <c r="O81" s="8"/>
      <c r="P81" s="8"/>
      <c r="Q81" s="8"/>
      <c r="R81" s="8"/>
      <c r="S81" s="8"/>
      <c r="T81" s="8"/>
      <c r="U81" s="8"/>
      <c r="V81" s="8"/>
      <c r="W81" s="8"/>
      <c r="X81" s="8"/>
      <c r="Y81" s="8">
        <f>IF(OR(Y79="",Y78=""),"",Y78+Y79)</f>
        <v>-951730.26736456365</v>
      </c>
      <c r="Z81" s="8">
        <f>IF(OR(Z79="",Z78=""),"",Z78+Z79)</f>
        <v>-1406.6105417600129</v>
      </c>
      <c r="AA81" s="8">
        <f>IF(OR(AA79="",AA78=""),"",AA78+AA79)</f>
        <v>10087.876765451136</v>
      </c>
      <c r="AB81" s="8">
        <f t="shared" ref="AB81:AX81" si="1054">IF(OR(AB79="",AB78=""),"",AB78+AB79)</f>
        <v>95774.647381244111</v>
      </c>
      <c r="AC81" s="8">
        <f t="shared" si="1054"/>
        <v>77123.886188167889</v>
      </c>
      <c r="AD81" s="8">
        <f t="shared" si="1054"/>
        <v>74649.332107877955</v>
      </c>
      <c r="AE81" s="8">
        <f t="shared" si="1054"/>
        <v>61232.91746108955</v>
      </c>
      <c r="AF81" s="8">
        <f t="shared" si="1054"/>
        <v>90948.768721296787</v>
      </c>
      <c r="AG81" s="8">
        <f t="shared" si="1054"/>
        <v>106656.94676291278</v>
      </c>
      <c r="AH81" s="8">
        <f t="shared" si="1054"/>
        <v>95904.652205489998</v>
      </c>
      <c r="AI81" s="8">
        <f t="shared" si="1054"/>
        <v>92477.510491465917</v>
      </c>
      <c r="AJ81" s="8">
        <f t="shared" si="1054"/>
        <v>71969.490733883489</v>
      </c>
      <c r="AK81" s="8">
        <f>IF(OR(AK79="",AK78=""),"",AK78+AK79)</f>
        <v>20716.106968104974</v>
      </c>
      <c r="AL81" s="8">
        <f>IF(OR(AL79="",AL78=""),"",AL78+AL79)</f>
        <v>92485.726133173492</v>
      </c>
      <c r="AM81" s="8">
        <f t="shared" si="1054"/>
        <v>91539.887737992729</v>
      </c>
      <c r="AN81" s="8">
        <f t="shared" si="1054"/>
        <v>-3056.7113796302383</v>
      </c>
      <c r="AO81" s="8">
        <f t="shared" si="1054"/>
        <v>-2534.1816225373195</v>
      </c>
      <c r="AP81" s="8">
        <f t="shared" si="1054"/>
        <v>-793.9477915231073</v>
      </c>
      <c r="AQ81" s="8">
        <f t="shared" si="1054"/>
        <v>-7.4985400383772642</v>
      </c>
      <c r="AR81" s="8">
        <f t="shared" si="1054"/>
        <v>-1466.0382079531516</v>
      </c>
      <c r="AS81" s="8">
        <f t="shared" si="1054"/>
        <v>-3185.3733748940208</v>
      </c>
      <c r="AT81" s="8">
        <f t="shared" si="1054"/>
        <v>-3593.7872250564724</v>
      </c>
      <c r="AU81" s="8">
        <f t="shared" si="1054"/>
        <v>-2933.2742122421405</v>
      </c>
      <c r="AV81" s="8">
        <f t="shared" si="1054"/>
        <v>-1566.3168404465732</v>
      </c>
      <c r="AW81" s="8">
        <f t="shared" si="1054"/>
        <v>-846.91652930854798</v>
      </c>
      <c r="AX81" s="8">
        <f t="shared" si="1054"/>
        <v>-2355.0430117273941</v>
      </c>
      <c r="AY81" s="8">
        <f t="shared" ref="AY81:BJ81" si="1055">IF(OR(AY79="",AY78=""),"",AY78+AY79)</f>
        <v>-3017.8485208432107</v>
      </c>
      <c r="AZ81" s="8">
        <f t="shared" si="1055"/>
        <v>-941.79022658312022</v>
      </c>
      <c r="BA81" s="8">
        <f t="shared" si="1055"/>
        <v>5.7994656448678175</v>
      </c>
      <c r="BB81" s="8">
        <f t="shared" si="1055"/>
        <v>1.8321040257130281</v>
      </c>
      <c r="BC81" s="8">
        <f t="shared" si="1055"/>
        <v>-2.1901149116372425</v>
      </c>
      <c r="BD81" s="8">
        <f t="shared" si="1055"/>
        <v>-85.355169343835811</v>
      </c>
      <c r="BE81" s="8">
        <f t="shared" si="1055"/>
        <v>0.46122191838176246</v>
      </c>
      <c r="BF81" s="8">
        <f t="shared" si="1055"/>
        <v>0.63368461689704125</v>
      </c>
      <c r="BG81" s="8">
        <f t="shared" si="1055"/>
        <v>0.8320972547870974</v>
      </c>
      <c r="BH81" s="8">
        <f>IF(OR(BH79="",BH78=""),"",BH78+BH79)</f>
        <v>0.35236125970811027</v>
      </c>
      <c r="BI81" s="8">
        <f t="shared" si="1055"/>
        <v>0.76227667386697573</v>
      </c>
      <c r="BJ81" s="8">
        <f t="shared" si="1055"/>
        <v>0.19754281355907211</v>
      </c>
      <c r="BK81" s="8">
        <f t="shared" ref="BK81:BL81" si="1056">IF(OR(BK79="",BK78=""),"",BK78+BK79)</f>
        <v>0.1730628095890453</v>
      </c>
      <c r="BL81" s="8">
        <f t="shared" si="1056"/>
        <v>383.98201062181403</v>
      </c>
      <c r="BM81" s="8">
        <f t="shared" ref="BM81:BN81" si="1057">IF(OR(BM79="",BM78=""),"",BM78+BM79)</f>
        <v>839.12371549010879</v>
      </c>
      <c r="BN81" s="8">
        <f t="shared" si="1057"/>
        <v>902.52427009905864</v>
      </c>
      <c r="BO81" s="8">
        <f t="shared" ref="BO81:BP81" si="1058">IF(OR(BO79="",BO78=""),"",BO78+BO79)</f>
        <v>919.62314530933054</v>
      </c>
      <c r="BP81" s="8">
        <f t="shared" si="1058"/>
        <v>990.07341034082083</v>
      </c>
      <c r="BQ81" s="8">
        <f t="shared" ref="BQ81:BR81" si="1059">IF(OR(BQ79="",BQ78=""),"",BQ78+BQ79)</f>
        <v>1208.7287892737124</v>
      </c>
      <c r="BR81" s="8">
        <f t="shared" si="1059"/>
        <v>1174.6281490285326</v>
      </c>
      <c r="BS81" s="8">
        <f t="shared" ref="BS81:BT81" si="1060">IF(OR(BS79="",BS78=""),"",BS78+BS79)</f>
        <v>1202.487982332555</v>
      </c>
      <c r="BT81" s="8">
        <f t="shared" si="1060"/>
        <v>1052.6010092842876</v>
      </c>
      <c r="BU81" s="8">
        <f t="shared" ref="BU81:BV81" si="1061">IF(OR(BU79="",BU78=""),"",BU78+BU79)</f>
        <v>900.66467121233563</v>
      </c>
      <c r="BV81" s="8">
        <f t="shared" si="1061"/>
        <v>1035.5785268153886</v>
      </c>
      <c r="BW81" s="8">
        <f t="shared" ref="BW81:BX81" si="1062">IF(OR(BW79="",BW78=""),"",BW78+BW79)</f>
        <v>973.16416446334517</v>
      </c>
      <c r="BX81" s="12" t="str">
        <f t="shared" si="1062"/>
        <v/>
      </c>
      <c r="BY81" s="12" t="str">
        <f t="shared" ref="BY81:BZ81" si="1063">IF(OR(BY79="",BY78=""),"",BY78+BY79)</f>
        <v/>
      </c>
      <c r="BZ81" s="12" t="str">
        <f t="shared" si="1063"/>
        <v/>
      </c>
      <c r="CA81" s="12" t="str">
        <f t="shared" ref="CA81:CB81" si="1064">IF(OR(CA79="",CA78=""),"",CA78+CA79)</f>
        <v/>
      </c>
      <c r="CB81" s="12" t="str">
        <f t="shared" si="1064"/>
        <v/>
      </c>
      <c r="CC81" s="12" t="str">
        <f t="shared" ref="CC81:CD81" si="1065">IF(OR(CC79="",CC78=""),"",CC78+CC79)</f>
        <v/>
      </c>
      <c r="CD81" s="12" t="str">
        <f t="shared" si="1065"/>
        <v/>
      </c>
      <c r="CE81" s="12" t="str">
        <f t="shared" ref="CE81:CF81" si="1066">IF(OR(CE79="",CE78=""),"",CE78+CE79)</f>
        <v/>
      </c>
      <c r="CF81" s="12" t="str">
        <f t="shared" si="1066"/>
        <v/>
      </c>
      <c r="CG81" s="12" t="str">
        <f t="shared" ref="CG81:CH81" si="1067">IF(OR(CG79="",CG78=""),"",CG78+CG79)</f>
        <v/>
      </c>
      <c r="CH81" s="12" t="str">
        <f t="shared" si="1067"/>
        <v/>
      </c>
      <c r="CI81" s="12" t="str">
        <f t="shared" ref="CI81:CJ81" si="1068">IF(OR(CI79="",CI78=""),"",CI78+CI79)</f>
        <v/>
      </c>
      <c r="CJ81" s="12" t="str">
        <f t="shared" si="1068"/>
        <v/>
      </c>
      <c r="CK81" s="12" t="str">
        <f t="shared" ref="CK81:CL81" si="1069">IF(OR(CK79="",CK78=""),"",CK78+CK79)</f>
        <v/>
      </c>
      <c r="CL81" s="12" t="str">
        <f t="shared" si="1069"/>
        <v/>
      </c>
      <c r="CM81" s="12" t="str">
        <f t="shared" ref="CM81:CN81" si="1070">IF(OR(CM79="",CM78=""),"",CM78+CM79)</f>
        <v/>
      </c>
      <c r="CN81" s="12" t="str">
        <f t="shared" si="1070"/>
        <v/>
      </c>
      <c r="CO81" s="12" t="str">
        <f t="shared" ref="CO81:CP81" si="1071">IF(OR(CO79="",CO78=""),"",CO78+CO79)</f>
        <v/>
      </c>
      <c r="CP81" s="12" t="str">
        <f t="shared" si="1071"/>
        <v/>
      </c>
      <c r="CQ81" s="12" t="str">
        <f t="shared" ref="CQ81:CR81" si="1072">IF(OR(CQ79="",CQ78=""),"",CQ78+CQ79)</f>
        <v/>
      </c>
      <c r="CR81" s="12" t="str">
        <f t="shared" si="1072"/>
        <v/>
      </c>
      <c r="CS81" s="12" t="str">
        <f t="shared" ref="CS81:CT81" si="1073">IF(OR(CS79="",CS78=""),"",CS78+CS79)</f>
        <v/>
      </c>
      <c r="CT81" s="12" t="str">
        <f t="shared" si="1073"/>
        <v/>
      </c>
      <c r="CU81" s="12" t="str">
        <f t="shared" ref="CU81" si="1074">IF(OR(CU79="",CU78=""),"",CU78+CU79)</f>
        <v/>
      </c>
    </row>
    <row r="82" spans="1:99" s="3" customFormat="1" x14ac:dyDescent="0.25">
      <c r="A82" s="293"/>
      <c r="B82" s="86" t="s">
        <v>70</v>
      </c>
      <c r="C82" s="26"/>
      <c r="D82" s="26"/>
      <c r="E82" s="8"/>
      <c r="F82" s="8"/>
      <c r="G82" s="8"/>
      <c r="H82" s="8"/>
      <c r="I82" s="8"/>
      <c r="J82" s="8"/>
      <c r="K82" s="8"/>
      <c r="L82" s="8"/>
      <c r="M82" s="8"/>
      <c r="N82" s="8"/>
      <c r="O82" s="8"/>
      <c r="P82" s="8"/>
      <c r="Q82" s="8"/>
      <c r="R82" s="8"/>
      <c r="S82" s="8"/>
      <c r="T82" s="8"/>
      <c r="U82" s="8"/>
      <c r="V82" s="8"/>
      <c r="W82" s="8"/>
      <c r="X82" s="8">
        <v>0</v>
      </c>
      <c r="Y82" s="8">
        <f>IF(OR(Y81=""),"",Y81)</f>
        <v>-951730.26736456365</v>
      </c>
      <c r="Z82" s="8">
        <f>IF(OR(Z81="",Y82=""),"",Z81+Y82)</f>
        <v>-953136.87790632364</v>
      </c>
      <c r="AA82" s="8">
        <f t="shared" ref="AA82:AX82" si="1075">IF(OR(AA81="",Z82=""),"",AA81+Z82)</f>
        <v>-943049.00114087248</v>
      </c>
      <c r="AB82" s="8">
        <f t="shared" si="1075"/>
        <v>-847274.35375962837</v>
      </c>
      <c r="AC82" s="8">
        <f t="shared" si="1075"/>
        <v>-770150.46757146053</v>
      </c>
      <c r="AD82" s="8">
        <f t="shared" si="1075"/>
        <v>-695501.13546358258</v>
      </c>
      <c r="AE82" s="8">
        <f t="shared" si="1075"/>
        <v>-634268.21800249303</v>
      </c>
      <c r="AF82" s="8">
        <f t="shared" si="1075"/>
        <v>-543319.44928119623</v>
      </c>
      <c r="AG82" s="8">
        <f t="shared" si="1075"/>
        <v>-436662.50251828344</v>
      </c>
      <c r="AH82" s="8">
        <f t="shared" si="1075"/>
        <v>-340757.85031279345</v>
      </c>
      <c r="AI82" s="8">
        <f t="shared" si="1075"/>
        <v>-248280.33982132754</v>
      </c>
      <c r="AJ82" s="8">
        <f t="shared" si="1075"/>
        <v>-176310.84908744405</v>
      </c>
      <c r="AK82" s="8">
        <f>IF(OR(AK81="",AJ82=""),"",AK81+AJ82)</f>
        <v>-155594.74211933906</v>
      </c>
      <c r="AL82" s="8">
        <f>IF(OR(AL81="",AK82=""),"",AL81+AK82)</f>
        <v>-63109.01598616557</v>
      </c>
      <c r="AM82" s="8">
        <f t="shared" si="1075"/>
        <v>28430.871751827159</v>
      </c>
      <c r="AN82" s="8">
        <f t="shared" si="1075"/>
        <v>25374.160372196922</v>
      </c>
      <c r="AO82" s="8">
        <f t="shared" si="1075"/>
        <v>22839.978749659604</v>
      </c>
      <c r="AP82" s="8">
        <f t="shared" si="1075"/>
        <v>22046.030958136496</v>
      </c>
      <c r="AQ82" s="8">
        <f t="shared" si="1075"/>
        <v>22038.532418098119</v>
      </c>
      <c r="AR82" s="8">
        <f t="shared" si="1075"/>
        <v>20572.494210144967</v>
      </c>
      <c r="AS82" s="8">
        <f t="shared" si="1075"/>
        <v>17387.120835250946</v>
      </c>
      <c r="AT82" s="8">
        <f t="shared" si="1075"/>
        <v>13793.333610194473</v>
      </c>
      <c r="AU82" s="8">
        <f t="shared" si="1075"/>
        <v>10860.059397952333</v>
      </c>
      <c r="AV82" s="8">
        <f t="shared" si="1075"/>
        <v>9293.7425575057605</v>
      </c>
      <c r="AW82" s="8">
        <f t="shared" si="1075"/>
        <v>8446.8260281972125</v>
      </c>
      <c r="AX82" s="8">
        <f t="shared" si="1075"/>
        <v>6091.7830164698189</v>
      </c>
      <c r="AY82" s="8">
        <f t="shared" ref="AY82" si="1076">IF(OR(AY81="",AX82=""),"",AY81+AX82)</f>
        <v>3073.9344956266082</v>
      </c>
      <c r="AZ82" s="8">
        <f t="shared" ref="AZ82" si="1077">IF(OR(AZ81="",AY82=""),"",AZ81+AY82)</f>
        <v>2132.1442690434878</v>
      </c>
      <c r="BA82" s="8">
        <f>IF(OR(BA81="",AZ82=""),"",BA81+AZ82)</f>
        <v>2137.9437346883556</v>
      </c>
      <c r="BB82" s="8">
        <f t="shared" ref="BB82" si="1078">IF(OR(BB81="",BA82=""),"",BB81+BA82)</f>
        <v>2139.7758387140684</v>
      </c>
      <c r="BC82" s="8">
        <f t="shared" ref="BC82" si="1079">IF(OR(BC81="",BB82=""),"",BC81+BB82)</f>
        <v>2137.5857238024309</v>
      </c>
      <c r="BD82" s="8">
        <f t="shared" ref="BD82" si="1080">IF(OR(BD81="",BC82=""),"",BD81+BC82)</f>
        <v>2052.2305544585952</v>
      </c>
      <c r="BE82" s="8">
        <f t="shared" ref="BE82" si="1081">IF(OR(BE81="",BD82=""),"",BE81+BD82)</f>
        <v>2052.691776376977</v>
      </c>
      <c r="BF82" s="8">
        <f t="shared" ref="BF82" si="1082">IF(OR(BF81="",BE82=""),"",BF81+BE82)</f>
        <v>2053.325460993874</v>
      </c>
      <c r="BG82" s="8">
        <f t="shared" ref="BG82" si="1083">IF(OR(BG81="",BF82=""),"",BG81+BF82)</f>
        <v>2054.1575582486612</v>
      </c>
      <c r="BH82" s="8">
        <f t="shared" ref="BH82" si="1084">IF(OR(BH81="",BG82=""),"",BH81+BG82)</f>
        <v>2054.5099195083694</v>
      </c>
      <c r="BI82" s="8">
        <f t="shared" ref="BI82" si="1085">IF(OR(BI81="",BH82=""),"",BI81+BH82)</f>
        <v>2055.2721961822363</v>
      </c>
      <c r="BJ82" s="8">
        <f t="shared" ref="BJ82:CU82" si="1086">IF(OR(BJ81="",BI82=""),"",BJ81+BI82)</f>
        <v>2055.4697389957955</v>
      </c>
      <c r="BK82" s="8">
        <f t="shared" si="1086"/>
        <v>2055.6428018053844</v>
      </c>
      <c r="BL82" s="8">
        <f t="shared" si="1086"/>
        <v>2439.6248124271983</v>
      </c>
      <c r="BM82" s="8">
        <f t="shared" si="1086"/>
        <v>3278.748527917307</v>
      </c>
      <c r="BN82" s="8">
        <f t="shared" si="1086"/>
        <v>4181.2727980163654</v>
      </c>
      <c r="BO82" s="8">
        <f t="shared" si="1086"/>
        <v>5100.895943325696</v>
      </c>
      <c r="BP82" s="8">
        <f t="shared" si="1086"/>
        <v>6090.9693536665163</v>
      </c>
      <c r="BQ82" s="8">
        <f t="shared" si="1086"/>
        <v>7299.6981429402285</v>
      </c>
      <c r="BR82" s="8">
        <f t="shared" si="1086"/>
        <v>8474.3262919687604</v>
      </c>
      <c r="BS82" s="8">
        <f t="shared" si="1086"/>
        <v>9676.8142743013159</v>
      </c>
      <c r="BT82" s="8">
        <f t="shared" si="1086"/>
        <v>10729.415283585604</v>
      </c>
      <c r="BU82" s="8">
        <f t="shared" si="1086"/>
        <v>11630.07995479794</v>
      </c>
      <c r="BV82" s="8">
        <f t="shared" si="1086"/>
        <v>12665.658481613329</v>
      </c>
      <c r="BW82" s="8">
        <f t="shared" si="1086"/>
        <v>13638.822646076675</v>
      </c>
      <c r="BX82" s="12" t="str">
        <f t="shared" si="1086"/>
        <v/>
      </c>
      <c r="BY82" s="12" t="str">
        <f t="shared" si="1086"/>
        <v/>
      </c>
      <c r="BZ82" s="12" t="str">
        <f t="shared" si="1086"/>
        <v/>
      </c>
      <c r="CA82" s="12" t="str">
        <f t="shared" si="1086"/>
        <v/>
      </c>
      <c r="CB82" s="12" t="str">
        <f t="shared" si="1086"/>
        <v/>
      </c>
      <c r="CC82" s="12" t="str">
        <f t="shared" si="1086"/>
        <v/>
      </c>
      <c r="CD82" s="12" t="str">
        <f t="shared" si="1086"/>
        <v/>
      </c>
      <c r="CE82" s="12" t="str">
        <f t="shared" si="1086"/>
        <v/>
      </c>
      <c r="CF82" s="12" t="str">
        <f t="shared" si="1086"/>
        <v/>
      </c>
      <c r="CG82" s="12" t="str">
        <f t="shared" si="1086"/>
        <v/>
      </c>
      <c r="CH82" s="12" t="str">
        <f t="shared" si="1086"/>
        <v/>
      </c>
      <c r="CI82" s="12" t="str">
        <f t="shared" si="1086"/>
        <v/>
      </c>
      <c r="CJ82" s="12" t="str">
        <f t="shared" si="1086"/>
        <v/>
      </c>
      <c r="CK82" s="12" t="str">
        <f t="shared" si="1086"/>
        <v/>
      </c>
      <c r="CL82" s="12" t="str">
        <f t="shared" si="1086"/>
        <v/>
      </c>
      <c r="CM82" s="12" t="str">
        <f t="shared" si="1086"/>
        <v/>
      </c>
      <c r="CN82" s="12" t="str">
        <f t="shared" si="1086"/>
        <v/>
      </c>
      <c r="CO82" s="12" t="str">
        <f t="shared" si="1086"/>
        <v/>
      </c>
      <c r="CP82" s="12" t="str">
        <f t="shared" si="1086"/>
        <v/>
      </c>
      <c r="CQ82" s="12" t="str">
        <f t="shared" si="1086"/>
        <v/>
      </c>
      <c r="CR82" s="12" t="str">
        <f t="shared" si="1086"/>
        <v/>
      </c>
      <c r="CS82" s="12" t="str">
        <f t="shared" si="1086"/>
        <v/>
      </c>
      <c r="CT82" s="12" t="str">
        <f t="shared" si="1086"/>
        <v/>
      </c>
      <c r="CU82" s="12" t="str">
        <f t="shared" si="1086"/>
        <v/>
      </c>
    </row>
    <row r="83" spans="1:99" s="4" customFormat="1" ht="8.25" customHeight="1" x14ac:dyDescent="0.25">
      <c r="A83" s="40"/>
      <c r="B83" s="11"/>
      <c r="C83" s="11"/>
      <c r="D83" s="11"/>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row>
    <row r="84" spans="1:99" s="4" customFormat="1" x14ac:dyDescent="0.25">
      <c r="A84" s="294" t="s">
        <v>79</v>
      </c>
      <c r="B84" s="52"/>
      <c r="C84" s="92"/>
      <c r="D84" s="92"/>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68">
        <v>9141434.9200000018</v>
      </c>
      <c r="AN84" s="7"/>
      <c r="AO84" s="7"/>
      <c r="AP84" s="67"/>
      <c r="AQ84" s="67"/>
      <c r="AR84" s="67"/>
      <c r="AS84" s="67"/>
      <c r="AT84" s="67"/>
      <c r="AU84" s="67"/>
      <c r="AV84" s="67"/>
      <c r="AW84" s="11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row>
    <row r="85" spans="1:99" ht="15" customHeight="1" x14ac:dyDescent="0.25">
      <c r="A85" s="294"/>
      <c r="B85" s="52" t="s">
        <v>50</v>
      </c>
      <c r="C85" s="37"/>
      <c r="D85" s="37"/>
      <c r="E85" s="60"/>
      <c r="F85" s="60"/>
      <c r="G85" s="60"/>
      <c r="H85" s="60"/>
      <c r="I85" s="60"/>
      <c r="J85" s="60"/>
      <c r="K85" s="60"/>
      <c r="L85" s="60"/>
      <c r="M85" s="60"/>
      <c r="N85" s="60"/>
      <c r="O85" s="60">
        <v>0</v>
      </c>
      <c r="P85" s="60">
        <f>+$N$93/23</f>
        <v>1228112.1191304347</v>
      </c>
      <c r="Q85" s="60">
        <f t="shared" ref="Q85:AL85" si="1087">+$N$93/23</f>
        <v>1228112.1191304347</v>
      </c>
      <c r="R85" s="60">
        <f t="shared" si="1087"/>
        <v>1228112.1191304347</v>
      </c>
      <c r="S85" s="60">
        <f t="shared" si="1087"/>
        <v>1228112.1191304347</v>
      </c>
      <c r="T85" s="60">
        <f t="shared" si="1087"/>
        <v>1228112.1191304347</v>
      </c>
      <c r="U85" s="60">
        <f t="shared" si="1087"/>
        <v>1228112.1191304347</v>
      </c>
      <c r="V85" s="60">
        <f t="shared" si="1087"/>
        <v>1228112.1191304347</v>
      </c>
      <c r="W85" s="60">
        <f t="shared" si="1087"/>
        <v>1228112.1191304347</v>
      </c>
      <c r="X85" s="60">
        <f t="shared" si="1087"/>
        <v>1228112.1191304347</v>
      </c>
      <c r="Y85" s="60">
        <f t="shared" si="1087"/>
        <v>1228112.1191304347</v>
      </c>
      <c r="Z85" s="60">
        <f t="shared" si="1087"/>
        <v>1228112.1191304347</v>
      </c>
      <c r="AA85" s="60">
        <f t="shared" si="1087"/>
        <v>1228112.1191304347</v>
      </c>
      <c r="AB85" s="60">
        <f t="shared" si="1087"/>
        <v>1228112.1191304347</v>
      </c>
      <c r="AC85" s="60">
        <f t="shared" si="1087"/>
        <v>1228112.1191304347</v>
      </c>
      <c r="AD85" s="60">
        <f t="shared" si="1087"/>
        <v>1228112.1191304347</v>
      </c>
      <c r="AE85" s="60">
        <f t="shared" si="1087"/>
        <v>1228112.1191304347</v>
      </c>
      <c r="AF85" s="60">
        <f t="shared" si="1087"/>
        <v>1228112.1191304347</v>
      </c>
      <c r="AG85" s="60">
        <f t="shared" si="1087"/>
        <v>1228112.1191304347</v>
      </c>
      <c r="AH85" s="60">
        <f t="shared" si="1087"/>
        <v>1228112.1191304347</v>
      </c>
      <c r="AI85" s="60">
        <f t="shared" si="1087"/>
        <v>1228112.1191304347</v>
      </c>
      <c r="AJ85" s="60">
        <f t="shared" si="1087"/>
        <v>1228112.1191304347</v>
      </c>
      <c r="AK85" s="60">
        <f t="shared" si="1087"/>
        <v>1228112.1191304347</v>
      </c>
      <c r="AL85" s="60">
        <f t="shared" si="1087"/>
        <v>1228112.1191304347</v>
      </c>
      <c r="AM85" s="60">
        <v>0</v>
      </c>
      <c r="AN85" s="60">
        <f>+$AM$84/23</f>
        <v>397453.69217391312</v>
      </c>
      <c r="AO85" s="60">
        <f t="shared" ref="AO85:AU85" si="1088">+$AM$84/23</f>
        <v>397453.69217391312</v>
      </c>
      <c r="AP85" s="60">
        <f t="shared" si="1088"/>
        <v>397453.69217391312</v>
      </c>
      <c r="AQ85" s="60">
        <f t="shared" si="1088"/>
        <v>397453.69217391312</v>
      </c>
      <c r="AR85" s="60">
        <f t="shared" si="1088"/>
        <v>397453.69217391312</v>
      </c>
      <c r="AS85" s="60">
        <f t="shared" si="1088"/>
        <v>397453.69217391312</v>
      </c>
      <c r="AT85" s="60">
        <f t="shared" si="1088"/>
        <v>397453.69217391312</v>
      </c>
      <c r="AU85" s="60">
        <f t="shared" si="1088"/>
        <v>397453.69217391312</v>
      </c>
      <c r="AV85" s="60">
        <f>+$AM$84/23</f>
        <v>397453.69217391312</v>
      </c>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212"/>
      <c r="BY85" s="212"/>
      <c r="BZ85" s="212"/>
      <c r="CA85" s="212"/>
      <c r="CB85" s="212"/>
      <c r="CC85" s="212"/>
      <c r="CD85" s="212"/>
      <c r="CE85" s="212"/>
      <c r="CF85" s="212"/>
      <c r="CG85" s="212"/>
      <c r="CH85" s="212"/>
      <c r="CI85" s="212"/>
      <c r="CJ85" s="212"/>
      <c r="CK85" s="212"/>
      <c r="CL85" s="212"/>
      <c r="CM85" s="212"/>
      <c r="CN85" s="212"/>
      <c r="CO85" s="212"/>
      <c r="CP85" s="212"/>
      <c r="CQ85" s="212"/>
      <c r="CR85" s="212"/>
      <c r="CS85" s="212"/>
      <c r="CT85" s="212"/>
      <c r="CU85" s="212"/>
    </row>
    <row r="86" spans="1:99" x14ac:dyDescent="0.25">
      <c r="A86" s="294"/>
      <c r="B86" s="52" t="s">
        <v>45</v>
      </c>
      <c r="C86" s="37"/>
      <c r="D86" s="37"/>
      <c r="E86" s="22"/>
      <c r="F86" s="22"/>
      <c r="G86" s="22"/>
      <c r="H86" s="22"/>
      <c r="I86" s="22"/>
      <c r="J86" s="22"/>
      <c r="K86" s="22"/>
      <c r="L86" s="22"/>
      <c r="M86" s="22"/>
      <c r="N86" s="22"/>
      <c r="O86" s="22">
        <v>111256.44</v>
      </c>
      <c r="P86" s="22">
        <v>1192563.6000000001</v>
      </c>
      <c r="Q86" s="22">
        <v>1016925</v>
      </c>
      <c r="R86" s="22">
        <v>981618.06</v>
      </c>
      <c r="S86" s="22">
        <v>967793.86</v>
      </c>
      <c r="T86" s="22">
        <v>1203406.1100000001</v>
      </c>
      <c r="U86" s="22">
        <v>1434329.05</v>
      </c>
      <c r="V86" s="22">
        <v>1468321.4</v>
      </c>
      <c r="W86" s="22">
        <v>1258704.28</v>
      </c>
      <c r="X86" s="22">
        <v>1155858.58</v>
      </c>
      <c r="Y86" s="22">
        <v>1028665.35</v>
      </c>
      <c r="Z86" s="22">
        <v>1189289.51</v>
      </c>
      <c r="AA86" s="22">
        <v>1637210.29</v>
      </c>
      <c r="AB86" s="22">
        <v>1423775.04</v>
      </c>
      <c r="AC86" s="22">
        <v>1230263.3</v>
      </c>
      <c r="AD86" s="22">
        <v>1194467.24</v>
      </c>
      <c r="AE86" s="22">
        <v>1091414.8</v>
      </c>
      <c r="AF86" s="22">
        <v>1441684.6</v>
      </c>
      <c r="AG86" s="22">
        <v>1598515.45</v>
      </c>
      <c r="AH86" s="22">
        <v>1491950.2</v>
      </c>
      <c r="AI86" s="22">
        <v>1453822.87</v>
      </c>
      <c r="AJ86" s="22">
        <v>1221364.94</v>
      </c>
      <c r="AK86" s="22">
        <v>1121505.92</v>
      </c>
      <c r="AL86" s="22">
        <v>1392680.77</v>
      </c>
      <c r="AM86" s="22">
        <v>1342908.72</v>
      </c>
      <c r="AN86" s="22">
        <v>211574.99</v>
      </c>
      <c r="AO86" s="22">
        <v>168611.31</v>
      </c>
      <c r="AP86" s="22">
        <v>143191.22</v>
      </c>
      <c r="AQ86" s="22">
        <v>140873.74</v>
      </c>
      <c r="AR86" s="22">
        <v>166764.85999999999</v>
      </c>
      <c r="AS86" s="22">
        <v>183176.51</v>
      </c>
      <c r="AT86" s="22">
        <v>191116.41</v>
      </c>
      <c r="AU86" s="22">
        <v>187572.91</v>
      </c>
      <c r="AV86" s="22">
        <v>168225.83</v>
      </c>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row>
    <row r="87" spans="1:99" x14ac:dyDescent="0.25">
      <c r="A87" s="294"/>
      <c r="B87" s="52" t="s">
        <v>46</v>
      </c>
      <c r="C87" s="37"/>
      <c r="D87" s="37"/>
      <c r="E87" s="8"/>
      <c r="F87" s="8"/>
      <c r="G87" s="8"/>
      <c r="H87" s="8"/>
      <c r="I87" s="8"/>
      <c r="J87" s="8"/>
      <c r="K87" s="8"/>
      <c r="L87" s="8"/>
      <c r="M87" s="8"/>
      <c r="N87" s="8"/>
      <c r="O87" s="8">
        <f>IF(OR(O85="",O86=""),"",O85-O86)</f>
        <v>-111256.44</v>
      </c>
      <c r="P87" s="8">
        <f>IF(OR(P85="",P86=""),"",P85-P86)</f>
        <v>35548.519130434608</v>
      </c>
      <c r="Q87" s="8">
        <f>IF(OR(Q85="",Q86=""),"",Q85-Q86)</f>
        <v>211187.1191304347</v>
      </c>
      <c r="R87" s="8">
        <f t="shared" ref="R87:AL87" si="1089">IF(OR(R85="",R86=""),"",R85-R86)</f>
        <v>246494.05913043465</v>
      </c>
      <c r="S87" s="8">
        <f t="shared" si="1089"/>
        <v>260318.25913043472</v>
      </c>
      <c r="T87" s="8">
        <f t="shared" si="1089"/>
        <v>24706.009130434599</v>
      </c>
      <c r="U87" s="8">
        <f t="shared" si="1089"/>
        <v>-206216.93086956535</v>
      </c>
      <c r="V87" s="8">
        <f t="shared" si="1089"/>
        <v>-240209.28086956521</v>
      </c>
      <c r="W87" s="8">
        <f t="shared" si="1089"/>
        <v>-30592.160869565327</v>
      </c>
      <c r="X87" s="8">
        <f t="shared" si="1089"/>
        <v>72253.539130434627</v>
      </c>
      <c r="Y87" s="8">
        <f t="shared" si="1089"/>
        <v>199446.76913043472</v>
      </c>
      <c r="Z87" s="8">
        <f t="shared" si="1089"/>
        <v>38822.609130434692</v>
      </c>
      <c r="AA87" s="8">
        <f t="shared" si="1089"/>
        <v>-409098.17086956534</v>
      </c>
      <c r="AB87" s="8">
        <f t="shared" si="1089"/>
        <v>-195662.92086956534</v>
      </c>
      <c r="AC87" s="8">
        <f t="shared" si="1089"/>
        <v>-2151.1808695653453</v>
      </c>
      <c r="AD87" s="8">
        <f t="shared" si="1089"/>
        <v>33644.879130434711</v>
      </c>
      <c r="AE87" s="8">
        <f t="shared" si="1089"/>
        <v>136697.31913043465</v>
      </c>
      <c r="AF87" s="8">
        <f t="shared" si="1089"/>
        <v>-213572.48086956539</v>
      </c>
      <c r="AG87" s="8">
        <f t="shared" si="1089"/>
        <v>-370403.33086956525</v>
      </c>
      <c r="AH87" s="8">
        <f t="shared" si="1089"/>
        <v>-263838.08086956525</v>
      </c>
      <c r="AI87" s="8">
        <f t="shared" si="1089"/>
        <v>-225710.75086956541</v>
      </c>
      <c r="AJ87" s="8">
        <f t="shared" si="1089"/>
        <v>6747.1791304347571</v>
      </c>
      <c r="AK87" s="8">
        <f t="shared" si="1089"/>
        <v>106606.19913043478</v>
      </c>
      <c r="AL87" s="8">
        <f t="shared" si="1089"/>
        <v>-164568.65086956532</v>
      </c>
      <c r="AM87" s="8">
        <f>IF(OR(AM85="",AM86=""),"",AM85-AM86)</f>
        <v>-1342908.72</v>
      </c>
      <c r="AN87" s="8">
        <f>IF(OR(AN85="",AN86=""),"",AN85-AN86)</f>
        <v>185878.70217391313</v>
      </c>
      <c r="AO87" s="8">
        <f t="shared" ref="AO87:AV87" si="1090">IF(OR(AO85="",AO86=""),"",AO85-AO86)</f>
        <v>228842.38217391312</v>
      </c>
      <c r="AP87" s="8">
        <f t="shared" si="1090"/>
        <v>254262.47217391312</v>
      </c>
      <c r="AQ87" s="8">
        <f t="shared" si="1090"/>
        <v>256579.95217391313</v>
      </c>
      <c r="AR87" s="8">
        <f t="shared" si="1090"/>
        <v>230688.83217391314</v>
      </c>
      <c r="AS87" s="8">
        <f t="shared" si="1090"/>
        <v>214277.18217391311</v>
      </c>
      <c r="AT87" s="8">
        <f t="shared" si="1090"/>
        <v>206337.28217391312</v>
      </c>
      <c r="AU87" s="8">
        <f t="shared" si="1090"/>
        <v>209880.78217391312</v>
      </c>
      <c r="AV87" s="8">
        <f t="shared" si="1090"/>
        <v>229227.86217391313</v>
      </c>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row>
    <row r="88" spans="1:99" x14ac:dyDescent="0.25">
      <c r="A88" s="294"/>
      <c r="B88" s="52" t="s">
        <v>4</v>
      </c>
      <c r="C88" s="37"/>
      <c r="D88" s="37"/>
      <c r="E88" s="61"/>
      <c r="F88" s="61"/>
      <c r="G88" s="61"/>
      <c r="H88" s="61"/>
      <c r="I88" s="61"/>
      <c r="J88" s="61"/>
      <c r="K88" s="61"/>
      <c r="L88" s="61"/>
      <c r="M88" s="61"/>
      <c r="N88" s="61"/>
      <c r="O88" s="61">
        <f>+O9</f>
        <v>8.9999999999999993E-3</v>
      </c>
      <c r="P88" s="61">
        <f t="shared" ref="P88:AU88" si="1091">IF(P87="","",P9)</f>
        <v>8.9999999999999993E-3</v>
      </c>
      <c r="Q88" s="61">
        <f t="shared" si="1091"/>
        <v>1.15E-2</v>
      </c>
      <c r="R88" s="61">
        <f t="shared" si="1091"/>
        <v>1.15E-2</v>
      </c>
      <c r="S88" s="61">
        <f t="shared" si="1091"/>
        <v>1.15E-2</v>
      </c>
      <c r="T88" s="61">
        <f t="shared" si="1091"/>
        <v>1.41E-2</v>
      </c>
      <c r="U88" s="61">
        <f t="shared" si="1091"/>
        <v>1.39185E-2</v>
      </c>
      <c r="V88" s="61">
        <f t="shared" si="1091"/>
        <v>1.466976E-2</v>
      </c>
      <c r="W88" s="61">
        <f t="shared" si="1091"/>
        <v>1.4482760000000001E-2</v>
      </c>
      <c r="X88" s="61">
        <f t="shared" si="1091"/>
        <v>1.45083E-2</v>
      </c>
      <c r="Y88" s="61">
        <f t="shared" si="1091"/>
        <v>1.4428689E-2</v>
      </c>
      <c r="Z88" s="61">
        <f t="shared" si="1091"/>
        <v>1.773541E-2</v>
      </c>
      <c r="AA88" s="61">
        <f t="shared" si="1091"/>
        <v>1.715386E-2</v>
      </c>
      <c r="AB88" s="61">
        <f t="shared" si="1091"/>
        <v>1.8275659999999999E-2</v>
      </c>
      <c r="AC88" s="61">
        <f t="shared" si="1091"/>
        <v>2.0539459999999999E-2</v>
      </c>
      <c r="AD88" s="61">
        <f t="shared" si="1091"/>
        <v>2.3111960000000001E-2</v>
      </c>
      <c r="AE88" s="61">
        <f t="shared" si="1091"/>
        <v>2.1987949999999999E-2</v>
      </c>
      <c r="AF88" s="61">
        <f t="shared" si="1091"/>
        <v>2.2795610000000001E-2</v>
      </c>
      <c r="AG88" s="61">
        <f t="shared" si="1091"/>
        <v>2.347169E-2</v>
      </c>
      <c r="AH88" s="61">
        <f t="shared" si="1091"/>
        <v>2.3254460000000001E-2</v>
      </c>
      <c r="AI88" s="61">
        <f t="shared" si="1091"/>
        <v>2.328962E-2</v>
      </c>
      <c r="AJ88" s="61">
        <f t="shared" si="1091"/>
        <v>2.457413E-2</v>
      </c>
      <c r="AK88" s="61">
        <f t="shared" si="1091"/>
        <v>2.5271160000000001E-2</v>
      </c>
      <c r="AL88" s="61">
        <f t="shared" si="1091"/>
        <v>2.7545790000000001E-2</v>
      </c>
      <c r="AM88" s="61">
        <f t="shared" si="1091"/>
        <v>2.8696949999999999E-2</v>
      </c>
      <c r="AN88" s="61">
        <f t="shared" si="1091"/>
        <v>2.8403910000000001E-2</v>
      </c>
      <c r="AO88" s="61">
        <f t="shared" si="1091"/>
        <v>2.7878150000000001E-2</v>
      </c>
      <c r="AP88" s="61">
        <f t="shared" si="1091"/>
        <v>2.6622739999999999E-2</v>
      </c>
      <c r="AQ88" s="61">
        <f t="shared" si="1091"/>
        <v>2.677361E-2</v>
      </c>
      <c r="AR88" s="61">
        <f t="shared" si="1091"/>
        <v>2.6500570000000001E-2</v>
      </c>
      <c r="AS88" s="61">
        <f t="shared" si="1091"/>
        <v>2.594869E-2</v>
      </c>
      <c r="AT88" s="61">
        <f t="shared" si="1091"/>
        <v>2.3511899999999999E-2</v>
      </c>
      <c r="AU88" s="61">
        <f t="shared" si="1091"/>
        <v>2.21687E-2</v>
      </c>
      <c r="AV88" s="61">
        <f>IF(AV87="","",AV9)</f>
        <v>2.113932E-2</v>
      </c>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row>
    <row r="89" spans="1:99" x14ac:dyDescent="0.25">
      <c r="A89" s="294"/>
      <c r="B89" s="52" t="s">
        <v>49</v>
      </c>
      <c r="C89" s="37"/>
      <c r="D89" s="37"/>
      <c r="E89" s="8"/>
      <c r="F89" s="8"/>
      <c r="G89" s="8"/>
      <c r="H89" s="8"/>
      <c r="I89" s="8"/>
      <c r="J89" s="8"/>
      <c r="K89" s="8"/>
      <c r="L89" s="8"/>
      <c r="M89" s="8"/>
      <c r="N89" s="8"/>
      <c r="O89" s="8">
        <f>IF(OR(O88="",O87=""),"",(O87*O88)/12)</f>
        <v>-83.442329999999998</v>
      </c>
      <c r="P89" s="8">
        <f>IF(OR(P88="",P87="",O92=""),"",((O92+P87)*P88)/12)</f>
        <v>-56.843522399674043</v>
      </c>
      <c r="Q89" s="8">
        <f t="shared" ref="Q89" si="1092">IF(OR(Q88="",Q87="",P92=""),"",((P92+Q87)*Q88)/12)</f>
        <v>129.69979105811672</v>
      </c>
      <c r="R89" s="8">
        <f>IF(OR(R88="",R87="",Q92=""),"",((Q92+R87)*R88)/12)</f>
        <v>366.04756002454724</v>
      </c>
      <c r="S89" s="8">
        <f>IF(OR(S88="",S87="",R92=""),"",((R92+S87)*S88)/12)</f>
        <v>615.87002060290411</v>
      </c>
      <c r="T89" s="8">
        <f t="shared" ref="T89:AL89" si="1093">IF(OR(T88="",T87="",S92=""),"",((S92+T87)*T88)/12)</f>
        <v>784.86340717646442</v>
      </c>
      <c r="U89" s="8">
        <f t="shared" si="1093"/>
        <v>536.48485896380782</v>
      </c>
      <c r="V89" s="8">
        <f t="shared" si="1093"/>
        <v>272.4467750165042</v>
      </c>
      <c r="W89" s="8">
        <f t="shared" si="1093"/>
        <v>232.3810492397057</v>
      </c>
      <c r="X89" s="8">
        <f t="shared" si="1093"/>
        <v>320.42813729336018</v>
      </c>
      <c r="Y89" s="8">
        <f t="shared" si="1093"/>
        <v>558.86809083858736</v>
      </c>
      <c r="Z89" s="8">
        <f>IF(OR(Z88="",Z87="",Y92=""),"",((Y92+Z87)*Z88)/12)</f>
        <v>745.15158738024468</v>
      </c>
      <c r="AA89" s="8">
        <f t="shared" si="1093"/>
        <v>136.98194174048376</v>
      </c>
      <c r="AB89" s="8">
        <f t="shared" si="1093"/>
        <v>-151.8404030009703</v>
      </c>
      <c r="AC89" s="8">
        <f t="shared" si="1093"/>
        <v>-174.59072494468225</v>
      </c>
      <c r="AD89" s="8">
        <f t="shared" si="1093"/>
        <v>-131.99397672272605</v>
      </c>
      <c r="AE89" s="8">
        <f t="shared" si="1093"/>
        <v>124.65794932977195</v>
      </c>
      <c r="AF89" s="8">
        <f t="shared" si="1093"/>
        <v>-276.23589991567979</v>
      </c>
      <c r="AG89" s="8">
        <f t="shared" si="1093"/>
        <v>-1009.4682554509072</v>
      </c>
      <c r="AH89" s="8">
        <f t="shared" si="1093"/>
        <v>-1513.366209296918</v>
      </c>
      <c r="AI89" s="8">
        <f t="shared" si="1093"/>
        <v>-1956.6513157516995</v>
      </c>
      <c r="AJ89" s="8">
        <f t="shared" si="1093"/>
        <v>-2054.757728976665</v>
      </c>
      <c r="AK89" s="8">
        <f t="shared" si="1093"/>
        <v>-1892.8616442387747</v>
      </c>
      <c r="AL89" s="8">
        <f t="shared" si="1093"/>
        <v>-2445.3455790213052</v>
      </c>
      <c r="AM89" s="8">
        <f>IF(OR(AM88="",AM87="",AL92=""),"",((AL92+AM87)*AM88)/12)</f>
        <v>-5764.8350030672727</v>
      </c>
      <c r="AN89" s="8">
        <f t="shared" ref="AN89" si="1094">IF(OR(AN88="",AN87="",AM92=""),"",((AM92+AN87)*AN88)/12)</f>
        <v>-5279.6389977080826</v>
      </c>
      <c r="AO89" s="8">
        <f t="shared" ref="AO89" si="1095">IF(OR(AO88="",AO87="",AN92=""),"",((AN92+AO87)*AO88)/12)</f>
        <v>-4662.5358984985905</v>
      </c>
      <c r="AP89" s="8">
        <f t="shared" ref="AP89" si="1096">IF(OR(AP88="",AP87="",AO92=""),"",((AO92+AP87)*AP88)/12)</f>
        <v>-3898.819539094115</v>
      </c>
      <c r="AQ89" s="8">
        <f t="shared" ref="AQ89" si="1097">IF(OR(AQ88="",AQ87="",AP92=""),"",((AP92+AQ87)*AQ88)/12)</f>
        <v>-3357.1484847847314</v>
      </c>
      <c r="AR89" s="8">
        <f t="shared" ref="AR89" si="1098">IF(OR(AR88="",AR87="",AQ92=""),"",((AQ92+AR87)*AR88)/12)</f>
        <v>-2820.8770097525307</v>
      </c>
      <c r="AS89" s="8">
        <f t="shared" ref="AS89" si="1099">IF(OR(AS88="",AS87="",AR92=""),"",((AR92+AS87)*AS88)/12)</f>
        <v>-2304.8804708231155</v>
      </c>
      <c r="AT89" s="8">
        <f t="shared" ref="AT89" si="1100">IF(OR(AT88="",AT87="",AS92=""),"",((AS92+AT87)*AT88)/12)</f>
        <v>-1688.667932842033</v>
      </c>
      <c r="AU89" s="8">
        <f t="shared" ref="AU89" si="1101">IF(OR(AU88="",AU87="",AT92=""),"",((AT92+AU87)*AU88)/12)</f>
        <v>-1207.5844596997761</v>
      </c>
      <c r="AV89" s="8">
        <f>IF(OR(AV88="",AV87="",AU92=""),"",((AU92+AV87)*AV88)/12)</f>
        <v>-749.8287585961034</v>
      </c>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row>
    <row r="90" spans="1:99" x14ac:dyDescent="0.25">
      <c r="A90" s="294"/>
      <c r="B90" s="53" t="s">
        <v>6</v>
      </c>
      <c r="C90" s="37"/>
      <c r="D90" s="37"/>
      <c r="E90" s="8"/>
      <c r="F90" s="8"/>
      <c r="G90" s="8"/>
      <c r="H90" s="8"/>
      <c r="I90" s="8"/>
      <c r="J90" s="8"/>
      <c r="K90" s="8"/>
      <c r="L90" s="8"/>
      <c r="M90" s="8"/>
      <c r="N90" s="8"/>
      <c r="O90" s="8">
        <f>O89</f>
        <v>-83.442329999999998</v>
      </c>
      <c r="P90" s="8">
        <f>IF(OR(O90="",P89=""),"",O90+P89)</f>
        <v>-140.28585239967404</v>
      </c>
      <c r="Q90" s="8">
        <f t="shared" ref="Q90:AL90" si="1102">IF(OR(P90="",Q89=""),"",P90+Q89)</f>
        <v>-10.586061341557325</v>
      </c>
      <c r="R90" s="8">
        <f t="shared" si="1102"/>
        <v>355.46149868298994</v>
      </c>
      <c r="S90" s="8">
        <f t="shared" si="1102"/>
        <v>971.33151928589405</v>
      </c>
      <c r="T90" s="8">
        <f t="shared" si="1102"/>
        <v>1756.1949264623586</v>
      </c>
      <c r="U90" s="8">
        <f t="shared" si="1102"/>
        <v>2292.6797854261663</v>
      </c>
      <c r="V90" s="8">
        <f t="shared" si="1102"/>
        <v>2565.1265604426703</v>
      </c>
      <c r="W90" s="8">
        <f t="shared" si="1102"/>
        <v>2797.5076096823759</v>
      </c>
      <c r="X90" s="8">
        <f t="shared" si="1102"/>
        <v>3117.935746975736</v>
      </c>
      <c r="Y90" s="8">
        <f t="shared" si="1102"/>
        <v>3676.8038378143233</v>
      </c>
      <c r="Z90" s="8">
        <f t="shared" si="1102"/>
        <v>4421.9554251945683</v>
      </c>
      <c r="AA90" s="8">
        <f t="shared" si="1102"/>
        <v>4558.9373669350516</v>
      </c>
      <c r="AB90" s="8">
        <f t="shared" si="1102"/>
        <v>4407.096963934081</v>
      </c>
      <c r="AC90" s="8">
        <f t="shared" si="1102"/>
        <v>4232.5062389893992</v>
      </c>
      <c r="AD90" s="8">
        <f t="shared" si="1102"/>
        <v>4100.5122622666731</v>
      </c>
      <c r="AE90" s="8">
        <f t="shared" si="1102"/>
        <v>4225.1702115964454</v>
      </c>
      <c r="AF90" s="8">
        <f t="shared" si="1102"/>
        <v>3948.9343116807654</v>
      </c>
      <c r="AG90" s="8">
        <f t="shared" si="1102"/>
        <v>2939.4660562298582</v>
      </c>
      <c r="AH90" s="8">
        <f t="shared" si="1102"/>
        <v>1426.0998469329402</v>
      </c>
      <c r="AI90" s="8">
        <f t="shared" si="1102"/>
        <v>-530.5514688187593</v>
      </c>
      <c r="AJ90" s="8">
        <f t="shared" si="1102"/>
        <v>-2585.3091977954246</v>
      </c>
      <c r="AK90" s="8">
        <f t="shared" si="1102"/>
        <v>-4478.1708420341993</v>
      </c>
      <c r="AL90" s="8">
        <f t="shared" si="1102"/>
        <v>-6923.5164210555049</v>
      </c>
      <c r="AM90" s="8">
        <f t="shared" ref="AM90" si="1103">IF(OR(AL90="",AM89=""),"",AL90+AM89)</f>
        <v>-12688.351424122779</v>
      </c>
      <c r="AN90" s="8">
        <f t="shared" ref="AN90" si="1104">IF(OR(AM90="",AN89=""),"",AM90+AN89)</f>
        <v>-17967.990421830862</v>
      </c>
      <c r="AO90" s="8">
        <f t="shared" ref="AO90" si="1105">IF(OR(AN90="",AO89=""),"",AN90+AO89)</f>
        <v>-22630.526320329453</v>
      </c>
      <c r="AP90" s="8">
        <f t="shared" ref="AP90" si="1106">IF(OR(AO90="",AP89=""),"",AO90+AP89)</f>
        <v>-26529.345859423567</v>
      </c>
      <c r="AQ90" s="8">
        <f t="shared" ref="AQ90" si="1107">IF(OR(AP90="",AQ89=""),"",AP90+AQ89)</f>
        <v>-29886.494344208299</v>
      </c>
      <c r="AR90" s="8">
        <f t="shared" ref="AR90" si="1108">IF(OR(AQ90="",AR89=""),"",AQ90+AR89)</f>
        <v>-32707.371353960829</v>
      </c>
      <c r="AS90" s="8">
        <f t="shared" ref="AS90" si="1109">IF(OR(AR90="",AS89=""),"",AR90+AS89)</f>
        <v>-35012.251824783947</v>
      </c>
      <c r="AT90" s="8">
        <f t="shared" ref="AT90" si="1110">IF(OR(AS90="",AT89=""),"",AS90+AT89)</f>
        <v>-36700.919757625983</v>
      </c>
      <c r="AU90" s="8">
        <f t="shared" ref="AU90:AV90" si="1111">IF(OR(AT90="",AU89=""),"",AT90+AU89)</f>
        <v>-37908.504217325761</v>
      </c>
      <c r="AV90" s="8">
        <f t="shared" si="1111"/>
        <v>-38658.332975921861</v>
      </c>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row>
    <row r="91" spans="1:99" x14ac:dyDescent="0.25">
      <c r="A91" s="294"/>
      <c r="B91" s="70" t="s">
        <v>58</v>
      </c>
      <c r="C91" s="37"/>
      <c r="D91" s="37"/>
      <c r="E91" s="8"/>
      <c r="F91" s="8"/>
      <c r="G91" s="8"/>
      <c r="H91" s="8"/>
      <c r="I91" s="8"/>
      <c r="J91" s="8"/>
      <c r="K91" s="8"/>
      <c r="L91" s="8"/>
      <c r="M91" s="8"/>
      <c r="N91" s="8"/>
      <c r="O91" s="8">
        <f>IF(OR(O89="",O87=""),"",O87+O89)</f>
        <v>-111339.88233000001</v>
      </c>
      <c r="P91" s="8">
        <f>IF(OR(P89="",P87=""),"",P87+P89)</f>
        <v>35491.675608034937</v>
      </c>
      <c r="Q91" s="8">
        <f t="shared" ref="Q91:AL91" si="1112">IF(OR(Q89="",Q87=""),"",Q87+Q89)</f>
        <v>211316.81892149281</v>
      </c>
      <c r="R91" s="8">
        <f t="shared" si="1112"/>
        <v>246860.10669045919</v>
      </c>
      <c r="S91" s="8">
        <f t="shared" si="1112"/>
        <v>260934.12915103763</v>
      </c>
      <c r="T91" s="8">
        <f t="shared" si="1112"/>
        <v>25490.872537611063</v>
      </c>
      <c r="U91" s="8">
        <f t="shared" si="1112"/>
        <v>-205680.44601060153</v>
      </c>
      <c r="V91" s="8">
        <f t="shared" si="1112"/>
        <v>-239936.83409454871</v>
      </c>
      <c r="W91" s="8">
        <f t="shared" si="1112"/>
        <v>-30359.779820325621</v>
      </c>
      <c r="X91" s="8">
        <f t="shared" si="1112"/>
        <v>72573.967267727989</v>
      </c>
      <c r="Y91" s="8">
        <f t="shared" si="1112"/>
        <v>200005.63722127333</v>
      </c>
      <c r="Z91" s="8">
        <f t="shared" si="1112"/>
        <v>39567.760717814934</v>
      </c>
      <c r="AA91" s="8">
        <f t="shared" si="1112"/>
        <v>-408961.18892782484</v>
      </c>
      <c r="AB91" s="8">
        <f t="shared" si="1112"/>
        <v>-195814.76127256631</v>
      </c>
      <c r="AC91" s="8">
        <f t="shared" si="1112"/>
        <v>-2325.7715945100276</v>
      </c>
      <c r="AD91" s="8">
        <f t="shared" si="1112"/>
        <v>33512.885153711984</v>
      </c>
      <c r="AE91" s="8">
        <f t="shared" si="1112"/>
        <v>136821.97707976442</v>
      </c>
      <c r="AF91" s="8">
        <f t="shared" si="1112"/>
        <v>-213848.71676948108</v>
      </c>
      <c r="AG91" s="8">
        <f t="shared" si="1112"/>
        <v>-371412.79912501614</v>
      </c>
      <c r="AH91" s="8">
        <f t="shared" si="1112"/>
        <v>-265351.44707886217</v>
      </c>
      <c r="AI91" s="8">
        <f t="shared" si="1112"/>
        <v>-227667.4021853171</v>
      </c>
      <c r="AJ91" s="8">
        <f t="shared" si="1112"/>
        <v>4692.4214014580921</v>
      </c>
      <c r="AK91" s="8">
        <f t="shared" si="1112"/>
        <v>104713.337486196</v>
      </c>
      <c r="AL91" s="8">
        <f t="shared" si="1112"/>
        <v>-167013.99644858664</v>
      </c>
      <c r="AM91" s="8">
        <f t="shared" ref="AM91:AV91" si="1113">IF(OR(AM89="",AM87=""),"",AM87+AM89)</f>
        <v>-1348673.5550030672</v>
      </c>
      <c r="AN91" s="8">
        <f t="shared" si="1113"/>
        <v>180599.06317620506</v>
      </c>
      <c r="AO91" s="8">
        <f t="shared" si="1113"/>
        <v>224179.84627541454</v>
      </c>
      <c r="AP91" s="8">
        <f t="shared" si="1113"/>
        <v>250363.65263481901</v>
      </c>
      <c r="AQ91" s="8">
        <f t="shared" si="1113"/>
        <v>253222.8036891284</v>
      </c>
      <c r="AR91" s="8">
        <f t="shared" si="1113"/>
        <v>227867.95516416061</v>
      </c>
      <c r="AS91" s="8">
        <f t="shared" si="1113"/>
        <v>211972.30170308999</v>
      </c>
      <c r="AT91" s="8">
        <f t="shared" si="1113"/>
        <v>204648.61424107107</v>
      </c>
      <c r="AU91" s="8">
        <f t="shared" si="1113"/>
        <v>208673.19771421334</v>
      </c>
      <c r="AV91" s="8">
        <f t="shared" si="1113"/>
        <v>228478.03341531704</v>
      </c>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row>
    <row r="92" spans="1:99" x14ac:dyDescent="0.25">
      <c r="A92" s="294"/>
      <c r="B92" s="52" t="s">
        <v>48</v>
      </c>
      <c r="C92" s="37"/>
      <c r="D92" s="37"/>
      <c r="E92" s="8"/>
      <c r="F92" s="8"/>
      <c r="G92" s="8"/>
      <c r="H92" s="8"/>
      <c r="I92" s="8"/>
      <c r="J92" s="8"/>
      <c r="K92" s="8"/>
      <c r="L92" s="8"/>
      <c r="M92" s="8"/>
      <c r="N92" s="8"/>
      <c r="O92" s="8">
        <f>N92+O91</f>
        <v>-111339.88233000001</v>
      </c>
      <c r="P92" s="8">
        <f>IF(OR(P91="",O92=""),"",O92+P91)</f>
        <v>-75848.206721965078</v>
      </c>
      <c r="Q92" s="8">
        <f t="shared" ref="Q92:AL92" si="1114">IF(OR(Q91="",P92=""),"",P92+Q91)</f>
        <v>135468.61219952774</v>
      </c>
      <c r="R92" s="8">
        <f t="shared" si="1114"/>
        <v>382328.71888998692</v>
      </c>
      <c r="S92" s="8">
        <f t="shared" si="1114"/>
        <v>643262.84804102452</v>
      </c>
      <c r="T92" s="8">
        <f t="shared" si="1114"/>
        <v>668753.72057863558</v>
      </c>
      <c r="U92" s="8">
        <f t="shared" si="1114"/>
        <v>463073.27456803404</v>
      </c>
      <c r="V92" s="8">
        <f t="shared" si="1114"/>
        <v>223136.44047348533</v>
      </c>
      <c r="W92" s="8">
        <f t="shared" si="1114"/>
        <v>192776.66065315972</v>
      </c>
      <c r="X92" s="8">
        <f t="shared" si="1114"/>
        <v>265350.62792088772</v>
      </c>
      <c r="Y92" s="8">
        <f t="shared" si="1114"/>
        <v>465356.26514216105</v>
      </c>
      <c r="Z92" s="8">
        <f t="shared" si="1114"/>
        <v>504924.02585997595</v>
      </c>
      <c r="AA92" s="8">
        <f t="shared" si="1114"/>
        <v>95962.836932151113</v>
      </c>
      <c r="AB92" s="8">
        <f t="shared" si="1114"/>
        <v>-99851.924340415193</v>
      </c>
      <c r="AC92" s="8">
        <f t="shared" si="1114"/>
        <v>-102177.69593492521</v>
      </c>
      <c r="AD92" s="8">
        <f t="shared" si="1114"/>
        <v>-68664.810781213222</v>
      </c>
      <c r="AE92" s="8">
        <f t="shared" si="1114"/>
        <v>68157.166298551194</v>
      </c>
      <c r="AF92" s="8">
        <f t="shared" si="1114"/>
        <v>-145691.55047092988</v>
      </c>
      <c r="AG92" s="8">
        <f t="shared" si="1114"/>
        <v>-517104.34959594603</v>
      </c>
      <c r="AH92" s="8">
        <f t="shared" si="1114"/>
        <v>-782455.79667480825</v>
      </c>
      <c r="AI92" s="8">
        <f t="shared" si="1114"/>
        <v>-1010123.1988601254</v>
      </c>
      <c r="AJ92" s="8">
        <f t="shared" si="1114"/>
        <v>-1005430.7774586673</v>
      </c>
      <c r="AK92" s="8">
        <f t="shared" si="1114"/>
        <v>-900717.43997247133</v>
      </c>
      <c r="AL92" s="8">
        <f t="shared" si="1114"/>
        <v>-1067731.4364210579</v>
      </c>
      <c r="AM92" s="8">
        <f t="shared" ref="AM92" si="1115">IF(OR(AM91="",AL92=""),"",AL92+AM91)</f>
        <v>-2416404.9914241252</v>
      </c>
      <c r="AN92" s="8">
        <f t="shared" ref="AN92" si="1116">IF(OR(AN91="",AM92=""),"",AM92+AN91)</f>
        <v>-2235805.9282479202</v>
      </c>
      <c r="AO92" s="8">
        <f t="shared" ref="AO92" si="1117">IF(OR(AO91="",AN92=""),"",AN92+AO91)</f>
        <v>-2011626.0819725057</v>
      </c>
      <c r="AP92" s="8">
        <f t="shared" ref="AP92" si="1118">IF(OR(AP91="",AO92=""),"",AO92+AP91)</f>
        <v>-1761262.4293376866</v>
      </c>
      <c r="AQ92" s="8">
        <f t="shared" ref="AQ92" si="1119">IF(OR(AQ91="",AP92=""),"",AP92+AQ91)</f>
        <v>-1508039.6256485581</v>
      </c>
      <c r="AR92" s="8">
        <f t="shared" ref="AR92" si="1120">IF(OR(AR91="",AQ92=""),"",AQ92+AR91)</f>
        <v>-1280171.6704843976</v>
      </c>
      <c r="AS92" s="8">
        <f t="shared" ref="AS92" si="1121">IF(OR(AS91="",AR92=""),"",AR92+AS91)</f>
        <v>-1068199.3687813075</v>
      </c>
      <c r="AT92" s="8">
        <f t="shared" ref="AT92" si="1122">IF(OR(AT91="",AS92=""),"",AS92+AT91)</f>
        <v>-863550.75454023643</v>
      </c>
      <c r="AU92" s="8">
        <f t="shared" ref="AU92:AV92" si="1123">IF(OR(AU91="",AT92=""),"",AT92+AU91)</f>
        <v>-654877.55682602315</v>
      </c>
      <c r="AV92" s="8">
        <f t="shared" si="1123"/>
        <v>-426399.52341070608</v>
      </c>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row>
    <row r="93" spans="1:99" x14ac:dyDescent="0.25">
      <c r="A93" s="294"/>
      <c r="B93" s="54" t="s">
        <v>47</v>
      </c>
      <c r="C93" s="37"/>
      <c r="D93" s="37"/>
      <c r="E93" s="8"/>
      <c r="F93" s="8"/>
      <c r="G93" s="8"/>
      <c r="H93" s="8"/>
      <c r="I93" s="8"/>
      <c r="J93" s="8"/>
      <c r="K93" s="8"/>
      <c r="L93" s="8"/>
      <c r="M93" s="8"/>
      <c r="N93" s="8">
        <v>28246578.739999998</v>
      </c>
      <c r="O93" s="8">
        <f>N93-O86+O89</f>
        <v>28135238.857669998</v>
      </c>
      <c r="P93" s="8">
        <f>IF(P86="","",O93-P86+P89)</f>
        <v>26942618.414147597</v>
      </c>
      <c r="Q93" s="8">
        <f t="shared" ref="Q93:AU93" si="1124">IF(Q86="","",P93-Q86+Q89)</f>
        <v>25925823.113938656</v>
      </c>
      <c r="R93" s="8">
        <f t="shared" si="1124"/>
        <v>24944571.101498682</v>
      </c>
      <c r="S93" s="8">
        <f t="shared" si="1124"/>
        <v>23977393.111519285</v>
      </c>
      <c r="T93" s="8">
        <f t="shared" si="1124"/>
        <v>22774771.864926461</v>
      </c>
      <c r="U93" s="8">
        <f t="shared" si="1124"/>
        <v>21340979.299785424</v>
      </c>
      <c r="V93" s="8">
        <f t="shared" si="1124"/>
        <v>19872930.346560441</v>
      </c>
      <c r="W93" s="8">
        <f t="shared" si="1124"/>
        <v>18614458.447609678</v>
      </c>
      <c r="X93" s="8">
        <f t="shared" si="1124"/>
        <v>17458920.295746975</v>
      </c>
      <c r="Y93" s="8">
        <f t="shared" si="1124"/>
        <v>16430813.813837813</v>
      </c>
      <c r="Z93" s="8">
        <f t="shared" si="1124"/>
        <v>15242269.455425194</v>
      </c>
      <c r="AA93" s="8">
        <f t="shared" si="1124"/>
        <v>13605196.147366934</v>
      </c>
      <c r="AB93" s="8">
        <f t="shared" si="1124"/>
        <v>12181269.266963933</v>
      </c>
      <c r="AC93" s="8">
        <f t="shared" si="1124"/>
        <v>10950831.376238987</v>
      </c>
      <c r="AD93" s="8">
        <f t="shared" si="1124"/>
        <v>9756232.1422622632</v>
      </c>
      <c r="AE93" s="8">
        <f t="shared" si="1124"/>
        <v>8664942.0002115928</v>
      </c>
      <c r="AF93" s="8">
        <f t="shared" si="1124"/>
        <v>7222981.1643116772</v>
      </c>
      <c r="AG93" s="8">
        <f t="shared" si="1124"/>
        <v>5623456.2460562261</v>
      </c>
      <c r="AH93" s="8">
        <f t="shared" si="1124"/>
        <v>4129992.6798469289</v>
      </c>
      <c r="AI93" s="8">
        <f t="shared" si="1124"/>
        <v>2674213.1585311773</v>
      </c>
      <c r="AJ93" s="8">
        <f t="shared" si="1124"/>
        <v>1450793.4608022007</v>
      </c>
      <c r="AK93" s="8">
        <f t="shared" si="1124"/>
        <v>327394.67915796203</v>
      </c>
      <c r="AL93" s="8">
        <f>IF(AL86="","",AK93-AL86+AL89)</f>
        <v>-1067731.4364210593</v>
      </c>
      <c r="AM93" s="8">
        <f>IF(AM86="","",AL93-AM86+AM89+AM84)</f>
        <v>6725029.9285758752</v>
      </c>
      <c r="AN93" s="8">
        <f t="shared" si="1124"/>
        <v>6508175.2995781666</v>
      </c>
      <c r="AO93" s="8">
        <f t="shared" si="1124"/>
        <v>6334901.4536796687</v>
      </c>
      <c r="AP93" s="8">
        <f t="shared" si="1124"/>
        <v>6187811.4141405746</v>
      </c>
      <c r="AQ93" s="8">
        <f t="shared" si="1124"/>
        <v>6043580.5256557893</v>
      </c>
      <c r="AR93" s="8">
        <f t="shared" si="1124"/>
        <v>5873994.7886460368</v>
      </c>
      <c r="AS93" s="8">
        <f t="shared" si="1124"/>
        <v>5688513.3981752135</v>
      </c>
      <c r="AT93" s="8">
        <f t="shared" si="1124"/>
        <v>5495708.3202423714</v>
      </c>
      <c r="AU93" s="8">
        <f t="shared" si="1124"/>
        <v>5306927.8257826716</v>
      </c>
      <c r="AV93" s="8">
        <f>IF(AV86="","",AU93-AV86+AV89)</f>
        <v>5137952.1670240751</v>
      </c>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row>
    <row r="94" spans="1:99" s="4" customFormat="1" ht="8.25" customHeight="1" x14ac:dyDescent="0.25">
      <c r="A94" s="40"/>
      <c r="B94" s="11"/>
      <c r="C94" s="11"/>
      <c r="D94" s="11"/>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row>
    <row r="95" spans="1:99" s="4" customFormat="1" x14ac:dyDescent="0.25">
      <c r="A95" s="294" t="s">
        <v>78</v>
      </c>
      <c r="B95" s="52"/>
      <c r="C95" s="92"/>
      <c r="D95" s="92"/>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68">
        <v>5616785</v>
      </c>
      <c r="AM95" s="68">
        <f>6127402+5086355</f>
        <v>11213757</v>
      </c>
      <c r="AN95" s="7"/>
      <c r="AO95" s="7"/>
      <c r="AP95" s="67"/>
      <c r="AQ95" s="67"/>
      <c r="AR95" s="67"/>
      <c r="AS95" s="67"/>
      <c r="AT95" s="67"/>
      <c r="AU95" s="68">
        <v>17719482</v>
      </c>
      <c r="AV95" s="67"/>
      <c r="AW95" s="68">
        <f>+AV93</f>
        <v>5137952.1670240751</v>
      </c>
      <c r="AX95" s="67"/>
      <c r="AY95" s="67"/>
      <c r="AZ95" s="7"/>
      <c r="BA95" s="67"/>
      <c r="BB95" s="67"/>
      <c r="BC95" s="67"/>
      <c r="BD95" s="67"/>
      <c r="BE95" s="67"/>
      <c r="BF95" s="68">
        <v>-695012</v>
      </c>
      <c r="BG95" s="67"/>
      <c r="BH95" s="67"/>
      <c r="BI95" s="67"/>
      <c r="BJ95" s="67"/>
      <c r="BK95" s="67"/>
      <c r="BL95" s="67"/>
      <c r="BM95" s="67"/>
      <c r="BN95" s="67"/>
      <c r="BO95" s="67"/>
      <c r="BP95" s="67"/>
      <c r="BQ95" s="67"/>
      <c r="BR95" s="68">
        <v>-19829.638093632686</v>
      </c>
      <c r="BS95" s="67"/>
      <c r="BT95" s="67"/>
      <c r="BU95" s="67"/>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row>
    <row r="96" spans="1:99" ht="15" customHeight="1" x14ac:dyDescent="0.25">
      <c r="A96" s="294"/>
      <c r="B96" s="52" t="s">
        <v>72</v>
      </c>
      <c r="C96" s="37"/>
      <c r="D96" s="37"/>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v>0</v>
      </c>
      <c r="AE96" s="60">
        <v>0</v>
      </c>
      <c r="AF96" s="60">
        <v>0</v>
      </c>
      <c r="AG96" s="60">
        <v>0</v>
      </c>
      <c r="AH96" s="60">
        <v>0</v>
      </c>
      <c r="AI96" s="60">
        <v>0</v>
      </c>
      <c r="AJ96" s="60">
        <v>0</v>
      </c>
      <c r="AK96" s="60">
        <v>0</v>
      </c>
      <c r="AL96" s="60">
        <v>0</v>
      </c>
      <c r="AM96" s="60">
        <v>0</v>
      </c>
      <c r="AN96" s="60">
        <v>0</v>
      </c>
      <c r="AO96" s="60">
        <v>0</v>
      </c>
      <c r="AP96" s="60">
        <v>0</v>
      </c>
      <c r="AQ96" s="60">
        <v>0</v>
      </c>
      <c r="AR96" s="60">
        <v>0</v>
      </c>
      <c r="AS96" s="60">
        <v>0</v>
      </c>
      <c r="AT96" s="60">
        <v>0</v>
      </c>
      <c r="AU96" s="60">
        <v>0</v>
      </c>
      <c r="AV96" s="60">
        <v>0</v>
      </c>
      <c r="AW96" s="60">
        <f>+$AM$84/23</f>
        <v>397453.69217391312</v>
      </c>
      <c r="AX96" s="60">
        <f t="shared" ref="AX96" si="1125">+$AM$84/23</f>
        <v>397453.69217391312</v>
      </c>
      <c r="AY96" s="60">
        <f>+$AM$84/23</f>
        <v>397453.69217391312</v>
      </c>
      <c r="AZ96" s="118">
        <f>43584506/23</f>
        <v>1894978.5217391304</v>
      </c>
      <c r="BA96" s="60">
        <f t="shared" ref="BA96:BK96" si="1126">43584506/23</f>
        <v>1894978.5217391304</v>
      </c>
      <c r="BB96" s="60">
        <f t="shared" si="1126"/>
        <v>1894978.5217391304</v>
      </c>
      <c r="BC96" s="60">
        <f t="shared" si="1126"/>
        <v>1894978.5217391304</v>
      </c>
      <c r="BD96" s="60">
        <f t="shared" si="1126"/>
        <v>1894978.5217391304</v>
      </c>
      <c r="BE96" s="60">
        <f t="shared" si="1126"/>
        <v>1894978.5217391304</v>
      </c>
      <c r="BF96" s="60">
        <f t="shared" si="1126"/>
        <v>1894978.5217391304</v>
      </c>
      <c r="BG96" s="60">
        <f t="shared" si="1126"/>
        <v>1894978.5217391304</v>
      </c>
      <c r="BH96" s="60">
        <f t="shared" si="1126"/>
        <v>1894978.5217391304</v>
      </c>
      <c r="BI96" s="60">
        <f t="shared" si="1126"/>
        <v>1894978.5217391304</v>
      </c>
      <c r="BJ96" s="60">
        <f t="shared" si="1126"/>
        <v>1894978.5217391304</v>
      </c>
      <c r="BK96" s="60">
        <f t="shared" si="1126"/>
        <v>1894978.5217391304</v>
      </c>
      <c r="BL96" s="118">
        <f t="shared" ref="BL96:BV96" si="1127">(43584506/23)+(-695012/12)</f>
        <v>1837060.8550724636</v>
      </c>
      <c r="BM96" s="60">
        <f t="shared" si="1127"/>
        <v>1837060.8550724636</v>
      </c>
      <c r="BN96" s="60">
        <f t="shared" si="1127"/>
        <v>1837060.8550724636</v>
      </c>
      <c r="BO96" s="60">
        <f t="shared" si="1127"/>
        <v>1837060.8550724636</v>
      </c>
      <c r="BP96" s="60">
        <f t="shared" si="1127"/>
        <v>1837060.8550724636</v>
      </c>
      <c r="BQ96" s="60">
        <f t="shared" si="1127"/>
        <v>1837060.8550724636</v>
      </c>
      <c r="BR96" s="60">
        <f t="shared" si="1127"/>
        <v>1837060.8550724636</v>
      </c>
      <c r="BS96" s="60">
        <f t="shared" si="1127"/>
        <v>1837060.8550724636</v>
      </c>
      <c r="BT96" s="60">
        <f t="shared" si="1127"/>
        <v>1837060.8550724636</v>
      </c>
      <c r="BU96" s="60">
        <f t="shared" si="1127"/>
        <v>1837060.8550724636</v>
      </c>
      <c r="BV96" s="60">
        <f t="shared" si="1127"/>
        <v>1837060.8550724636</v>
      </c>
      <c r="BW96" s="60">
        <f>(-695012/12)</f>
        <v>-57917.666666666664</v>
      </c>
      <c r="BX96" s="212"/>
      <c r="BY96" s="212"/>
      <c r="BZ96" s="212"/>
      <c r="CA96" s="212"/>
      <c r="CB96" s="212"/>
      <c r="CC96" s="212"/>
      <c r="CD96" s="212"/>
      <c r="CE96" s="212"/>
      <c r="CF96" s="212"/>
      <c r="CG96" s="212"/>
      <c r="CH96" s="212"/>
      <c r="CI96" s="212"/>
      <c r="CJ96" s="212"/>
      <c r="CK96" s="212"/>
      <c r="CL96" s="212"/>
      <c r="CM96" s="212"/>
      <c r="CN96" s="212"/>
      <c r="CO96" s="212"/>
      <c r="CP96" s="212"/>
      <c r="CQ96" s="212"/>
      <c r="CR96" s="212"/>
      <c r="CS96" s="212"/>
      <c r="CT96" s="212"/>
      <c r="CU96" s="212"/>
    </row>
    <row r="97" spans="1:99" x14ac:dyDescent="0.25">
      <c r="A97" s="294"/>
      <c r="B97" s="52" t="s">
        <v>73</v>
      </c>
      <c r="C97" s="37"/>
      <c r="D97" s="37"/>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150382.70000000001</v>
      </c>
      <c r="AX97" s="22">
        <v>168628.67</v>
      </c>
      <c r="AY97" s="22">
        <v>178410.97</v>
      </c>
      <c r="AZ97" s="22">
        <v>974302.29</v>
      </c>
      <c r="BA97" s="22">
        <v>1842413.4500000002</v>
      </c>
      <c r="BB97" s="22">
        <v>1551951</v>
      </c>
      <c r="BC97" s="22">
        <v>1425563.68</v>
      </c>
      <c r="BD97" s="22">
        <v>1745884.99</v>
      </c>
      <c r="BE97" s="22">
        <v>2194313.89</v>
      </c>
      <c r="BF97" s="22">
        <v>2131578.6800000002</v>
      </c>
      <c r="BG97" s="22">
        <v>2017374.93</v>
      </c>
      <c r="BH97" s="22">
        <v>1555195.29</v>
      </c>
      <c r="BI97" s="22">
        <v>1583158.96</v>
      </c>
      <c r="BJ97" s="22">
        <v>1876199.76</v>
      </c>
      <c r="BK97" s="22">
        <v>2208883.19</v>
      </c>
      <c r="BL97" s="22">
        <v>2225379.46</v>
      </c>
      <c r="BM97" s="22">
        <v>1811132.25</v>
      </c>
      <c r="BN97" s="22">
        <v>1487332.63</v>
      </c>
      <c r="BO97" s="22">
        <v>1466226.4</v>
      </c>
      <c r="BP97" s="22">
        <v>1702068.99</v>
      </c>
      <c r="BQ97" s="22">
        <v>2140875.2000000002</v>
      </c>
      <c r="BR97" s="22">
        <v>2124604.4300000002</v>
      </c>
      <c r="BS97" s="22">
        <v>2135977.81</v>
      </c>
      <c r="BT97" s="22">
        <v>1701158.29</v>
      </c>
      <c r="BU97" s="22">
        <v>1511011.77</v>
      </c>
      <c r="BV97" s="22">
        <v>1819161.98</v>
      </c>
      <c r="BW97" s="22">
        <v>2089766.47</v>
      </c>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row>
    <row r="98" spans="1:99" x14ac:dyDescent="0.25">
      <c r="A98" s="294"/>
      <c r="B98" s="52" t="s">
        <v>74</v>
      </c>
      <c r="C98" s="37"/>
      <c r="D98" s="37"/>
      <c r="E98" s="8"/>
      <c r="F98" s="8"/>
      <c r="G98" s="8"/>
      <c r="H98" s="8"/>
      <c r="I98" s="8"/>
      <c r="J98" s="8"/>
      <c r="K98" s="8"/>
      <c r="L98" s="8"/>
      <c r="M98" s="8"/>
      <c r="N98" s="8"/>
      <c r="O98" s="8" t="str">
        <f>IF(OR(O96="",O97=""),"",O96-O97)</f>
        <v/>
      </c>
      <c r="P98" s="8" t="str">
        <f>IF(OR(P96="",P97=""),"",P96-P97)</f>
        <v/>
      </c>
      <c r="Q98" s="8" t="str">
        <f>IF(OR(Q96="",Q97=""),"",Q96-Q97)</f>
        <v/>
      </c>
      <c r="R98" s="8" t="str">
        <f t="shared" ref="R98:AC98" si="1128">IF(OR(R96="",R97=""),"",R96-R97)</f>
        <v/>
      </c>
      <c r="S98" s="8" t="str">
        <f t="shared" si="1128"/>
        <v/>
      </c>
      <c r="T98" s="8" t="str">
        <f t="shared" si="1128"/>
        <v/>
      </c>
      <c r="U98" s="8" t="str">
        <f t="shared" si="1128"/>
        <v/>
      </c>
      <c r="V98" s="8" t="str">
        <f t="shared" si="1128"/>
        <v/>
      </c>
      <c r="W98" s="8" t="str">
        <f t="shared" si="1128"/>
        <v/>
      </c>
      <c r="X98" s="8" t="str">
        <f t="shared" si="1128"/>
        <v/>
      </c>
      <c r="Y98" s="8" t="str">
        <f t="shared" si="1128"/>
        <v/>
      </c>
      <c r="Z98" s="8" t="str">
        <f t="shared" si="1128"/>
        <v/>
      </c>
      <c r="AA98" s="8" t="str">
        <f t="shared" si="1128"/>
        <v/>
      </c>
      <c r="AB98" s="8" t="str">
        <f t="shared" si="1128"/>
        <v/>
      </c>
      <c r="AC98" s="8" t="str">
        <f t="shared" si="1128"/>
        <v/>
      </c>
      <c r="AD98" s="8"/>
      <c r="AE98" s="8"/>
      <c r="AF98" s="8"/>
      <c r="AG98" s="8"/>
      <c r="AH98" s="8"/>
      <c r="AI98" s="8"/>
      <c r="AJ98" s="8"/>
      <c r="AK98" s="8"/>
      <c r="AL98" s="8"/>
      <c r="AM98" s="8"/>
      <c r="AN98" s="8"/>
      <c r="AO98" s="8"/>
      <c r="AP98" s="8"/>
      <c r="AQ98" s="8"/>
      <c r="AR98" s="8"/>
      <c r="AS98" s="8"/>
      <c r="AT98" s="8"/>
      <c r="AU98" s="8"/>
      <c r="AV98" s="8"/>
      <c r="AW98" s="7">
        <f>IF(OR(AW96="",AW97=""),"",AW96-AW97)</f>
        <v>247070.99217391311</v>
      </c>
      <c r="AX98" s="8">
        <f t="shared" ref="AX98:BJ98" si="1129">IF(OR(AX96="",AX97=""),"",AX96-AX97)</f>
        <v>228825.02217391311</v>
      </c>
      <c r="AY98" s="8">
        <f t="shared" si="1129"/>
        <v>219042.72217391312</v>
      </c>
      <c r="AZ98" s="8">
        <f t="shared" si="1129"/>
        <v>920676.23173913034</v>
      </c>
      <c r="BA98" s="8">
        <f t="shared" si="1129"/>
        <v>52565.071739130188</v>
      </c>
      <c r="BB98" s="8">
        <f t="shared" si="1129"/>
        <v>343027.52173913037</v>
      </c>
      <c r="BC98" s="8">
        <f t="shared" si="1129"/>
        <v>469414.84173913044</v>
      </c>
      <c r="BD98" s="8">
        <f t="shared" si="1129"/>
        <v>149093.53173913038</v>
      </c>
      <c r="BE98" s="8">
        <f t="shared" si="1129"/>
        <v>-299335.36826086976</v>
      </c>
      <c r="BF98" s="8">
        <f>IF(OR(BF96="",BF97=""),"",BF96-BF97)</f>
        <v>-236600.15826086979</v>
      </c>
      <c r="BG98" s="8">
        <f>IF(OR(BG96="",BG97=""),"",BG96-BG97)</f>
        <v>-122396.40826086956</v>
      </c>
      <c r="BH98" s="8">
        <f t="shared" si="1129"/>
        <v>339783.23173913034</v>
      </c>
      <c r="BI98" s="8">
        <f t="shared" si="1129"/>
        <v>311819.56173913041</v>
      </c>
      <c r="BJ98" s="8">
        <f t="shared" si="1129"/>
        <v>18778.761739130365</v>
      </c>
      <c r="BK98" s="8">
        <f t="shared" ref="BK98:BL98" si="1130">IF(OR(BK96="",BK97=""),"",BK96-BK97)</f>
        <v>-313904.66826086957</v>
      </c>
      <c r="BL98" s="8">
        <f t="shared" si="1130"/>
        <v>-388318.60492753633</v>
      </c>
      <c r="BM98" s="8">
        <f t="shared" ref="BM98:BN98" si="1131">IF(OR(BM96="",BM97=""),"",BM96-BM97)</f>
        <v>25928.60507246363</v>
      </c>
      <c r="BN98" s="8">
        <f t="shared" si="1131"/>
        <v>349728.22507246374</v>
      </c>
      <c r="BO98" s="8">
        <f t="shared" ref="BO98:BW98" si="1132">IF(OR(BO96="",BO97=""),"",BO96-BO97)</f>
        <v>370834.45507246372</v>
      </c>
      <c r="BP98" s="8">
        <f t="shared" si="1132"/>
        <v>134991.86507246364</v>
      </c>
      <c r="BQ98" s="8">
        <f>IF(OR(BQ96="",BQ97=""),"",BQ96-BQ97)</f>
        <v>-303814.34492753656</v>
      </c>
      <c r="BR98" s="8">
        <f>IF(OR(BR96="",BR97=""),"",BR96-BR97)</f>
        <v>-287543.57492753654</v>
      </c>
      <c r="BS98" s="8">
        <f>IF(OR(BS96="",BS97=""),"",BS96-BS97)</f>
        <v>-298916.95492753643</v>
      </c>
      <c r="BT98" s="8">
        <f t="shared" si="1132"/>
        <v>135902.56507246359</v>
      </c>
      <c r="BU98" s="8">
        <f t="shared" si="1132"/>
        <v>326049.08507246361</v>
      </c>
      <c r="BV98" s="8">
        <f t="shared" si="1132"/>
        <v>17898.875072463648</v>
      </c>
      <c r="BW98" s="8">
        <f t="shared" si="1132"/>
        <v>-2147684.1366666667</v>
      </c>
      <c r="BX98" s="12" t="str">
        <f t="shared" ref="BX98:BY98" si="1133">IF(OR(BX96="",BX97=""),"",BX96-BX97)</f>
        <v/>
      </c>
      <c r="BY98" s="12" t="str">
        <f t="shared" si="1133"/>
        <v/>
      </c>
      <c r="BZ98" s="12" t="str">
        <f t="shared" ref="BZ98:CA98" si="1134">IF(OR(BZ96="",BZ97=""),"",BZ96-BZ97)</f>
        <v/>
      </c>
      <c r="CA98" s="12" t="str">
        <f t="shared" si="1134"/>
        <v/>
      </c>
      <c r="CB98" s="12" t="str">
        <f t="shared" ref="CB98:CC98" si="1135">IF(OR(CB96="",CB97=""),"",CB96-CB97)</f>
        <v/>
      </c>
      <c r="CC98" s="12" t="str">
        <f t="shared" si="1135"/>
        <v/>
      </c>
      <c r="CD98" s="12" t="str">
        <f t="shared" ref="CD98:CE98" si="1136">IF(OR(CD96="",CD97=""),"",CD96-CD97)</f>
        <v/>
      </c>
      <c r="CE98" s="12" t="str">
        <f t="shared" si="1136"/>
        <v/>
      </c>
      <c r="CF98" s="12" t="str">
        <f t="shared" ref="CF98:CG98" si="1137">IF(OR(CF96="",CF97=""),"",CF96-CF97)</f>
        <v/>
      </c>
      <c r="CG98" s="12" t="str">
        <f t="shared" si="1137"/>
        <v/>
      </c>
      <c r="CH98" s="12" t="str">
        <f t="shared" ref="CH98:CI98" si="1138">IF(OR(CH96="",CH97=""),"",CH96-CH97)</f>
        <v/>
      </c>
      <c r="CI98" s="12" t="str">
        <f t="shared" si="1138"/>
        <v/>
      </c>
      <c r="CJ98" s="12" t="str">
        <f t="shared" ref="CJ98:CK98" si="1139">IF(OR(CJ96="",CJ97=""),"",CJ96-CJ97)</f>
        <v/>
      </c>
      <c r="CK98" s="12" t="str">
        <f t="shared" si="1139"/>
        <v/>
      </c>
      <c r="CL98" s="12" t="str">
        <f t="shared" ref="CL98:CM98" si="1140">IF(OR(CL96="",CL97=""),"",CL96-CL97)</f>
        <v/>
      </c>
      <c r="CM98" s="12" t="str">
        <f t="shared" si="1140"/>
        <v/>
      </c>
      <c r="CN98" s="12" t="str">
        <f t="shared" ref="CN98:CO98" si="1141">IF(OR(CN96="",CN97=""),"",CN96-CN97)</f>
        <v/>
      </c>
      <c r="CO98" s="12" t="str">
        <f t="shared" si="1141"/>
        <v/>
      </c>
      <c r="CP98" s="12" t="str">
        <f t="shared" ref="CP98:CQ98" si="1142">IF(OR(CP96="",CP97=""),"",CP96-CP97)</f>
        <v/>
      </c>
      <c r="CQ98" s="12" t="str">
        <f t="shared" si="1142"/>
        <v/>
      </c>
      <c r="CR98" s="12" t="str">
        <f t="shared" ref="CR98:CS98" si="1143">IF(OR(CR96="",CR97=""),"",CR96-CR97)</f>
        <v/>
      </c>
      <c r="CS98" s="12" t="str">
        <f t="shared" si="1143"/>
        <v/>
      </c>
      <c r="CT98" s="12" t="str">
        <f t="shared" ref="CT98:CU98" si="1144">IF(OR(CT96="",CT97=""),"",CT96-CT97)</f>
        <v/>
      </c>
      <c r="CU98" s="12" t="str">
        <f t="shared" si="1144"/>
        <v/>
      </c>
    </row>
    <row r="99" spans="1:99" x14ac:dyDescent="0.25">
      <c r="A99" s="294"/>
      <c r="B99" s="52" t="s">
        <v>4</v>
      </c>
      <c r="C99" s="37"/>
      <c r="D99" s="37"/>
      <c r="E99" s="61"/>
      <c r="F99" s="61"/>
      <c r="G99" s="61"/>
      <c r="H99" s="61"/>
      <c r="I99" s="61"/>
      <c r="J99" s="61"/>
      <c r="K99" s="61"/>
      <c r="L99" s="61"/>
      <c r="M99" s="61"/>
      <c r="N99" s="61"/>
      <c r="O99" s="61"/>
      <c r="P99" s="61" t="str">
        <f t="shared" ref="P99:AC99" si="1145">IF(P98="","",P19)</f>
        <v/>
      </c>
      <c r="Q99" s="61" t="str">
        <f t="shared" si="1145"/>
        <v/>
      </c>
      <c r="R99" s="61" t="str">
        <f t="shared" si="1145"/>
        <v/>
      </c>
      <c r="S99" s="61" t="str">
        <f t="shared" si="1145"/>
        <v/>
      </c>
      <c r="T99" s="61" t="str">
        <f t="shared" si="1145"/>
        <v/>
      </c>
      <c r="U99" s="61" t="str">
        <f t="shared" si="1145"/>
        <v/>
      </c>
      <c r="V99" s="61" t="str">
        <f t="shared" si="1145"/>
        <v/>
      </c>
      <c r="W99" s="61" t="str">
        <f t="shared" si="1145"/>
        <v/>
      </c>
      <c r="X99" s="61" t="str">
        <f t="shared" si="1145"/>
        <v/>
      </c>
      <c r="Y99" s="61" t="str">
        <f t="shared" si="1145"/>
        <v/>
      </c>
      <c r="Z99" s="61" t="str">
        <f t="shared" si="1145"/>
        <v/>
      </c>
      <c r="AA99" s="61" t="str">
        <f t="shared" si="1145"/>
        <v/>
      </c>
      <c r="AB99" s="61" t="str">
        <f t="shared" si="1145"/>
        <v/>
      </c>
      <c r="AC99" s="61" t="str">
        <f t="shared" si="1145"/>
        <v/>
      </c>
      <c r="AD99" s="61"/>
      <c r="AE99" s="61"/>
      <c r="AF99" s="61"/>
      <c r="AG99" s="61"/>
      <c r="AH99" s="61"/>
      <c r="AI99" s="61"/>
      <c r="AJ99" s="61"/>
      <c r="AK99" s="61"/>
      <c r="AL99" s="61"/>
      <c r="AM99" s="61"/>
      <c r="AN99" s="61"/>
      <c r="AO99" s="61"/>
      <c r="AP99" s="61"/>
      <c r="AQ99" s="61"/>
      <c r="AR99" s="61"/>
      <c r="AS99" s="61"/>
      <c r="AT99" s="61"/>
      <c r="AU99" s="61"/>
      <c r="AV99" s="61"/>
      <c r="AW99" s="61">
        <f>IF(AW98="","",AW9)</f>
        <v>1.8159890000000001E-2</v>
      </c>
      <c r="AX99" s="61">
        <f>IF(AX98="","",AX9)</f>
        <v>1.9151990000000001E-2</v>
      </c>
      <c r="AY99" s="61">
        <f t="shared" ref="AY99:BJ99" si="1146">IF(AY98="","",AY9)</f>
        <v>1.8890779999999999E-2</v>
      </c>
      <c r="AZ99" s="61">
        <f t="shared" si="1146"/>
        <v>1.8035829999999999E-2</v>
      </c>
      <c r="BA99" s="61">
        <f t="shared" si="1146"/>
        <v>1.888592E-2</v>
      </c>
      <c r="BB99" s="61">
        <f t="shared" si="1146"/>
        <v>9.3845999999999999E-3</v>
      </c>
      <c r="BC99" s="61">
        <f t="shared" si="1146"/>
        <v>1.2906700000000001E-3</v>
      </c>
      <c r="BD99" s="61">
        <f t="shared" si="1146"/>
        <v>1.2563100000000001E-3</v>
      </c>
      <c r="BE99" s="61">
        <f t="shared" si="1146"/>
        <v>1.9366299999999999E-3</v>
      </c>
      <c r="BF99" s="61">
        <f>IF(BF98="","",BF9)</f>
        <v>1.3658500000000001E-3</v>
      </c>
      <c r="BG99" s="61">
        <f t="shared" si="1146"/>
        <v>1.23916E-3</v>
      </c>
      <c r="BH99" s="61">
        <f t="shared" si="1146"/>
        <v>2E-3</v>
      </c>
      <c r="BI99" s="61">
        <f t="shared" si="1146"/>
        <v>2.5244400000000002E-3</v>
      </c>
      <c r="BJ99" s="61">
        <f t="shared" si="1146"/>
        <v>2.8469900000000002E-3</v>
      </c>
      <c r="BK99" s="61">
        <f t="shared" ref="BK99:BL99" si="1147">IF(BK98="","",BK9)</f>
        <v>2.0613900000000002E-3</v>
      </c>
      <c r="BL99" s="61">
        <f t="shared" si="1147"/>
        <v>2.3221700000000001E-3</v>
      </c>
      <c r="BM99" s="61">
        <f t="shared" ref="BM99:BN99" si="1148">IF(BM98="","",BM9)</f>
        <v>2.1367399999999998E-3</v>
      </c>
      <c r="BN99" s="61">
        <f t="shared" si="1148"/>
        <v>2.2512299999999999E-3</v>
      </c>
      <c r="BO99" s="61">
        <f t="shared" ref="BO99:BP99" si="1149">IF(BO98="","",BO9)</f>
        <v>2.2427200000000001E-3</v>
      </c>
      <c r="BP99" s="61">
        <f t="shared" si="1149"/>
        <v>2.01659E-3</v>
      </c>
      <c r="BQ99" s="61">
        <f>IF(BQ98="","",BQ9)</f>
        <v>1.3954900000000001E-3</v>
      </c>
      <c r="BR99" s="61">
        <f>IF(BR98="","",BR9)</f>
        <v>2.0509899999999999E-3</v>
      </c>
      <c r="BS99" s="61">
        <f>IF(BS98="","",BS9)</f>
        <v>1.9323299999999999E-3</v>
      </c>
      <c r="BT99" s="61">
        <f t="shared" ref="BT99" si="1150">IF(BT98="","",BT9)</f>
        <v>1.5E-3</v>
      </c>
      <c r="BU99" s="61">
        <f t="shared" ref="BU99:BV99" si="1151">IF(BU98="","",BU9)</f>
        <v>1.5320900000000001E-3</v>
      </c>
      <c r="BV99" s="61">
        <f t="shared" si="1151"/>
        <v>2.6046400000000001E-3</v>
      </c>
      <c r="BW99" s="61">
        <f t="shared" ref="BW99:BX99" si="1152">IF(BW98="","",BW9)</f>
        <v>2.3444999999999998E-3</v>
      </c>
      <c r="BX99" s="213" t="str">
        <f t="shared" si="1152"/>
        <v/>
      </c>
      <c r="BY99" s="213" t="str">
        <f t="shared" ref="BY99:BZ99" si="1153">IF(BY98="","",BY9)</f>
        <v/>
      </c>
      <c r="BZ99" s="213" t="str">
        <f t="shared" si="1153"/>
        <v/>
      </c>
      <c r="CA99" s="213" t="str">
        <f t="shared" ref="CA99:CB99" si="1154">IF(CA98="","",CA9)</f>
        <v/>
      </c>
      <c r="CB99" s="213" t="str">
        <f t="shared" si="1154"/>
        <v/>
      </c>
      <c r="CC99" s="213" t="str">
        <f t="shared" ref="CC99:CD99" si="1155">IF(CC98="","",CC9)</f>
        <v/>
      </c>
      <c r="CD99" s="213" t="str">
        <f t="shared" si="1155"/>
        <v/>
      </c>
      <c r="CE99" s="213" t="str">
        <f t="shared" ref="CE99:CF99" si="1156">IF(CE98="","",CE9)</f>
        <v/>
      </c>
      <c r="CF99" s="213" t="str">
        <f t="shared" si="1156"/>
        <v/>
      </c>
      <c r="CG99" s="213" t="str">
        <f t="shared" ref="CG99:CH99" si="1157">IF(CG98="","",CG9)</f>
        <v/>
      </c>
      <c r="CH99" s="213" t="str">
        <f t="shared" si="1157"/>
        <v/>
      </c>
      <c r="CI99" s="213" t="str">
        <f t="shared" ref="CI99:CJ99" si="1158">IF(CI98="","",CI9)</f>
        <v/>
      </c>
      <c r="CJ99" s="213" t="str">
        <f t="shared" si="1158"/>
        <v/>
      </c>
      <c r="CK99" s="213" t="str">
        <f t="shared" ref="CK99:CL99" si="1159">IF(CK98="","",CK9)</f>
        <v/>
      </c>
      <c r="CL99" s="213" t="str">
        <f t="shared" si="1159"/>
        <v/>
      </c>
      <c r="CM99" s="213" t="str">
        <f t="shared" ref="CM99:CN99" si="1160">IF(CM98="","",CM9)</f>
        <v/>
      </c>
      <c r="CN99" s="213" t="str">
        <f t="shared" si="1160"/>
        <v/>
      </c>
      <c r="CO99" s="213" t="str">
        <f t="shared" ref="CO99:CP99" si="1161">IF(CO98="","",CO9)</f>
        <v/>
      </c>
      <c r="CP99" s="213" t="str">
        <f t="shared" si="1161"/>
        <v/>
      </c>
      <c r="CQ99" s="213" t="str">
        <f t="shared" ref="CQ99:CR99" si="1162">IF(CQ98="","",CQ9)</f>
        <v/>
      </c>
      <c r="CR99" s="213" t="str">
        <f t="shared" si="1162"/>
        <v/>
      </c>
      <c r="CS99" s="213" t="str">
        <f t="shared" ref="CS99:CT99" si="1163">IF(CS98="","",CS9)</f>
        <v/>
      </c>
      <c r="CT99" s="213" t="str">
        <f t="shared" si="1163"/>
        <v/>
      </c>
      <c r="CU99" s="213" t="str">
        <f t="shared" ref="CU99" si="1164">IF(CU98="","",CU9)</f>
        <v/>
      </c>
    </row>
    <row r="100" spans="1:99" x14ac:dyDescent="0.25">
      <c r="A100" s="294"/>
      <c r="B100" s="52" t="s">
        <v>49</v>
      </c>
      <c r="C100" s="37"/>
      <c r="D100" s="37"/>
      <c r="E100" s="8"/>
      <c r="F100" s="8"/>
      <c r="G100" s="8"/>
      <c r="H100" s="8"/>
      <c r="I100" s="8"/>
      <c r="J100" s="8"/>
      <c r="K100" s="8"/>
      <c r="L100" s="8"/>
      <c r="M100" s="8"/>
      <c r="N100" s="8"/>
      <c r="O100" s="8" t="str">
        <f>IF(OR(O99="",O98=""),"",(O98*O99)/12)</f>
        <v/>
      </c>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7">
        <f>IF(OR(AW99="",AW98="",AV92=""),"",((AV92+AW98)*AW99)/12)</f>
        <v>-271.38220009347702</v>
      </c>
      <c r="AX100" s="8">
        <f>IF(OR(AX99="",AX98="",AW103=""),"",((AW103+AX98)*AX99)/12)</f>
        <v>78.563232523370615</v>
      </c>
      <c r="AY100" s="8">
        <f>IF(OR(AY99="",AY98="",AX103=""),"",((AX103+AY98)*AY99)/12)</f>
        <v>422.43939129645418</v>
      </c>
      <c r="AZ100" s="8">
        <f t="shared" ref="AZ100:CU100" si="1165">IF(OR(AZ99="",AZ98="",AY103=""),"",((AY103+AZ98)*AZ99)/12)</f>
        <v>1787.7190826348981</v>
      </c>
      <c r="BA100" s="8">
        <f t="shared" si="1165"/>
        <v>1957.5222338661708</v>
      </c>
      <c r="BB100" s="8">
        <f t="shared" si="1165"/>
        <v>1242.5076669986888</v>
      </c>
      <c r="BC100" s="8">
        <f t="shared" si="1165"/>
        <v>221.50481223246791</v>
      </c>
      <c r="BD100" s="8">
        <f t="shared" si="1165"/>
        <v>231.24011278229204</v>
      </c>
      <c r="BE100" s="8">
        <f t="shared" si="1165"/>
        <v>308.19064349011495</v>
      </c>
      <c r="BF100" s="8">
        <f>IF(OR(BF99="",BF98="",BE103=""),"",((BE103+BF98)*BF99)/12)</f>
        <v>190.46313750146206</v>
      </c>
      <c r="BG100" s="8">
        <f>IF(OR(BG99="",BG98="",BF103=""),"",((BF103+BG98)*BG99)/12)</f>
        <v>160.17725460369556</v>
      </c>
      <c r="BH100" s="8">
        <f t="shared" si="1165"/>
        <v>315.18277568850709</v>
      </c>
      <c r="BI100" s="8">
        <f t="shared" si="1165"/>
        <v>463.49378933312983</v>
      </c>
      <c r="BJ100" s="8">
        <f t="shared" si="1165"/>
        <v>527.2800223914802</v>
      </c>
      <c r="BK100" s="8">
        <f t="shared" si="1165"/>
        <v>327.94932930312461</v>
      </c>
      <c r="BL100" s="8">
        <f t="shared" si="1165"/>
        <v>294.35548459647464</v>
      </c>
      <c r="BM100" s="8">
        <f t="shared" si="1165"/>
        <v>275.51990421445703</v>
      </c>
      <c r="BN100" s="8">
        <f t="shared" si="1165"/>
        <v>355.94428578825523</v>
      </c>
      <c r="BO100" s="8">
        <f t="shared" si="1165"/>
        <v>423.97177199164474</v>
      </c>
      <c r="BP100" s="8">
        <f>IF(OR(BP99="",BP98="",BO103=""),"",((BO103+BP98)*BP99)/12)</f>
        <v>403.97987039391887</v>
      </c>
      <c r="BQ100" s="8">
        <f>IF(OR(BQ99="",BQ98="",BP103=""),"",((BP103+BQ98)*BQ99)/12)</f>
        <v>244.27217330835308</v>
      </c>
      <c r="BR100" s="8">
        <f>IF(OR(BR99="",BR98="",BQ103=""),"",((BQ103+BR98)*BR99)/12)</f>
        <v>309.90952577782758</v>
      </c>
      <c r="BS100" s="8">
        <f>IF(OR(BS99="",BS98="",BR103=""),"",((BR103+BS98)*BS99)/12)</f>
        <v>243.89576815717837</v>
      </c>
      <c r="BT100" s="8">
        <f t="shared" si="1165"/>
        <v>206.34603746269383</v>
      </c>
      <c r="BU100" s="8">
        <f t="shared" si="1165"/>
        <v>252.41485731157965</v>
      </c>
      <c r="BV100" s="8">
        <f t="shared" si="1165"/>
        <v>433.05938883529126</v>
      </c>
      <c r="BW100" s="8">
        <f t="shared" si="1165"/>
        <v>-29.711859545834173</v>
      </c>
      <c r="BX100" s="12" t="str">
        <f t="shared" si="1165"/>
        <v/>
      </c>
      <c r="BY100" s="12" t="str">
        <f t="shared" si="1165"/>
        <v/>
      </c>
      <c r="BZ100" s="12" t="str">
        <f t="shared" si="1165"/>
        <v/>
      </c>
      <c r="CA100" s="12" t="str">
        <f t="shared" si="1165"/>
        <v/>
      </c>
      <c r="CB100" s="12" t="str">
        <f t="shared" si="1165"/>
        <v/>
      </c>
      <c r="CC100" s="12" t="str">
        <f t="shared" si="1165"/>
        <v/>
      </c>
      <c r="CD100" s="12" t="str">
        <f t="shared" si="1165"/>
        <v/>
      </c>
      <c r="CE100" s="12" t="str">
        <f t="shared" si="1165"/>
        <v/>
      </c>
      <c r="CF100" s="12" t="str">
        <f t="shared" si="1165"/>
        <v/>
      </c>
      <c r="CG100" s="12" t="str">
        <f t="shared" si="1165"/>
        <v/>
      </c>
      <c r="CH100" s="12" t="str">
        <f t="shared" si="1165"/>
        <v/>
      </c>
      <c r="CI100" s="12" t="str">
        <f t="shared" si="1165"/>
        <v/>
      </c>
      <c r="CJ100" s="12" t="str">
        <f t="shared" si="1165"/>
        <v/>
      </c>
      <c r="CK100" s="12" t="str">
        <f t="shared" si="1165"/>
        <v/>
      </c>
      <c r="CL100" s="12" t="str">
        <f t="shared" si="1165"/>
        <v/>
      </c>
      <c r="CM100" s="12" t="str">
        <f t="shared" si="1165"/>
        <v/>
      </c>
      <c r="CN100" s="12" t="str">
        <f t="shared" si="1165"/>
        <v/>
      </c>
      <c r="CO100" s="12" t="str">
        <f t="shared" si="1165"/>
        <v/>
      </c>
      <c r="CP100" s="12" t="str">
        <f t="shared" si="1165"/>
        <v/>
      </c>
      <c r="CQ100" s="12" t="str">
        <f t="shared" si="1165"/>
        <v/>
      </c>
      <c r="CR100" s="12" t="str">
        <f t="shared" si="1165"/>
        <v/>
      </c>
      <c r="CS100" s="12" t="str">
        <f t="shared" si="1165"/>
        <v/>
      </c>
      <c r="CT100" s="12" t="str">
        <f t="shared" si="1165"/>
        <v/>
      </c>
      <c r="CU100" s="12" t="str">
        <f t="shared" si="1165"/>
        <v/>
      </c>
    </row>
    <row r="101" spans="1:99" x14ac:dyDescent="0.25">
      <c r="A101" s="294"/>
      <c r="B101" s="53" t="s">
        <v>6</v>
      </c>
      <c r="C101" s="37"/>
      <c r="D101" s="37"/>
      <c r="E101" s="8"/>
      <c r="F101" s="8"/>
      <c r="G101" s="8"/>
      <c r="H101" s="8"/>
      <c r="I101" s="8"/>
      <c r="J101" s="8"/>
      <c r="K101" s="8"/>
      <c r="L101" s="8"/>
      <c r="M101" s="8"/>
      <c r="N101" s="8"/>
      <c r="O101" s="8" t="str">
        <f>O100</f>
        <v/>
      </c>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7">
        <f>IF(OR(AV90="",AW100=""),"",AV90+AW100)</f>
        <v>-38929.715176015336</v>
      </c>
      <c r="AX101" s="8">
        <f>IF(OR(AW101="",AX100=""),"",AW101+AX100)</f>
        <v>-38851.151943491968</v>
      </c>
      <c r="AY101" s="8">
        <f t="shared" ref="AY101:CU101" si="1166">IF(OR(AX101="",AY100=""),"",AX101+AY100)</f>
        <v>-38428.712552195517</v>
      </c>
      <c r="AZ101" s="8">
        <f t="shared" si="1166"/>
        <v>-36640.993469560621</v>
      </c>
      <c r="BA101" s="8">
        <f t="shared" si="1166"/>
        <v>-34683.471235694451</v>
      </c>
      <c r="BB101" s="8">
        <f t="shared" si="1166"/>
        <v>-33440.963568695763</v>
      </c>
      <c r="BC101" s="8">
        <f t="shared" si="1166"/>
        <v>-33219.458756463297</v>
      </c>
      <c r="BD101" s="8">
        <f t="shared" si="1166"/>
        <v>-32988.218643681008</v>
      </c>
      <c r="BE101" s="8">
        <f t="shared" si="1166"/>
        <v>-32680.028000190894</v>
      </c>
      <c r="BF101" s="8">
        <f>IF(OR(BE101="",BF100=""),"",BE101+BF100)</f>
        <v>-32489.564862689433</v>
      </c>
      <c r="BG101" s="8">
        <f>IF(OR(BF101="",BG100=""),"",BF101+BG100)</f>
        <v>-32329.387608085737</v>
      </c>
      <c r="BH101" s="8">
        <f t="shared" si="1166"/>
        <v>-32014.20483239723</v>
      </c>
      <c r="BI101" s="8">
        <f t="shared" si="1166"/>
        <v>-31550.711043064101</v>
      </c>
      <c r="BJ101" s="8">
        <f t="shared" si="1166"/>
        <v>-31023.431020672619</v>
      </c>
      <c r="BK101" s="8">
        <f t="shared" si="1166"/>
        <v>-30695.481691369496</v>
      </c>
      <c r="BL101" s="8">
        <f t="shared" si="1166"/>
        <v>-30401.12620677302</v>
      </c>
      <c r="BM101" s="8">
        <f t="shared" si="1166"/>
        <v>-30125.606302558564</v>
      </c>
      <c r="BN101" s="8">
        <f t="shared" si="1166"/>
        <v>-29769.662016770308</v>
      </c>
      <c r="BO101" s="8">
        <f t="shared" si="1166"/>
        <v>-29345.690244778663</v>
      </c>
      <c r="BP101" s="8">
        <f t="shared" si="1166"/>
        <v>-28941.710374384744</v>
      </c>
      <c r="BQ101" s="8">
        <f>IF(OR(BP101="",BQ100=""),"",BP101+BQ100)</f>
        <v>-28697.438201076391</v>
      </c>
      <c r="BR101" s="8">
        <f>IF(OR(BQ101="",BR100=""),"",BQ101+BR100)</f>
        <v>-28387.528675298563</v>
      </c>
      <c r="BS101" s="8">
        <f>IF(OR(BR101="",BS100=""),"",BR101+BS100)</f>
        <v>-28143.632907141386</v>
      </c>
      <c r="BT101" s="8">
        <f t="shared" si="1166"/>
        <v>-27937.286869678694</v>
      </c>
      <c r="BU101" s="8">
        <f t="shared" si="1166"/>
        <v>-27684.872012367116</v>
      </c>
      <c r="BV101" s="8">
        <f t="shared" si="1166"/>
        <v>-27251.812623531823</v>
      </c>
      <c r="BW101" s="8">
        <f t="shared" si="1166"/>
        <v>-27281.524483077657</v>
      </c>
      <c r="BX101" s="12" t="str">
        <f t="shared" si="1166"/>
        <v/>
      </c>
      <c r="BY101" s="12" t="str">
        <f t="shared" si="1166"/>
        <v/>
      </c>
      <c r="BZ101" s="12" t="str">
        <f t="shared" si="1166"/>
        <v/>
      </c>
      <c r="CA101" s="12" t="str">
        <f t="shared" si="1166"/>
        <v/>
      </c>
      <c r="CB101" s="12" t="str">
        <f t="shared" si="1166"/>
        <v/>
      </c>
      <c r="CC101" s="12" t="str">
        <f t="shared" si="1166"/>
        <v/>
      </c>
      <c r="CD101" s="12" t="str">
        <f t="shared" si="1166"/>
        <v/>
      </c>
      <c r="CE101" s="12" t="str">
        <f t="shared" si="1166"/>
        <v/>
      </c>
      <c r="CF101" s="12" t="str">
        <f t="shared" si="1166"/>
        <v/>
      </c>
      <c r="CG101" s="12" t="str">
        <f t="shared" si="1166"/>
        <v/>
      </c>
      <c r="CH101" s="12" t="str">
        <f t="shared" si="1166"/>
        <v/>
      </c>
      <c r="CI101" s="12" t="str">
        <f t="shared" si="1166"/>
        <v/>
      </c>
      <c r="CJ101" s="12" t="str">
        <f t="shared" si="1166"/>
        <v/>
      </c>
      <c r="CK101" s="12" t="str">
        <f t="shared" si="1166"/>
        <v/>
      </c>
      <c r="CL101" s="12" t="str">
        <f t="shared" si="1166"/>
        <v/>
      </c>
      <c r="CM101" s="12" t="str">
        <f t="shared" si="1166"/>
        <v/>
      </c>
      <c r="CN101" s="12" t="str">
        <f t="shared" si="1166"/>
        <v/>
      </c>
      <c r="CO101" s="12" t="str">
        <f t="shared" si="1166"/>
        <v/>
      </c>
      <c r="CP101" s="12" t="str">
        <f t="shared" si="1166"/>
        <v/>
      </c>
      <c r="CQ101" s="12" t="str">
        <f t="shared" si="1166"/>
        <v/>
      </c>
      <c r="CR101" s="12" t="str">
        <f t="shared" si="1166"/>
        <v/>
      </c>
      <c r="CS101" s="12" t="str">
        <f t="shared" si="1166"/>
        <v/>
      </c>
      <c r="CT101" s="12" t="str">
        <f t="shared" si="1166"/>
        <v/>
      </c>
      <c r="CU101" s="12" t="str">
        <f t="shared" si="1166"/>
        <v/>
      </c>
    </row>
    <row r="102" spans="1:99" x14ac:dyDescent="0.25">
      <c r="A102" s="294"/>
      <c r="B102" s="70" t="s">
        <v>75</v>
      </c>
      <c r="C102" s="37"/>
      <c r="D102" s="37"/>
      <c r="E102" s="8"/>
      <c r="F102" s="8"/>
      <c r="G102" s="8"/>
      <c r="H102" s="8"/>
      <c r="I102" s="8"/>
      <c r="J102" s="8"/>
      <c r="K102" s="8"/>
      <c r="L102" s="8"/>
      <c r="M102" s="8"/>
      <c r="N102" s="8"/>
      <c r="O102" s="8" t="str">
        <f>IF(OR(O100="",O98=""),"",O98+O100)</f>
        <v/>
      </c>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7">
        <f>IF(OR(AW100="",AW98=""),"",AW98+AW100)</f>
        <v>246799.60997381964</v>
      </c>
      <c r="AX102" s="8">
        <f>IF(OR(AX100="",AX98=""),"",AX98+AX100)</f>
        <v>228903.58540643647</v>
      </c>
      <c r="AY102" s="8">
        <f>IF(OR(AY100="",AY98=""),"",AY98+AY100)</f>
        <v>219465.16156520956</v>
      </c>
      <c r="AZ102" s="8">
        <f t="shared" ref="AZ102:BJ102" si="1167">IF(OR(AZ100="",AZ98=""),"",AZ98+AZ100)</f>
        <v>922463.95082176523</v>
      </c>
      <c r="BA102" s="8">
        <f t="shared" si="1167"/>
        <v>54522.593972996357</v>
      </c>
      <c r="BB102" s="8">
        <f t="shared" si="1167"/>
        <v>344270.02940612909</v>
      </c>
      <c r="BC102" s="8">
        <f t="shared" si="1167"/>
        <v>469636.34655136289</v>
      </c>
      <c r="BD102" s="8">
        <f t="shared" si="1167"/>
        <v>149324.77185191266</v>
      </c>
      <c r="BE102" s="8">
        <f t="shared" si="1167"/>
        <v>-299027.17761737964</v>
      </c>
      <c r="BF102" s="8">
        <f>IF(OR(BF100="",BF98=""),"",BF98+BF100)</f>
        <v>-236409.69512336832</v>
      </c>
      <c r="BG102" s="8">
        <f>IF(OR(BG100="",BG98=""),"",BG98+BG100)</f>
        <v>-122236.23100626587</v>
      </c>
      <c r="BH102" s="8">
        <f t="shared" si="1167"/>
        <v>340098.41451481887</v>
      </c>
      <c r="BI102" s="8">
        <f>IF(OR(BI100="",BI98=""),"",BI98+BI100)</f>
        <v>312283.05552846356</v>
      </c>
      <c r="BJ102" s="8">
        <f t="shared" si="1167"/>
        <v>19306.041761521847</v>
      </c>
      <c r="BK102" s="8">
        <f t="shared" ref="BK102" si="1168">IF(OR(BK100="",BK98=""),"",BK98+BK100)</f>
        <v>-313576.71893156646</v>
      </c>
      <c r="BL102" s="8">
        <f t="shared" ref="BL102:BP102" si="1169">IF(OR(BL100="",BL98=""),"",BL98+BL100)</f>
        <v>-388024.24944293988</v>
      </c>
      <c r="BM102" s="8">
        <f t="shared" si="1169"/>
        <v>26204.124976678086</v>
      </c>
      <c r="BN102" s="8">
        <f t="shared" si="1169"/>
        <v>350084.16935825202</v>
      </c>
      <c r="BO102" s="8">
        <f t="shared" si="1169"/>
        <v>371258.42684445536</v>
      </c>
      <c r="BP102" s="8">
        <f t="shared" si="1169"/>
        <v>135395.84494285757</v>
      </c>
      <c r="BQ102" s="8">
        <f>IF(OR(BQ100="",BQ98=""),"",BQ98+BQ100)</f>
        <v>-303570.0727542282</v>
      </c>
      <c r="BR102" s="8">
        <f>IF(OR(BR100="",BR98=""),"",BR98+BR100)</f>
        <v>-287233.66540175868</v>
      </c>
      <c r="BS102" s="8">
        <f>IF(OR(BS100="",BS98=""),"",BS98+BS100)</f>
        <v>-298673.05915937922</v>
      </c>
      <c r="BT102" s="8">
        <f t="shared" ref="BT102:BU102" si="1170">IF(OR(BT100="",BT98=""),"",BT98+BT100)</f>
        <v>136108.9111099263</v>
      </c>
      <c r="BU102" s="8">
        <f t="shared" si="1170"/>
        <v>326301.49992977519</v>
      </c>
      <c r="BV102" s="8">
        <f t="shared" ref="BV102:BW102" si="1171">IF(OR(BV100="",BV98=""),"",BV98+BV100)</f>
        <v>18331.934461298941</v>
      </c>
      <c r="BW102" s="8">
        <f t="shared" si="1171"/>
        <v>-2147713.8485262124</v>
      </c>
      <c r="BX102" s="12" t="str">
        <f t="shared" ref="BX102:BY102" si="1172">IF(OR(BX100="",BX98=""),"",BX98+BX100)</f>
        <v/>
      </c>
      <c r="BY102" s="12" t="str">
        <f t="shared" si="1172"/>
        <v/>
      </c>
      <c r="BZ102" s="12" t="str">
        <f t="shared" ref="BZ102:CA102" si="1173">IF(OR(BZ100="",BZ98=""),"",BZ98+BZ100)</f>
        <v/>
      </c>
      <c r="CA102" s="12" t="str">
        <f t="shared" si="1173"/>
        <v/>
      </c>
      <c r="CB102" s="12" t="str">
        <f t="shared" ref="CB102:CC102" si="1174">IF(OR(CB100="",CB98=""),"",CB98+CB100)</f>
        <v/>
      </c>
      <c r="CC102" s="12" t="str">
        <f t="shared" si="1174"/>
        <v/>
      </c>
      <c r="CD102" s="12" t="str">
        <f t="shared" ref="CD102:CE102" si="1175">IF(OR(CD100="",CD98=""),"",CD98+CD100)</f>
        <v/>
      </c>
      <c r="CE102" s="12" t="str">
        <f t="shared" si="1175"/>
        <v/>
      </c>
      <c r="CF102" s="12" t="str">
        <f t="shared" ref="CF102:CG102" si="1176">IF(OR(CF100="",CF98=""),"",CF98+CF100)</f>
        <v/>
      </c>
      <c r="CG102" s="12" t="str">
        <f t="shared" si="1176"/>
        <v/>
      </c>
      <c r="CH102" s="12" t="str">
        <f t="shared" ref="CH102:CI102" si="1177">IF(OR(CH100="",CH98=""),"",CH98+CH100)</f>
        <v/>
      </c>
      <c r="CI102" s="12" t="str">
        <f t="shared" si="1177"/>
        <v/>
      </c>
      <c r="CJ102" s="12" t="str">
        <f t="shared" ref="CJ102:CK102" si="1178">IF(OR(CJ100="",CJ98=""),"",CJ98+CJ100)</f>
        <v/>
      </c>
      <c r="CK102" s="12" t="str">
        <f t="shared" si="1178"/>
        <v/>
      </c>
      <c r="CL102" s="12" t="str">
        <f t="shared" ref="CL102:CM102" si="1179">IF(OR(CL100="",CL98=""),"",CL98+CL100)</f>
        <v/>
      </c>
      <c r="CM102" s="12" t="str">
        <f t="shared" si="1179"/>
        <v/>
      </c>
      <c r="CN102" s="12" t="str">
        <f t="shared" ref="CN102:CO102" si="1180">IF(OR(CN100="",CN98=""),"",CN98+CN100)</f>
        <v/>
      </c>
      <c r="CO102" s="12" t="str">
        <f t="shared" si="1180"/>
        <v/>
      </c>
      <c r="CP102" s="12" t="str">
        <f t="shared" ref="CP102:CQ102" si="1181">IF(OR(CP100="",CP98=""),"",CP98+CP100)</f>
        <v/>
      </c>
      <c r="CQ102" s="12" t="str">
        <f t="shared" si="1181"/>
        <v/>
      </c>
      <c r="CR102" s="12" t="str">
        <f t="shared" ref="CR102:CS102" si="1182">IF(OR(CR100="",CR98=""),"",CR98+CR100)</f>
        <v/>
      </c>
      <c r="CS102" s="12" t="str">
        <f t="shared" si="1182"/>
        <v/>
      </c>
      <c r="CT102" s="12" t="str">
        <f t="shared" ref="CT102:CU102" si="1183">IF(OR(CT100="",CT98=""),"",CT98+CT100)</f>
        <v/>
      </c>
      <c r="CU102" s="12" t="str">
        <f t="shared" si="1183"/>
        <v/>
      </c>
    </row>
    <row r="103" spans="1:99" x14ac:dyDescent="0.25">
      <c r="A103" s="294"/>
      <c r="B103" s="52" t="s">
        <v>76</v>
      </c>
      <c r="C103" s="37"/>
      <c r="D103" s="37"/>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7">
        <f>IF(OR(AW102="",AV92=""),"",AV92+AW102)</f>
        <v>-179599.91343688645</v>
      </c>
      <c r="AX103" s="8">
        <f>IF(OR(AX102="",AW103=""),"",AW103+AX102)</f>
        <v>49303.671969550021</v>
      </c>
      <c r="AY103" s="8">
        <f t="shared" ref="AY103:BK103" si="1184">IF(OR(AY102="",AX103=""),"",AX103+AY102)</f>
        <v>268768.83353475959</v>
      </c>
      <c r="AZ103" s="8">
        <f t="shared" si="1184"/>
        <v>1191232.7843565247</v>
      </c>
      <c r="BA103" s="8">
        <f t="shared" si="1184"/>
        <v>1245755.378329521</v>
      </c>
      <c r="BB103" s="8">
        <f t="shared" si="1184"/>
        <v>1590025.4077356502</v>
      </c>
      <c r="BC103" s="8">
        <f t="shared" si="1184"/>
        <v>2059661.7542870131</v>
      </c>
      <c r="BD103" s="8">
        <f t="shared" si="1184"/>
        <v>2208986.5261389259</v>
      </c>
      <c r="BE103" s="8">
        <f t="shared" si="1184"/>
        <v>1909959.3485215462</v>
      </c>
      <c r="BF103" s="8">
        <f>IF(OR(BF102="",BE103=""),"",BE103+BF102)</f>
        <v>1673549.6533981778</v>
      </c>
      <c r="BG103" s="8">
        <f>IF(OR(BG102="",BF103=""),"",BF103+BG102)</f>
        <v>1551313.422391912</v>
      </c>
      <c r="BH103" s="8">
        <f t="shared" si="1184"/>
        <v>1891411.8369067309</v>
      </c>
      <c r="BI103" s="8">
        <f>IF(OR(BI102="",BH103=""),"",BH103+BI102)</f>
        <v>2203694.8924351945</v>
      </c>
      <c r="BJ103" s="8">
        <f t="shared" si="1184"/>
        <v>2223000.9341967162</v>
      </c>
      <c r="BK103" s="8">
        <f t="shared" si="1184"/>
        <v>1909424.2152651497</v>
      </c>
      <c r="BL103" s="8">
        <f t="shared" ref="BL103:CU103" si="1185">IF(OR(BL102="",BK103=""),"",BK103+BL102)</f>
        <v>1521399.9658222098</v>
      </c>
      <c r="BM103" s="8">
        <f t="shared" si="1185"/>
        <v>1547604.0907988879</v>
      </c>
      <c r="BN103" s="8">
        <f t="shared" si="1185"/>
        <v>1897688.26015714</v>
      </c>
      <c r="BO103" s="8">
        <f t="shared" si="1185"/>
        <v>2268946.6870015953</v>
      </c>
      <c r="BP103" s="8">
        <f t="shared" si="1185"/>
        <v>2404342.5319444528</v>
      </c>
      <c r="BQ103" s="8">
        <f>IF(OR(BQ102="",BP103=""),"",BP103+BQ102)</f>
        <v>2100772.4591902248</v>
      </c>
      <c r="BR103" s="8">
        <f>IF(OR(BR102="",BQ103=""),"",BQ103+BR102)</f>
        <v>1813538.7937884661</v>
      </c>
      <c r="BS103" s="8">
        <f>IF(OR(BS102="",BR103=""),"",BR103+BS102)</f>
        <v>1514865.7346290869</v>
      </c>
      <c r="BT103" s="8">
        <f t="shared" si="1185"/>
        <v>1650974.6457390133</v>
      </c>
      <c r="BU103" s="8">
        <f t="shared" si="1185"/>
        <v>1977276.1456687886</v>
      </c>
      <c r="BV103" s="8">
        <f t="shared" si="1185"/>
        <v>1995608.0801300874</v>
      </c>
      <c r="BW103" s="8">
        <f t="shared" si="1185"/>
        <v>-152105.76839612494</v>
      </c>
      <c r="BX103" s="12" t="str">
        <f t="shared" si="1185"/>
        <v/>
      </c>
      <c r="BY103" s="12" t="str">
        <f t="shared" si="1185"/>
        <v/>
      </c>
      <c r="BZ103" s="12" t="str">
        <f t="shared" si="1185"/>
        <v/>
      </c>
      <c r="CA103" s="12" t="str">
        <f t="shared" si="1185"/>
        <v/>
      </c>
      <c r="CB103" s="12" t="str">
        <f t="shared" si="1185"/>
        <v/>
      </c>
      <c r="CC103" s="12" t="str">
        <f t="shared" si="1185"/>
        <v/>
      </c>
      <c r="CD103" s="12" t="str">
        <f t="shared" si="1185"/>
        <v/>
      </c>
      <c r="CE103" s="12" t="str">
        <f t="shared" si="1185"/>
        <v/>
      </c>
      <c r="CF103" s="12" t="str">
        <f t="shared" si="1185"/>
        <v/>
      </c>
      <c r="CG103" s="12" t="str">
        <f t="shared" si="1185"/>
        <v/>
      </c>
      <c r="CH103" s="12" t="str">
        <f t="shared" si="1185"/>
        <v/>
      </c>
      <c r="CI103" s="12" t="str">
        <f t="shared" si="1185"/>
        <v/>
      </c>
      <c r="CJ103" s="12" t="str">
        <f t="shared" si="1185"/>
        <v/>
      </c>
      <c r="CK103" s="12" t="str">
        <f t="shared" si="1185"/>
        <v/>
      </c>
      <c r="CL103" s="12" t="str">
        <f t="shared" si="1185"/>
        <v/>
      </c>
      <c r="CM103" s="12" t="str">
        <f t="shared" si="1185"/>
        <v/>
      </c>
      <c r="CN103" s="12" t="str">
        <f t="shared" si="1185"/>
        <v/>
      </c>
      <c r="CO103" s="12" t="str">
        <f t="shared" si="1185"/>
        <v/>
      </c>
      <c r="CP103" s="12" t="str">
        <f t="shared" si="1185"/>
        <v/>
      </c>
      <c r="CQ103" s="12" t="str">
        <f t="shared" si="1185"/>
        <v/>
      </c>
      <c r="CR103" s="12" t="str">
        <f t="shared" si="1185"/>
        <v/>
      </c>
      <c r="CS103" s="12" t="str">
        <f t="shared" si="1185"/>
        <v/>
      </c>
      <c r="CT103" s="12" t="str">
        <f t="shared" si="1185"/>
        <v/>
      </c>
      <c r="CU103" s="12" t="str">
        <f t="shared" si="1185"/>
        <v/>
      </c>
    </row>
    <row r="104" spans="1:99" x14ac:dyDescent="0.25">
      <c r="A104" s="294"/>
      <c r="B104" s="54" t="s">
        <v>77</v>
      </c>
      <c r="C104" s="37"/>
      <c r="D104" s="37"/>
      <c r="E104" s="8"/>
      <c r="F104" s="8"/>
      <c r="G104" s="8"/>
      <c r="H104" s="8"/>
      <c r="I104" s="8"/>
      <c r="J104" s="8"/>
      <c r="K104" s="8"/>
      <c r="L104" s="8"/>
      <c r="M104" s="8"/>
      <c r="N104" s="8"/>
      <c r="O104" s="8"/>
      <c r="P104" s="8" t="str">
        <f t="shared" ref="P104" si="1186">IF(P97="","",O104-P97+P100)</f>
        <v/>
      </c>
      <c r="Q104" s="8" t="str">
        <f t="shared" ref="Q104" si="1187">IF(Q97="","",P104-Q97+Q100)</f>
        <v/>
      </c>
      <c r="R104" s="8" t="str">
        <f t="shared" ref="R104" si="1188">IF(R97="","",Q104-R97+R100)</f>
        <v/>
      </c>
      <c r="S104" s="8" t="str">
        <f t="shared" ref="S104" si="1189">IF(S97="","",R104-S97+S100)</f>
        <v/>
      </c>
      <c r="T104" s="8" t="str">
        <f t="shared" ref="T104" si="1190">IF(T97="","",S104-T97+T100)</f>
        <v/>
      </c>
      <c r="U104" s="8" t="str">
        <f t="shared" ref="U104" si="1191">IF(U97="","",T104-U97+U100)</f>
        <v/>
      </c>
      <c r="V104" s="8" t="str">
        <f t="shared" ref="V104" si="1192">IF(V97="","",U104-V97+V100)</f>
        <v/>
      </c>
      <c r="W104" s="8" t="str">
        <f t="shared" ref="W104" si="1193">IF(W97="","",V104-W97+W100)</f>
        <v/>
      </c>
      <c r="X104" s="8" t="str">
        <f t="shared" ref="X104" si="1194">IF(X97="","",W104-X97+X100)</f>
        <v/>
      </c>
      <c r="Y104" s="8" t="str">
        <f t="shared" ref="Y104" si="1195">IF(Y97="","",X104-Y97+Y100)</f>
        <v/>
      </c>
      <c r="Z104" s="8" t="str">
        <f t="shared" ref="Z104" si="1196">IF(Z97="","",Y104-Z97+Z100)</f>
        <v/>
      </c>
      <c r="AA104" s="8" t="str">
        <f t="shared" ref="AA104" si="1197">IF(AA97="","",Z104-AA97+AA100)</f>
        <v/>
      </c>
      <c r="AB104" s="8" t="str">
        <f t="shared" ref="AB104" si="1198">IF(AB97="","",AA104-AB97+AB100)</f>
        <v/>
      </c>
      <c r="AC104" s="8">
        <v>4662492</v>
      </c>
      <c r="AD104" s="8">
        <f>IF(AD97="","",AC104-AD97+AD100)</f>
        <v>4662492</v>
      </c>
      <c r="AE104" s="8">
        <f t="shared" ref="AE104" si="1199">IF(AE97="","",AD104-AE97+AE100)</f>
        <v>4662492</v>
      </c>
      <c r="AF104" s="8">
        <f t="shared" ref="AF104" si="1200">IF(AF97="","",AE104-AF97+AF100)</f>
        <v>4662492</v>
      </c>
      <c r="AG104" s="8">
        <f t="shared" ref="AG104" si="1201">IF(AG97="","",AF104-AG97+AG100)</f>
        <v>4662492</v>
      </c>
      <c r="AH104" s="8">
        <f t="shared" ref="AH104" si="1202">IF(AH97="","",AG104-AH97+AH100)</f>
        <v>4662492</v>
      </c>
      <c r="AI104" s="8">
        <f t="shared" ref="AI104" si="1203">IF(AI97="","",AH104-AI97+AI100)</f>
        <v>4662492</v>
      </c>
      <c r="AJ104" s="8">
        <f t="shared" ref="AJ104" si="1204">IF(AJ97="","",AI104-AJ97+AJ100)</f>
        <v>4662492</v>
      </c>
      <c r="AK104" s="8">
        <f t="shared" ref="AK104" si="1205">IF(AK97="","",AJ104-AK97+AK100)</f>
        <v>4662492</v>
      </c>
      <c r="AL104" s="8">
        <f>IF(AL97="","",AK104-AL97+AL100+AL95)</f>
        <v>10279277</v>
      </c>
      <c r="AM104" s="8">
        <f>IF(AM97="","",AL104-AM97+AM100+AM95)</f>
        <v>21493034</v>
      </c>
      <c r="AN104" s="8">
        <f>IF(AN97="","",AM104-AN97+AN100)</f>
        <v>21493034</v>
      </c>
      <c r="AO104" s="8">
        <f t="shared" ref="AO104" si="1206">IF(AO97="","",AN104-AO97+AO100)</f>
        <v>21493034</v>
      </c>
      <c r="AP104" s="8">
        <f t="shared" ref="AP104" si="1207">IF(AP97="","",AO104-AP97+AP100)</f>
        <v>21493034</v>
      </c>
      <c r="AQ104" s="8">
        <f t="shared" ref="AQ104" si="1208">IF(AQ97="","",AP104-AQ97+AQ100)</f>
        <v>21493034</v>
      </c>
      <c r="AR104" s="8">
        <f t="shared" ref="AR104" si="1209">IF(AR97="","",AQ104-AR97+AR100)</f>
        <v>21493034</v>
      </c>
      <c r="AS104" s="8">
        <f t="shared" ref="AS104" si="1210">IF(AS97="","",AR104-AS97+AS100)</f>
        <v>21493034</v>
      </c>
      <c r="AT104" s="8">
        <f t="shared" ref="AT104" si="1211">IF(AT97="","",AS104-AT97+AT100)</f>
        <v>21493034</v>
      </c>
      <c r="AU104" s="8">
        <f>IF(AU97="","",AT104-AU97+AU100+AU95)</f>
        <v>39212516</v>
      </c>
      <c r="AV104" s="8">
        <f>IF(AV97="","",AU104-AV97+AV100)</f>
        <v>39212516</v>
      </c>
      <c r="AW104" s="8">
        <f>IF(AW97="","",AV104-AW97+AW100+AW95)</f>
        <v>44199814.084823981</v>
      </c>
      <c r="AX104" s="8">
        <f t="shared" ref="AX104:AY104" si="1212">IF(AX97="","",AW104-AX97+AX100)</f>
        <v>44031263.978056505</v>
      </c>
      <c r="AY104" s="8">
        <f t="shared" si="1212"/>
        <v>43853275.447447807</v>
      </c>
      <c r="AZ104" s="8">
        <f>IF(AZ97="","",AY104-AZ97+AZ100+AZ95)</f>
        <v>42880760.876530446</v>
      </c>
      <c r="BA104" s="8">
        <f t="shared" ref="BA104:CU104" si="1213">IF(BA97="","",AZ104-BA97+BA100)</f>
        <v>41040304.948764309</v>
      </c>
      <c r="BB104" s="8">
        <f t="shared" si="1213"/>
        <v>39489596.456431307</v>
      </c>
      <c r="BC104" s="8">
        <f t="shared" si="1213"/>
        <v>38064254.28124354</v>
      </c>
      <c r="BD104" s="8">
        <f t="shared" si="1213"/>
        <v>36318600.53135632</v>
      </c>
      <c r="BE104" s="8">
        <f t="shared" si="1213"/>
        <v>34124594.831999809</v>
      </c>
      <c r="BF104" s="8">
        <f>IF(BF97="","",BE104-BF97+BF100+BF95)</f>
        <v>31298194.615137309</v>
      </c>
      <c r="BG104" s="8">
        <f>IF(BG97="","",BF104-BG97+BG100)</f>
        <v>29280979.862391911</v>
      </c>
      <c r="BH104" s="8">
        <f t="shared" si="1213"/>
        <v>27726099.7551676</v>
      </c>
      <c r="BI104" s="8">
        <f t="shared" si="1213"/>
        <v>26143404.288956933</v>
      </c>
      <c r="BJ104" s="8">
        <f t="shared" si="1213"/>
        <v>24267731.808979321</v>
      </c>
      <c r="BK104" s="8">
        <f t="shared" si="1213"/>
        <v>22059176.568308622</v>
      </c>
      <c r="BL104" s="8">
        <f t="shared" si="1213"/>
        <v>19834091.463793218</v>
      </c>
      <c r="BM104" s="8">
        <f t="shared" si="1213"/>
        <v>18023234.733697433</v>
      </c>
      <c r="BN104" s="8">
        <f t="shared" si="1213"/>
        <v>16536258.047983222</v>
      </c>
      <c r="BO104" s="8">
        <f t="shared" si="1213"/>
        <v>15070455.619755212</v>
      </c>
      <c r="BP104" s="8">
        <f t="shared" si="1213"/>
        <v>13368790.609625606</v>
      </c>
      <c r="BQ104" s="8">
        <f>IF(BQ97="","",BP104-BQ97+BQ100)</f>
        <v>11228159.681798913</v>
      </c>
      <c r="BR104" s="8">
        <f>IF(BR97="","",BQ104-BR97+BR100+BR95)</f>
        <v>9084035.5232310575</v>
      </c>
      <c r="BS104" s="8">
        <f>IF(BS97="","",BR104-BS97+BS100)</f>
        <v>6948301.6089992141</v>
      </c>
      <c r="BT104" s="8">
        <f>IF(BT97="","",BS104-BT97+BT100)</f>
        <v>5247349.6650366765</v>
      </c>
      <c r="BU104" s="8">
        <f t="shared" si="1213"/>
        <v>3736590.3098939881</v>
      </c>
      <c r="BV104" s="8">
        <f t="shared" si="1213"/>
        <v>1917861.3892828233</v>
      </c>
      <c r="BW104" s="8">
        <f t="shared" si="1213"/>
        <v>-171934.79257672251</v>
      </c>
      <c r="BX104" s="12" t="str">
        <f t="shared" si="1213"/>
        <v/>
      </c>
      <c r="BY104" s="12" t="str">
        <f t="shared" si="1213"/>
        <v/>
      </c>
      <c r="BZ104" s="12" t="str">
        <f t="shared" si="1213"/>
        <v/>
      </c>
      <c r="CA104" s="12" t="str">
        <f t="shared" si="1213"/>
        <v/>
      </c>
      <c r="CB104" s="12" t="str">
        <f t="shared" si="1213"/>
        <v/>
      </c>
      <c r="CC104" s="12" t="str">
        <f t="shared" si="1213"/>
        <v/>
      </c>
      <c r="CD104" s="12" t="str">
        <f t="shared" si="1213"/>
        <v/>
      </c>
      <c r="CE104" s="12" t="str">
        <f t="shared" si="1213"/>
        <v/>
      </c>
      <c r="CF104" s="12" t="str">
        <f t="shared" si="1213"/>
        <v/>
      </c>
      <c r="CG104" s="12" t="str">
        <f t="shared" si="1213"/>
        <v/>
      </c>
      <c r="CH104" s="12" t="str">
        <f t="shared" si="1213"/>
        <v/>
      </c>
      <c r="CI104" s="12" t="str">
        <f t="shared" si="1213"/>
        <v/>
      </c>
      <c r="CJ104" s="12" t="str">
        <f t="shared" si="1213"/>
        <v/>
      </c>
      <c r="CK104" s="12" t="str">
        <f t="shared" si="1213"/>
        <v/>
      </c>
      <c r="CL104" s="12" t="str">
        <f t="shared" si="1213"/>
        <v/>
      </c>
      <c r="CM104" s="12" t="str">
        <f t="shared" si="1213"/>
        <v/>
      </c>
      <c r="CN104" s="12" t="str">
        <f t="shared" si="1213"/>
        <v/>
      </c>
      <c r="CO104" s="12" t="str">
        <f t="shared" si="1213"/>
        <v/>
      </c>
      <c r="CP104" s="12" t="str">
        <f t="shared" si="1213"/>
        <v/>
      </c>
      <c r="CQ104" s="12" t="str">
        <f t="shared" si="1213"/>
        <v/>
      </c>
      <c r="CR104" s="12" t="str">
        <f t="shared" si="1213"/>
        <v/>
      </c>
      <c r="CS104" s="12" t="str">
        <f t="shared" si="1213"/>
        <v/>
      </c>
      <c r="CT104" s="12" t="str">
        <f t="shared" si="1213"/>
        <v/>
      </c>
      <c r="CU104" s="12" t="str">
        <f t="shared" si="1213"/>
        <v/>
      </c>
    </row>
    <row r="105" spans="1:99" s="4" customFormat="1" ht="8.25" customHeight="1" x14ac:dyDescent="0.25">
      <c r="A105" s="40"/>
      <c r="B105" s="11"/>
      <c r="C105" s="11"/>
      <c r="D105" s="11"/>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row>
    <row r="106" spans="1:99" x14ac:dyDescent="0.25">
      <c r="A106"/>
    </row>
    <row r="107" spans="1:99" x14ac:dyDescent="0.25">
      <c r="A107"/>
      <c r="O107" s="39"/>
      <c r="P107" s="39"/>
      <c r="Q107" s="39"/>
      <c r="R107" s="39"/>
      <c r="BD107" s="39"/>
      <c r="BV107" s="39"/>
      <c r="BW107" s="39"/>
    </row>
    <row r="108" spans="1:99" x14ac:dyDescent="0.25">
      <c r="A108"/>
      <c r="P108" s="39"/>
    </row>
    <row r="109" spans="1:99" x14ac:dyDescent="0.25">
      <c r="A109"/>
    </row>
    <row r="110" spans="1:99" x14ac:dyDescent="0.25">
      <c r="A110"/>
      <c r="BI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c r="CI110" s="39"/>
      <c r="CJ110" s="39"/>
      <c r="CK110" s="39"/>
      <c r="CL110" s="39"/>
      <c r="CM110" s="39"/>
      <c r="CN110" s="39"/>
      <c r="CO110" s="39"/>
      <c r="CP110" s="39"/>
      <c r="CQ110" s="39"/>
      <c r="CR110" s="39"/>
      <c r="CS110" s="39"/>
      <c r="CT110" s="39"/>
      <c r="CU110" s="39"/>
    </row>
    <row r="111" spans="1:99" x14ac:dyDescent="0.25">
      <c r="A111"/>
      <c r="BE111" s="56"/>
    </row>
    <row r="112" spans="1:99" x14ac:dyDescent="0.25">
      <c r="A112"/>
    </row>
    <row r="113" spans="1:70" x14ac:dyDescent="0.25">
      <c r="A113"/>
      <c r="BR113" s="39"/>
    </row>
    <row r="114" spans="1:70" x14ac:dyDescent="0.25">
      <c r="A114"/>
    </row>
    <row r="115" spans="1:70" x14ac:dyDescent="0.25">
      <c r="A115"/>
    </row>
    <row r="116" spans="1:70" x14ac:dyDescent="0.25">
      <c r="A116"/>
    </row>
    <row r="117" spans="1:70" x14ac:dyDescent="0.25">
      <c r="A117"/>
    </row>
    <row r="118" spans="1:70" x14ac:dyDescent="0.25">
      <c r="A118"/>
    </row>
    <row r="119" spans="1:70" x14ac:dyDescent="0.25">
      <c r="A119"/>
    </row>
    <row r="120" spans="1:70" x14ac:dyDescent="0.25">
      <c r="A120"/>
    </row>
    <row r="121" spans="1:70" x14ac:dyDescent="0.25">
      <c r="A121"/>
    </row>
    <row r="122" spans="1:70" x14ac:dyDescent="0.25">
      <c r="A122"/>
    </row>
    <row r="123" spans="1:70" x14ac:dyDescent="0.25">
      <c r="A123"/>
    </row>
    <row r="124" spans="1:70" x14ac:dyDescent="0.25">
      <c r="A124"/>
    </row>
    <row r="125" spans="1:70" x14ac:dyDescent="0.25">
      <c r="A125"/>
    </row>
    <row r="126" spans="1:70" x14ac:dyDescent="0.25">
      <c r="A126"/>
    </row>
    <row r="127" spans="1:70" x14ac:dyDescent="0.25">
      <c r="A127"/>
    </row>
    <row r="128" spans="1:70"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sheetData>
  <mergeCells count="10">
    <mergeCell ref="A95:A104"/>
    <mergeCell ref="A56:A64"/>
    <mergeCell ref="A66:A74"/>
    <mergeCell ref="A5:A13"/>
    <mergeCell ref="A15:A24"/>
    <mergeCell ref="A26:A34"/>
    <mergeCell ref="A36:A44"/>
    <mergeCell ref="A46:A54"/>
    <mergeCell ref="A76:A82"/>
    <mergeCell ref="A84:A93"/>
  </mergeCells>
  <printOptions headings="1"/>
  <pageMargins left="0.2" right="0.2" top="0.5" bottom="0.5" header="0.3" footer="0.3"/>
  <pageSetup scale="11" orientation="portrait" cellComments="asDisplayed" r:id="rId1"/>
  <headerFooter>
    <oddHeader>&amp;C&amp;A</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ED188"/>
  <sheetViews>
    <sheetView topLeftCell="DF1" zoomScale="85" zoomScaleNormal="85" zoomScaleSheetLayoutView="80" workbookViewId="0">
      <selection activeCell="ED23" sqref="ED23"/>
    </sheetView>
  </sheetViews>
  <sheetFormatPr defaultColWidth="9.140625" defaultRowHeight="15" customHeight="1" zeroHeight="1" x14ac:dyDescent="0.25"/>
  <cols>
    <col min="1" max="1" width="3.140625" style="1" customWidth="1"/>
    <col min="2" max="2" width="50" customWidth="1"/>
    <col min="3" max="4" width="10.7109375" bestFit="1" customWidth="1"/>
    <col min="5" max="6" width="10.7109375" hidden="1" customWidth="1"/>
    <col min="7" max="9" width="12.7109375" hidden="1" customWidth="1"/>
    <col min="10" max="21" width="14.28515625" hidden="1" customWidth="1"/>
    <col min="22" max="40" width="15.28515625" hidden="1" customWidth="1"/>
    <col min="41" max="44" width="15.28515625" bestFit="1" customWidth="1"/>
    <col min="45" max="45" width="14.28515625" customWidth="1"/>
    <col min="46" max="46" width="12.140625" customWidth="1"/>
    <col min="48" max="48" width="9.140625" style="161"/>
    <col min="50" max="50" width="48.140625" bestFit="1" customWidth="1"/>
    <col min="51" max="51" width="12.7109375" bestFit="1" customWidth="1"/>
    <col min="52" max="54" width="11.85546875" bestFit="1" customWidth="1"/>
    <col min="55" max="55" width="12.7109375" bestFit="1" customWidth="1"/>
    <col min="56" max="56" width="13.5703125" bestFit="1" customWidth="1"/>
    <col min="57" max="64" width="11.85546875" bestFit="1" customWidth="1"/>
    <col min="65" max="65" width="12.7109375" bestFit="1" customWidth="1"/>
    <col min="66" max="66" width="32.7109375" customWidth="1"/>
    <col min="67" max="67" width="11.85546875" bestFit="1" customWidth="1"/>
    <col min="68" max="68" width="12.7109375" bestFit="1" customWidth="1"/>
    <col min="69" max="69" width="16.28515625" bestFit="1" customWidth="1"/>
    <col min="70" max="75" width="11.85546875" bestFit="1" customWidth="1"/>
    <col min="76" max="76" width="15.5703125" bestFit="1" customWidth="1"/>
    <col min="80" max="80" width="9.140625" style="149"/>
    <col min="81" max="81" width="35.140625" bestFit="1" customWidth="1"/>
    <col min="82" max="82" width="52.5703125" bestFit="1" customWidth="1"/>
    <col min="83" max="84" width="15" bestFit="1" customWidth="1"/>
    <col min="85" max="89" width="14.28515625" bestFit="1" customWidth="1"/>
    <col min="92" max="92" width="35.140625" bestFit="1" customWidth="1"/>
    <col min="93" max="93" width="52.5703125" bestFit="1" customWidth="1"/>
    <col min="94" max="95" width="15" bestFit="1" customWidth="1"/>
    <col min="96" max="100" width="14.28515625" bestFit="1" customWidth="1"/>
    <col min="101" max="103" width="13.42578125" bestFit="1" customWidth="1"/>
    <col min="104" max="104" width="9.140625" style="149"/>
    <col min="106" max="106" width="52.5703125" bestFit="1" customWidth="1"/>
    <col min="107" max="114" width="13.85546875" bestFit="1" customWidth="1"/>
    <col min="115" max="120" width="13.5703125" bestFit="1" customWidth="1"/>
    <col min="121" max="127" width="11.85546875" bestFit="1" customWidth="1"/>
    <col min="128" max="131" width="11.28515625" bestFit="1" customWidth="1"/>
    <col min="132" max="132" width="13.42578125" bestFit="1" customWidth="1"/>
    <col min="133" max="133" width="9.85546875" bestFit="1" customWidth="1"/>
  </cols>
  <sheetData>
    <row r="1" spans="1:134" x14ac:dyDescent="0.25">
      <c r="A1" s="218" t="s">
        <v>125</v>
      </c>
      <c r="AW1" s="218" t="s">
        <v>125</v>
      </c>
      <c r="AY1" s="47" t="s">
        <v>94</v>
      </c>
      <c r="BM1" s="165">
        <f>BM2-BM3</f>
        <v>-3273.9799999967217</v>
      </c>
      <c r="BN1" s="168" t="s">
        <v>89</v>
      </c>
      <c r="BP1" s="39"/>
      <c r="BT1" s="39"/>
      <c r="CC1" t="s">
        <v>121</v>
      </c>
      <c r="DA1" s="55" t="s">
        <v>156</v>
      </c>
    </row>
    <row r="2" spans="1:134" ht="15.75" x14ac:dyDescent="0.25">
      <c r="A2" s="46" t="s">
        <v>1</v>
      </c>
      <c r="B2" s="33"/>
      <c r="C2" s="33"/>
      <c r="D2" s="33"/>
      <c r="AW2" s="46" t="s">
        <v>1</v>
      </c>
      <c r="AX2" s="33"/>
      <c r="AY2" s="47" t="s">
        <v>93</v>
      </c>
      <c r="BM2" s="39">
        <f>SUM(AY6:BQ6)</f>
        <v>9828949.7200000025</v>
      </c>
      <c r="BN2" t="s">
        <v>91</v>
      </c>
      <c r="BO2" s="39"/>
      <c r="BP2" s="39"/>
      <c r="BT2" s="39"/>
      <c r="CC2" t="s">
        <v>116</v>
      </c>
      <c r="CE2" s="10">
        <v>44501</v>
      </c>
      <c r="CF2" s="10">
        <v>44531</v>
      </c>
      <c r="CG2" s="10">
        <v>44562</v>
      </c>
      <c r="CH2" s="10">
        <v>44593</v>
      </c>
      <c r="CI2" s="10">
        <v>44621</v>
      </c>
      <c r="CJ2" s="10">
        <v>44652</v>
      </c>
      <c r="CK2" s="10">
        <v>44682</v>
      </c>
      <c r="CN2" t="s">
        <v>120</v>
      </c>
      <c r="CP2" s="10">
        <v>44501</v>
      </c>
      <c r="CQ2" s="10">
        <v>44531</v>
      </c>
      <c r="CR2" s="10">
        <v>44562</v>
      </c>
      <c r="CS2" s="10">
        <v>44593</v>
      </c>
      <c r="CT2" s="10">
        <v>44621</v>
      </c>
      <c r="CU2" s="10">
        <v>44652</v>
      </c>
      <c r="CV2" s="10">
        <v>44682</v>
      </c>
      <c r="DA2" s="47" t="s">
        <v>132</v>
      </c>
    </row>
    <row r="3" spans="1:134" ht="15.75" x14ac:dyDescent="0.25">
      <c r="A3" s="46" t="s">
        <v>64</v>
      </c>
      <c r="B3" s="33"/>
      <c r="C3" s="33"/>
      <c r="D3" s="33"/>
      <c r="AW3" s="46" t="s">
        <v>7</v>
      </c>
      <c r="BM3" s="39">
        <f>SUM('MEEIA 2 calcs'!AO6:BG6)</f>
        <v>9832223.6999999993</v>
      </c>
      <c r="BN3" t="s">
        <v>92</v>
      </c>
      <c r="BP3" s="39"/>
      <c r="CC3" s="40"/>
      <c r="CD3" s="11"/>
      <c r="CN3" s="40"/>
      <c r="CO3" s="11"/>
      <c r="DA3" s="47" t="s">
        <v>93</v>
      </c>
    </row>
    <row r="4" spans="1:134" x14ac:dyDescent="0.25">
      <c r="A4" s="47" t="s">
        <v>68</v>
      </c>
      <c r="AW4" s="1"/>
      <c r="AY4" s="10">
        <v>43525</v>
      </c>
      <c r="AZ4" s="10">
        <v>43556</v>
      </c>
      <c r="BA4" s="10">
        <v>43586</v>
      </c>
      <c r="BB4" s="10">
        <v>43617</v>
      </c>
      <c r="BC4" s="10">
        <v>43647</v>
      </c>
      <c r="BD4" s="10">
        <v>43678</v>
      </c>
      <c r="BE4" s="10">
        <v>43709</v>
      </c>
      <c r="BF4" s="10">
        <v>43739</v>
      </c>
      <c r="BG4" s="10">
        <v>43770</v>
      </c>
      <c r="BH4" s="10">
        <v>43800</v>
      </c>
      <c r="BI4" s="10">
        <v>43831</v>
      </c>
      <c r="BJ4" s="10">
        <v>43862</v>
      </c>
      <c r="BK4" s="10">
        <v>43891</v>
      </c>
      <c r="BL4" s="10">
        <v>43922</v>
      </c>
      <c r="BM4" s="10">
        <v>43952</v>
      </c>
      <c r="BN4" s="10">
        <v>43983</v>
      </c>
      <c r="BO4" s="10">
        <v>44013</v>
      </c>
      <c r="BP4" s="10">
        <v>44044</v>
      </c>
      <c r="BQ4" s="10">
        <v>44075</v>
      </c>
      <c r="BR4" s="10">
        <v>44105</v>
      </c>
      <c r="BS4" s="10">
        <v>44136</v>
      </c>
      <c r="BT4" s="10">
        <v>44166</v>
      </c>
      <c r="BU4" s="10">
        <v>44197</v>
      </c>
      <c r="BV4" s="10">
        <v>44228</v>
      </c>
      <c r="BW4" s="10">
        <v>44256</v>
      </c>
      <c r="CC4" s="292" t="s">
        <v>25</v>
      </c>
      <c r="CD4" s="15"/>
      <c r="CN4" s="292" t="s">
        <v>25</v>
      </c>
      <c r="CO4" s="15"/>
      <c r="DA4" s="1"/>
    </row>
    <row r="5" spans="1:134" x14ac:dyDescent="0.25">
      <c r="C5" s="10">
        <v>42614</v>
      </c>
      <c r="D5" s="10">
        <v>42644</v>
      </c>
      <c r="E5" s="10">
        <v>42675</v>
      </c>
      <c r="F5" s="10">
        <v>42705</v>
      </c>
      <c r="G5" s="10">
        <v>42736</v>
      </c>
      <c r="H5" s="10">
        <v>42767</v>
      </c>
      <c r="I5" s="10">
        <v>42795</v>
      </c>
      <c r="J5" s="10">
        <v>42826</v>
      </c>
      <c r="K5" s="10">
        <v>42856</v>
      </c>
      <c r="L5" s="10">
        <v>42887</v>
      </c>
      <c r="M5" s="10">
        <v>42917</v>
      </c>
      <c r="N5" s="10">
        <v>42948</v>
      </c>
      <c r="O5" s="10">
        <v>42979</v>
      </c>
      <c r="P5" s="10">
        <v>43009</v>
      </c>
      <c r="Q5" s="10">
        <v>43040</v>
      </c>
      <c r="AW5" s="295" t="s">
        <v>0</v>
      </c>
      <c r="AX5" s="5"/>
      <c r="AY5" s="29"/>
      <c r="AZ5" s="29"/>
      <c r="BA5" s="29"/>
      <c r="BB5" s="29"/>
      <c r="BC5" s="29"/>
      <c r="BD5" s="29"/>
      <c r="BE5" s="29"/>
      <c r="BF5" s="29"/>
      <c r="BG5" s="29"/>
      <c r="BH5" s="29"/>
      <c r="BI5" s="29"/>
      <c r="BJ5" s="29"/>
      <c r="BK5" s="29"/>
      <c r="BL5" s="29"/>
      <c r="BM5" s="29"/>
      <c r="BN5" s="29"/>
      <c r="BO5" s="29"/>
      <c r="BP5" s="29"/>
      <c r="BQ5" s="29"/>
      <c r="BR5" s="29"/>
      <c r="BS5" s="29"/>
      <c r="BT5" s="29"/>
      <c r="BU5" s="29"/>
      <c r="BV5" s="29"/>
      <c r="BW5" s="29"/>
      <c r="CC5" s="292"/>
      <c r="CD5" s="15" t="s">
        <v>28</v>
      </c>
      <c r="CE5" s="215">
        <v>20626.079999999609</v>
      </c>
      <c r="CF5" s="215">
        <v>24775.299999998882</v>
      </c>
      <c r="CG5" s="215">
        <v>25830.020000001416</v>
      </c>
      <c r="CH5" s="215">
        <v>21223.889999997336</v>
      </c>
      <c r="CI5" s="215">
        <v>0</v>
      </c>
      <c r="CJ5" s="215">
        <v>0</v>
      </c>
      <c r="CK5" s="215">
        <v>0</v>
      </c>
      <c r="CN5" s="292"/>
      <c r="CO5" s="15" t="s">
        <v>28</v>
      </c>
      <c r="CP5" s="215">
        <v>20626.079999999609</v>
      </c>
      <c r="CQ5" s="215">
        <v>24775.299999998882</v>
      </c>
      <c r="CR5" s="215">
        <v>25830.020000001416</v>
      </c>
      <c r="CS5" s="215">
        <v>21223.889999997336</v>
      </c>
      <c r="CT5" s="215">
        <v>0</v>
      </c>
      <c r="CU5" s="215">
        <v>0</v>
      </c>
      <c r="CV5" s="215">
        <v>0</v>
      </c>
      <c r="DA5" s="1"/>
      <c r="DC5" s="10">
        <v>44166</v>
      </c>
      <c r="DD5" s="10">
        <v>44197</v>
      </c>
      <c r="DE5" s="10">
        <v>44228</v>
      </c>
      <c r="DF5" s="10">
        <v>44256</v>
      </c>
      <c r="DG5" s="10">
        <v>44287</v>
      </c>
      <c r="DH5" s="10">
        <v>44317</v>
      </c>
      <c r="DI5" s="10">
        <v>44348</v>
      </c>
      <c r="DJ5" s="10">
        <v>44378</v>
      </c>
      <c r="DK5" s="10">
        <v>44409</v>
      </c>
      <c r="DL5" s="10">
        <v>44440</v>
      </c>
      <c r="DM5" s="10">
        <v>44470</v>
      </c>
      <c r="DN5" s="10">
        <v>44501</v>
      </c>
      <c r="DO5" s="10">
        <v>44531</v>
      </c>
      <c r="DP5" s="10">
        <v>44562</v>
      </c>
      <c r="DQ5" s="10">
        <v>44593</v>
      </c>
      <c r="DR5" s="10">
        <v>44621</v>
      </c>
      <c r="DS5" s="10">
        <v>44652</v>
      </c>
      <c r="DT5" s="10">
        <v>44682</v>
      </c>
      <c r="DU5" s="10">
        <v>44713</v>
      </c>
      <c r="DV5" s="10">
        <v>44743</v>
      </c>
      <c r="DW5" s="10">
        <v>44774</v>
      </c>
      <c r="DX5" s="10">
        <v>44805</v>
      </c>
      <c r="DY5" s="10">
        <v>44835</v>
      </c>
      <c r="DZ5" s="10">
        <v>44866</v>
      </c>
      <c r="EA5" s="10">
        <v>44896</v>
      </c>
      <c r="EB5" s="45" t="s">
        <v>130</v>
      </c>
      <c r="EC5" s="45" t="s">
        <v>89</v>
      </c>
    </row>
    <row r="6" spans="1:134" x14ac:dyDescent="0.25">
      <c r="A6" s="295" t="s">
        <v>0</v>
      </c>
      <c r="B6" s="5"/>
      <c r="C6" s="29"/>
      <c r="D6" s="29"/>
      <c r="E6" s="29"/>
      <c r="F6" s="29"/>
      <c r="G6" s="29"/>
      <c r="H6" s="7"/>
      <c r="I6" s="29"/>
      <c r="J6" s="29"/>
      <c r="K6" s="29"/>
      <c r="L6" s="29"/>
      <c r="M6" s="29"/>
      <c r="N6" s="29"/>
      <c r="O6" s="29"/>
      <c r="P6" s="29"/>
      <c r="Q6" s="29"/>
      <c r="AW6" s="295"/>
      <c r="AX6" s="5" t="s">
        <v>9</v>
      </c>
      <c r="AY6" s="21">
        <v>7004423.3000000007</v>
      </c>
      <c r="AZ6" s="118">
        <v>193976.29</v>
      </c>
      <c r="BA6" s="118">
        <v>258711.14</v>
      </c>
      <c r="BB6" s="118">
        <v>209760.13</v>
      </c>
      <c r="BC6" s="118">
        <v>1180880.3099999998</v>
      </c>
      <c r="BD6" s="118">
        <v>-1350623.74</v>
      </c>
      <c r="BE6" s="118">
        <v>87350.23</v>
      </c>
      <c r="BF6" s="21">
        <v>459064.35</v>
      </c>
      <c r="BG6" s="118">
        <v>41006.9</v>
      </c>
      <c r="BH6" s="118">
        <v>158880.82</v>
      </c>
      <c r="BI6" s="118">
        <v>83121.37999999999</v>
      </c>
      <c r="BJ6" s="118">
        <v>138134.42000000001</v>
      </c>
      <c r="BK6" s="21">
        <v>209941.13000000003</v>
      </c>
      <c r="BL6" s="21">
        <v>-1300.0800000000563</v>
      </c>
      <c r="BM6" s="21">
        <v>14255.75</v>
      </c>
      <c r="BN6" s="118">
        <v>253636.05</v>
      </c>
      <c r="BO6" s="21">
        <v>60801.639999999985</v>
      </c>
      <c r="BP6" s="21">
        <v>700403.20000000019</v>
      </c>
      <c r="BQ6" s="21">
        <v>126526.49999999997</v>
      </c>
      <c r="BR6" s="21">
        <v>21848.7</v>
      </c>
      <c r="BS6" s="21">
        <v>5996.8600000000006</v>
      </c>
      <c r="BT6" s="21">
        <v>-279762.15999999992</v>
      </c>
      <c r="BU6" s="21">
        <v>95606.290000000008</v>
      </c>
      <c r="BV6" s="21">
        <v>153442.74</v>
      </c>
      <c r="BW6" s="21">
        <v>225.28000000000486</v>
      </c>
      <c r="CB6" s="150"/>
      <c r="CC6" s="292"/>
      <c r="CD6" s="16" t="s">
        <v>26</v>
      </c>
      <c r="CE6" s="215">
        <v>-452926.68</v>
      </c>
      <c r="CF6" s="215">
        <v>-540882.03</v>
      </c>
      <c r="CG6" s="215">
        <v>-651029.75</v>
      </c>
      <c r="CH6" s="215">
        <v>-427144.88</v>
      </c>
      <c r="CI6" s="215">
        <v>-59180.159999999996</v>
      </c>
      <c r="CJ6" s="215">
        <v>-58562.48</v>
      </c>
      <c r="CK6" s="215">
        <v>-50748.47</v>
      </c>
      <c r="CL6" s="4"/>
      <c r="CM6" s="4"/>
      <c r="CN6" s="292"/>
      <c r="CO6" s="16" t="s">
        <v>26</v>
      </c>
      <c r="CP6" s="215">
        <v>-452926.68</v>
      </c>
      <c r="CQ6" s="215">
        <v>-540882.03</v>
      </c>
      <c r="CR6" s="215">
        <v>-651029.75</v>
      </c>
      <c r="CS6" s="215">
        <v>-427144.88</v>
      </c>
      <c r="CT6" s="215">
        <v>-59180.160000000003</v>
      </c>
      <c r="CU6" s="215">
        <v>-58562.479999999996</v>
      </c>
      <c r="CV6" s="215">
        <v>-50748.47</v>
      </c>
      <c r="CW6" s="4"/>
      <c r="CX6" s="4"/>
      <c r="CY6" s="4"/>
      <c r="DA6" s="295" t="s">
        <v>0</v>
      </c>
      <c r="DB6" s="5"/>
      <c r="DC6" s="29"/>
      <c r="DD6" s="29"/>
      <c r="DE6" s="29"/>
      <c r="DF6" s="152">
        <v>-3340.5820431405446</v>
      </c>
      <c r="DG6" s="153"/>
      <c r="DH6" s="153"/>
      <c r="DI6" s="153"/>
      <c r="DJ6" s="153"/>
      <c r="DK6" s="153"/>
      <c r="DL6" s="153"/>
      <c r="DM6" s="153"/>
      <c r="DN6" s="153"/>
      <c r="DO6" s="153"/>
      <c r="DP6" s="153"/>
      <c r="DQ6" s="153"/>
      <c r="DR6" s="153"/>
      <c r="DS6" s="153"/>
      <c r="DT6" s="153"/>
      <c r="DU6" s="153"/>
      <c r="DV6" s="153"/>
      <c r="DW6" s="153"/>
      <c r="DX6" s="153"/>
      <c r="DY6" s="153"/>
      <c r="DZ6" s="153"/>
      <c r="EA6" s="153"/>
    </row>
    <row r="7" spans="1:134" s="3" customFormat="1" ht="15" customHeight="1" x14ac:dyDescent="0.25">
      <c r="A7" s="295"/>
      <c r="B7" s="5" t="s">
        <v>9</v>
      </c>
      <c r="C7" s="21">
        <v>0</v>
      </c>
      <c r="D7" s="21">
        <v>0</v>
      </c>
      <c r="E7" s="21">
        <v>0</v>
      </c>
      <c r="F7" s="21">
        <v>0</v>
      </c>
      <c r="G7" s="21">
        <v>-189515</v>
      </c>
      <c r="H7" s="22">
        <v>-1872.22</v>
      </c>
      <c r="I7" s="22">
        <v>0</v>
      </c>
      <c r="J7" s="21">
        <v>0</v>
      </c>
      <c r="K7" s="21">
        <v>0</v>
      </c>
      <c r="L7" s="22">
        <f>-98663.75-98663.75-1872.22-1872.22</f>
        <v>-201071.94</v>
      </c>
      <c r="M7" s="21">
        <v>0</v>
      </c>
      <c r="N7" s="21">
        <v>0</v>
      </c>
      <c r="O7" s="21">
        <v>0</v>
      </c>
      <c r="P7" s="21">
        <v>0</v>
      </c>
      <c r="Q7" s="21">
        <f>-SUM(G7:P7)</f>
        <v>392459.16000000003</v>
      </c>
      <c r="AV7" s="162"/>
      <c r="AW7" s="295"/>
      <c r="AX7" s="5" t="s">
        <v>10</v>
      </c>
      <c r="AY7" s="22">
        <v>-36362.01</v>
      </c>
      <c r="AZ7" s="22">
        <v>124962.2</v>
      </c>
      <c r="BA7" s="22">
        <v>216142.69</v>
      </c>
      <c r="BB7" s="22">
        <v>164533.09</v>
      </c>
      <c r="BC7" s="22">
        <v>52414.7</v>
      </c>
      <c r="BD7" s="22">
        <v>41132.15</v>
      </c>
      <c r="BE7" s="22">
        <v>99790.34</v>
      </c>
      <c r="BF7" s="21">
        <v>162041.60999999999</v>
      </c>
      <c r="BG7" s="22">
        <v>143971.22</v>
      </c>
      <c r="BH7" s="22">
        <v>8571.3799999999992</v>
      </c>
      <c r="BI7" s="22">
        <v>-35370.6</v>
      </c>
      <c r="BJ7" s="22">
        <v>118298.99</v>
      </c>
      <c r="BK7" s="22">
        <v>171428.03</v>
      </c>
      <c r="BL7" s="22">
        <v>133296.92000000001</v>
      </c>
      <c r="BM7" s="22">
        <v>117655.75</v>
      </c>
      <c r="BN7" s="22">
        <v>130053.22</v>
      </c>
      <c r="BO7" s="22">
        <v>209735.52</v>
      </c>
      <c r="BP7" s="22">
        <v>197790.51</v>
      </c>
      <c r="BQ7" s="22">
        <v>179959.96</v>
      </c>
      <c r="BR7" s="22">
        <v>125626.02</v>
      </c>
      <c r="BS7" s="22">
        <v>131893.51</v>
      </c>
      <c r="BT7" s="22">
        <v>171081.87</v>
      </c>
      <c r="BU7" s="22">
        <v>221573.25</v>
      </c>
      <c r="BV7" s="22">
        <v>139999.91</v>
      </c>
      <c r="BW7" s="22">
        <v>69598.7</v>
      </c>
      <c r="CB7" s="151"/>
      <c r="CC7" s="292"/>
      <c r="CD7" s="16" t="s">
        <v>51</v>
      </c>
      <c r="CE7" s="215">
        <v>492875.96</v>
      </c>
      <c r="CF7" s="215">
        <v>588146.23</v>
      </c>
      <c r="CG7" s="215">
        <v>699374.74</v>
      </c>
      <c r="CH7" s="215">
        <v>432869.69</v>
      </c>
      <c r="CI7" s="215">
        <v>60881.03</v>
      </c>
      <c r="CJ7" s="215">
        <v>60189.59</v>
      </c>
      <c r="CK7" s="215">
        <v>52383.22</v>
      </c>
      <c r="CL7" s="2"/>
      <c r="CM7" s="2"/>
      <c r="CN7" s="292"/>
      <c r="CO7" s="16" t="s">
        <v>51</v>
      </c>
      <c r="CP7" s="215">
        <v>492875.96</v>
      </c>
      <c r="CQ7" s="215">
        <v>588146.23</v>
      </c>
      <c r="CR7" s="215">
        <v>699374.74</v>
      </c>
      <c r="CS7" s="215">
        <v>432869.69</v>
      </c>
      <c r="CT7" s="215">
        <v>60881.03</v>
      </c>
      <c r="CU7" s="215">
        <v>60189.59</v>
      </c>
      <c r="CV7" s="215">
        <v>52383.22</v>
      </c>
      <c r="CW7" s="2"/>
      <c r="CX7" s="2"/>
      <c r="CY7" s="2"/>
      <c r="CZ7" s="226"/>
      <c r="DA7" s="295"/>
      <c r="DB7" s="5" t="s">
        <v>9</v>
      </c>
      <c r="DC7" s="21">
        <v>-279762.15999999992</v>
      </c>
      <c r="DD7" s="21">
        <v>95606.290000000008</v>
      </c>
      <c r="DE7" s="21">
        <v>153442.74</v>
      </c>
      <c r="DF7" s="21">
        <v>225.280000000005</v>
      </c>
      <c r="DG7" s="21">
        <v>99299.199999999997</v>
      </c>
      <c r="DH7" s="21">
        <v>19536.79</v>
      </c>
      <c r="DI7" s="21">
        <v>3441.95</v>
      </c>
      <c r="DJ7" s="21">
        <v>-107676.22</v>
      </c>
      <c r="DK7" s="21">
        <v>405</v>
      </c>
      <c r="DL7" s="21">
        <v>0</v>
      </c>
      <c r="DM7" s="21">
        <v>0</v>
      </c>
      <c r="DN7" s="21">
        <v>73760.72</v>
      </c>
      <c r="DO7" s="21">
        <v>0</v>
      </c>
      <c r="DP7" s="21">
        <v>-96364.57</v>
      </c>
      <c r="DQ7" s="212"/>
      <c r="DR7" s="212"/>
      <c r="DS7" s="212"/>
      <c r="DT7" s="212"/>
      <c r="DU7" s="212"/>
      <c r="DV7" s="212"/>
      <c r="DW7" s="212"/>
      <c r="DX7" s="212"/>
      <c r="DY7" s="212"/>
      <c r="DZ7" s="212"/>
      <c r="EA7" s="212"/>
    </row>
    <row r="8" spans="1:134" s="3" customFormat="1" x14ac:dyDescent="0.25">
      <c r="A8" s="295"/>
      <c r="B8" s="5" t="s">
        <v>10</v>
      </c>
      <c r="C8" s="22">
        <v>0</v>
      </c>
      <c r="D8" s="22">
        <v>0</v>
      </c>
      <c r="E8" s="22">
        <v>0</v>
      </c>
      <c r="F8" s="22">
        <v>0</v>
      </c>
      <c r="G8" s="22">
        <v>0</v>
      </c>
      <c r="H8" s="22">
        <v>0</v>
      </c>
      <c r="I8" s="22">
        <v>0</v>
      </c>
      <c r="J8" s="22">
        <v>0</v>
      </c>
      <c r="K8" s="22">
        <v>0</v>
      </c>
      <c r="L8" s="22">
        <v>0</v>
      </c>
      <c r="M8" s="22">
        <v>0</v>
      </c>
      <c r="N8" s="22">
        <v>0</v>
      </c>
      <c r="O8" s="22">
        <v>0</v>
      </c>
      <c r="P8" s="22">
        <v>0</v>
      </c>
      <c r="Q8" s="22">
        <v>0</v>
      </c>
      <c r="AV8" s="162"/>
      <c r="AW8" s="295"/>
      <c r="AX8" s="5" t="s">
        <v>11</v>
      </c>
      <c r="AY8" s="8">
        <v>7040785.3100000005</v>
      </c>
      <c r="AZ8" s="8">
        <v>69014.090000000011</v>
      </c>
      <c r="BA8" s="8">
        <v>42568.450000000012</v>
      </c>
      <c r="BB8" s="8">
        <v>45227.040000000008</v>
      </c>
      <c r="BC8" s="8">
        <v>1128465.6099999999</v>
      </c>
      <c r="BD8" s="8">
        <v>-1391755.89</v>
      </c>
      <c r="BE8" s="8">
        <v>-12440.11</v>
      </c>
      <c r="BF8" s="8">
        <v>297022.74</v>
      </c>
      <c r="BG8" s="8">
        <v>-102964.32</v>
      </c>
      <c r="BH8" s="8">
        <v>150309.44</v>
      </c>
      <c r="BI8" s="8">
        <v>118491.97999999998</v>
      </c>
      <c r="BJ8" s="8">
        <v>19835.430000000008</v>
      </c>
      <c r="BK8" s="8">
        <v>38513.100000000035</v>
      </c>
      <c r="BL8" s="8">
        <v>-134597.00000000006</v>
      </c>
      <c r="BM8" s="8">
        <v>-103400</v>
      </c>
      <c r="BN8" s="8">
        <v>123582.82999999999</v>
      </c>
      <c r="BO8" s="8">
        <v>-148933.88</v>
      </c>
      <c r="BP8" s="8">
        <v>502612.69000000018</v>
      </c>
      <c r="BQ8" s="8">
        <v>-53433.460000000021</v>
      </c>
      <c r="BR8" s="8">
        <v>-103777.32</v>
      </c>
      <c r="BS8" s="8">
        <v>-125896.65000000001</v>
      </c>
      <c r="BT8" s="8">
        <v>-450844.02999999991</v>
      </c>
      <c r="BU8" s="8">
        <v>-125966.95999999999</v>
      </c>
      <c r="BV8" s="8">
        <v>13442.829999999987</v>
      </c>
      <c r="BW8" s="8">
        <v>-69373.42</v>
      </c>
      <c r="CB8" s="150"/>
      <c r="CC8" s="292"/>
      <c r="CD8" s="16" t="s">
        <v>52</v>
      </c>
      <c r="CE8" s="215">
        <v>39949.280000000013</v>
      </c>
      <c r="CF8" s="215">
        <v>47264.200000000004</v>
      </c>
      <c r="CG8" s="215">
        <v>48344.990000000005</v>
      </c>
      <c r="CH8" s="215">
        <v>5724.8099999999795</v>
      </c>
      <c r="CI8" s="215">
        <v>1700.8699999999994</v>
      </c>
      <c r="CJ8" s="215">
        <v>1627.1099999999992</v>
      </c>
      <c r="CK8" s="215">
        <v>1634.7500000000036</v>
      </c>
      <c r="CL8" s="4"/>
      <c r="CM8" s="4"/>
      <c r="CN8" s="292"/>
      <c r="CO8" s="16" t="s">
        <v>52</v>
      </c>
      <c r="CP8" s="215">
        <v>39949.279999999992</v>
      </c>
      <c r="CQ8" s="215">
        <v>47264.199999999983</v>
      </c>
      <c r="CR8" s="215">
        <v>48344.99000000002</v>
      </c>
      <c r="CS8" s="215">
        <v>5724.8100000000086</v>
      </c>
      <c r="CT8" s="215">
        <v>1700.8699999999967</v>
      </c>
      <c r="CU8" s="215">
        <v>1627.1100000000006</v>
      </c>
      <c r="CV8" s="215">
        <v>1634.7500000000009</v>
      </c>
      <c r="CW8" s="4"/>
      <c r="CX8" s="4"/>
      <c r="CY8" s="4"/>
      <c r="CZ8" s="226"/>
      <c r="DA8" s="295"/>
      <c r="DB8" s="5" t="s">
        <v>10</v>
      </c>
      <c r="DC8" s="22">
        <v>171081.87</v>
      </c>
      <c r="DD8" s="22">
        <v>221573.25</v>
      </c>
      <c r="DE8" s="22">
        <v>139999.91</v>
      </c>
      <c r="DF8" s="22">
        <v>69598.7</v>
      </c>
      <c r="DG8" s="22">
        <v>79661.600000000006</v>
      </c>
      <c r="DH8" s="22">
        <v>83734.06</v>
      </c>
      <c r="DI8" s="22">
        <v>81721.8</v>
      </c>
      <c r="DJ8" s="22">
        <v>93432.28</v>
      </c>
      <c r="DK8" s="22">
        <v>87748.09</v>
      </c>
      <c r="DL8" s="22">
        <v>92364.89</v>
      </c>
      <c r="DM8" s="22">
        <v>92883.25</v>
      </c>
      <c r="DN8" s="22">
        <v>76286.48</v>
      </c>
      <c r="DO8" s="22">
        <v>85855.96</v>
      </c>
      <c r="DP8" s="22">
        <v>77650.67</v>
      </c>
      <c r="DQ8" s="12"/>
      <c r="DR8" s="12"/>
      <c r="DS8" s="12"/>
      <c r="DT8" s="12"/>
      <c r="DU8" s="12"/>
      <c r="DV8" s="12"/>
      <c r="DW8" s="12"/>
      <c r="DX8" s="12"/>
      <c r="DY8" s="12"/>
      <c r="DZ8" s="12"/>
      <c r="EA8" s="12"/>
    </row>
    <row r="9" spans="1:134" s="3" customFormat="1" x14ac:dyDescent="0.25">
      <c r="A9" s="295"/>
      <c r="B9" s="5" t="s">
        <v>11</v>
      </c>
      <c r="C9" s="8">
        <v>0</v>
      </c>
      <c r="D9" s="8">
        <f t="shared" ref="D9:Q9" si="0">IF(OR(D7="",D8=""),"",D7-D8)</f>
        <v>0</v>
      </c>
      <c r="E9" s="8">
        <f t="shared" si="0"/>
        <v>0</v>
      </c>
      <c r="F9" s="8">
        <f t="shared" si="0"/>
        <v>0</v>
      </c>
      <c r="G9" s="8">
        <f t="shared" si="0"/>
        <v>-189515</v>
      </c>
      <c r="H9" s="8">
        <f>IF(OR(H7="",H8=""),"",H7-H8)</f>
        <v>-1872.22</v>
      </c>
      <c r="I9" s="8">
        <f t="shared" si="0"/>
        <v>0</v>
      </c>
      <c r="J9" s="8">
        <f t="shared" si="0"/>
        <v>0</v>
      </c>
      <c r="K9" s="8">
        <f t="shared" si="0"/>
        <v>0</v>
      </c>
      <c r="L9" s="8">
        <f t="shared" si="0"/>
        <v>-201071.94</v>
      </c>
      <c r="M9" s="8">
        <f t="shared" si="0"/>
        <v>0</v>
      </c>
      <c r="N9" s="8">
        <f t="shared" si="0"/>
        <v>0</v>
      </c>
      <c r="O9" s="8">
        <f t="shared" si="0"/>
        <v>0</v>
      </c>
      <c r="P9" s="8">
        <f t="shared" si="0"/>
        <v>0</v>
      </c>
      <c r="Q9" s="8">
        <f t="shared" si="0"/>
        <v>392459.16000000003</v>
      </c>
      <c r="AV9" s="162"/>
      <c r="AW9" s="295"/>
      <c r="AX9" s="5" t="s">
        <v>4</v>
      </c>
      <c r="AY9" s="23">
        <v>2.7878150000000001E-2</v>
      </c>
      <c r="AZ9" s="23">
        <v>2.6622739999999999E-2</v>
      </c>
      <c r="BA9" s="23">
        <v>2.677361E-2</v>
      </c>
      <c r="BB9" s="23">
        <v>2.6500570000000001E-2</v>
      </c>
      <c r="BC9" s="23">
        <v>2.594869E-2</v>
      </c>
      <c r="BD9" s="23">
        <v>2.3511899999999999E-2</v>
      </c>
      <c r="BE9" s="23">
        <v>2.21687E-2</v>
      </c>
      <c r="BF9" s="23">
        <v>2.113932E-2</v>
      </c>
      <c r="BG9" s="23">
        <v>1.8159890000000001E-2</v>
      </c>
      <c r="BH9" s="23">
        <v>1.9151990000000001E-2</v>
      </c>
      <c r="BI9" s="23">
        <v>1.8890779999999999E-2</v>
      </c>
      <c r="BJ9" s="23">
        <v>1.8035829999999999E-2</v>
      </c>
      <c r="BK9" s="23">
        <v>1.888592E-2</v>
      </c>
      <c r="BL9" s="23">
        <v>9.3845999999999999E-3</v>
      </c>
      <c r="BM9" s="23">
        <v>1.2906700000000001E-3</v>
      </c>
      <c r="BN9" s="23">
        <v>1.2563100000000001E-3</v>
      </c>
      <c r="BO9" s="23">
        <v>1.9366299999999999E-3</v>
      </c>
      <c r="BP9" s="23">
        <v>1.3658500000000001E-3</v>
      </c>
      <c r="BQ9" s="23">
        <v>1.23916E-3</v>
      </c>
      <c r="BR9" s="23">
        <v>2E-3</v>
      </c>
      <c r="BS9" s="23">
        <v>2.5244400000000002E-3</v>
      </c>
      <c r="BT9" s="23">
        <v>2.8469900000000002E-3</v>
      </c>
      <c r="BU9" s="23">
        <v>2.0613900000000002E-3</v>
      </c>
      <c r="BV9" s="23">
        <v>2.3221700000000001E-3</v>
      </c>
      <c r="BW9" s="23">
        <v>2.1367399999999998E-3</v>
      </c>
      <c r="CB9" s="150"/>
      <c r="CC9" s="292"/>
      <c r="CD9" s="16" t="s">
        <v>13</v>
      </c>
      <c r="CE9" s="215">
        <v>-19323.200000000405</v>
      </c>
      <c r="CF9" s="215">
        <v>-22488.900000001122</v>
      </c>
      <c r="CG9" s="215">
        <v>-22514.96999999859</v>
      </c>
      <c r="CH9" s="215">
        <v>15499.079999997357</v>
      </c>
      <c r="CI9" s="215">
        <v>-1700.8699999999994</v>
      </c>
      <c r="CJ9" s="215">
        <v>-1627.1099999999992</v>
      </c>
      <c r="CK9" s="215">
        <v>-1634.7500000000036</v>
      </c>
      <c r="CL9" s="4"/>
      <c r="CM9" s="4"/>
      <c r="CN9" s="292"/>
      <c r="CO9" s="16" t="s">
        <v>13</v>
      </c>
      <c r="CP9" s="215">
        <v>-19323.200000000383</v>
      </c>
      <c r="CQ9" s="215">
        <v>-22488.900000001093</v>
      </c>
      <c r="CR9" s="215">
        <v>-22514.969999998611</v>
      </c>
      <c r="CS9" s="215">
        <v>15499.079999997328</v>
      </c>
      <c r="CT9" s="215">
        <v>-1700.8699999999967</v>
      </c>
      <c r="CU9" s="215">
        <v>-1627.1100000000006</v>
      </c>
      <c r="CV9" s="215">
        <v>-1634.7500000000009</v>
      </c>
      <c r="CW9" s="4"/>
      <c r="CX9" s="4"/>
      <c r="CY9" s="4"/>
      <c r="CZ9" s="226"/>
      <c r="DA9" s="295"/>
      <c r="DB9" s="5" t="s">
        <v>11</v>
      </c>
      <c r="DC9" s="8">
        <v>-450844.02999999991</v>
      </c>
      <c r="DD9" s="8">
        <v>-125966.95999999999</v>
      </c>
      <c r="DE9" s="8">
        <v>13442.829999999987</v>
      </c>
      <c r="DF9" s="8">
        <v>-69373.42</v>
      </c>
      <c r="DG9" s="8">
        <v>19637.599999999991</v>
      </c>
      <c r="DH9" s="8">
        <v>-64197.27</v>
      </c>
      <c r="DI9" s="8">
        <v>-78279.850000000006</v>
      </c>
      <c r="DJ9" s="8">
        <v>-201108.5</v>
      </c>
      <c r="DK9" s="8">
        <v>-87343.09</v>
      </c>
      <c r="DL9" s="8">
        <v>-92364.89</v>
      </c>
      <c r="DM9" s="8">
        <v>-92883.25</v>
      </c>
      <c r="DN9" s="8">
        <v>-2525.7599999999948</v>
      </c>
      <c r="DO9" s="8">
        <v>-85855.96</v>
      </c>
      <c r="DP9" s="8">
        <v>-174015.24</v>
      </c>
      <c r="DQ9" s="12" t="s">
        <v>129</v>
      </c>
      <c r="DR9" s="12" t="s">
        <v>129</v>
      </c>
      <c r="DS9" s="12" t="s">
        <v>129</v>
      </c>
      <c r="DT9" s="12" t="s">
        <v>129</v>
      </c>
      <c r="DU9" s="12" t="s">
        <v>129</v>
      </c>
      <c r="DV9" s="12" t="s">
        <v>129</v>
      </c>
      <c r="DW9" s="12" t="s">
        <v>129</v>
      </c>
      <c r="DX9" s="12" t="s">
        <v>129</v>
      </c>
      <c r="DY9" s="12" t="s">
        <v>129</v>
      </c>
      <c r="DZ9" s="12" t="s">
        <v>129</v>
      </c>
      <c r="EA9" s="12" t="s">
        <v>129</v>
      </c>
    </row>
    <row r="10" spans="1:134" s="3" customFormat="1" x14ac:dyDescent="0.25">
      <c r="A10" s="295"/>
      <c r="B10" s="5" t="s">
        <v>4</v>
      </c>
      <c r="C10" s="23">
        <v>7.5545970550536697E-3</v>
      </c>
      <c r="D10" s="23">
        <v>7.6017000000000003E-3</v>
      </c>
      <c r="E10" s="23">
        <v>7.6414500000000002E-3</v>
      </c>
      <c r="F10" s="23">
        <v>9.6220400000000001E-3</v>
      </c>
      <c r="G10" s="23">
        <v>8.9999999999999993E-3</v>
      </c>
      <c r="H10" s="23">
        <v>8.9999999999999993E-3</v>
      </c>
      <c r="I10" s="23">
        <v>1.15E-2</v>
      </c>
      <c r="J10" s="23">
        <v>1.15E-2</v>
      </c>
      <c r="K10" s="23">
        <v>1.15E-2</v>
      </c>
      <c r="L10" s="23">
        <v>1.41E-2</v>
      </c>
      <c r="M10" s="23">
        <v>1.39185E-2</v>
      </c>
      <c r="N10" s="23">
        <v>1.466976E-2</v>
      </c>
      <c r="O10" s="23">
        <v>1.4482760000000001E-2</v>
      </c>
      <c r="P10" s="23">
        <v>1.45083E-2</v>
      </c>
      <c r="Q10" s="23">
        <v>1.4428689E-2</v>
      </c>
      <c r="AV10" s="162"/>
      <c r="AW10" s="295"/>
      <c r="AX10" s="5" t="s">
        <v>5</v>
      </c>
      <c r="AY10" s="8">
        <v>975.68603367557773</v>
      </c>
      <c r="AZ10" s="8">
        <v>1087.0255341540258</v>
      </c>
      <c r="BA10" s="8">
        <v>1190.5868872923527</v>
      </c>
      <c r="BB10" s="8">
        <v>1280.9529585755447</v>
      </c>
      <c r="BC10" s="8">
        <v>3697.2304528205282</v>
      </c>
      <c r="BD10" s="8">
        <v>630.3728425712826</v>
      </c>
      <c r="BE10" s="8">
        <v>572.54336634096649</v>
      </c>
      <c r="BF10" s="8">
        <v>1070.2047513646482</v>
      </c>
      <c r="BG10" s="8">
        <v>765.16852073249026</v>
      </c>
      <c r="BH10" s="8">
        <v>1048.0856885197029</v>
      </c>
      <c r="BI10" s="8">
        <v>1221.9748230956698</v>
      </c>
      <c r="BJ10" s="8">
        <v>1198.3202447699666</v>
      </c>
      <c r="BK10" s="8">
        <v>1317.3000450301145</v>
      </c>
      <c r="BL10" s="8">
        <v>550.34800114798418</v>
      </c>
      <c r="BM10" s="8">
        <v>64.627630203054068</v>
      </c>
      <c r="BN10" s="8">
        <v>75.852085742545498</v>
      </c>
      <c r="BO10" s="8">
        <v>92.90411199252452</v>
      </c>
      <c r="BP10" s="8">
        <v>122.74099470059521</v>
      </c>
      <c r="BQ10" s="8">
        <v>105.85105877697275</v>
      </c>
      <c r="BR10" s="8">
        <v>153.56466852148051</v>
      </c>
      <c r="BS10" s="8">
        <v>167.37982304000002</v>
      </c>
      <c r="BT10" s="8">
        <v>81.843435917387481</v>
      </c>
      <c r="BU10" s="8">
        <v>37.634652770599523</v>
      </c>
      <c r="BV10" s="8">
        <v>45.004355839053062</v>
      </c>
      <c r="BW10" s="8">
        <v>29.065933206728971</v>
      </c>
      <c r="BX10" s="103" t="s">
        <v>90</v>
      </c>
      <c r="BY10" s="103" t="s">
        <v>89</v>
      </c>
      <c r="CB10" s="150"/>
      <c r="CC10" s="292"/>
      <c r="CD10" s="17" t="s">
        <v>8</v>
      </c>
      <c r="CE10" s="215">
        <v>-256.98413884328068</v>
      </c>
      <c r="CF10" s="215">
        <v>-314.16559918609727</v>
      </c>
      <c r="CG10" s="215">
        <v>-150.60802193166325</v>
      </c>
      <c r="CH10" s="215">
        <v>-79.545964253529533</v>
      </c>
      <c r="CI10" s="215">
        <v>-151.16564332316423</v>
      </c>
      <c r="CJ10" s="215">
        <v>-102.6392662555599</v>
      </c>
      <c r="CK10" s="215">
        <v>-122.26697962723581</v>
      </c>
      <c r="CL10" s="4"/>
      <c r="CM10" s="4"/>
      <c r="CN10" s="292"/>
      <c r="CO10" s="17" t="s">
        <v>8</v>
      </c>
      <c r="CP10" s="215">
        <v>-256.98413884328073</v>
      </c>
      <c r="CQ10" s="215">
        <v>-314.16559918609727</v>
      </c>
      <c r="CR10" s="215">
        <v>-150.60802193166325</v>
      </c>
      <c r="CS10" s="215">
        <v>-79.545964253529519</v>
      </c>
      <c r="CT10" s="215">
        <v>-151.16564332316423</v>
      </c>
      <c r="CU10" s="215">
        <v>-102.63926625555987</v>
      </c>
      <c r="CV10" s="215">
        <v>-122.26697962723584</v>
      </c>
      <c r="CW10" s="4"/>
      <c r="CX10" s="4"/>
      <c r="CY10" s="4"/>
      <c r="CZ10" s="226"/>
      <c r="DA10" s="295"/>
      <c r="DB10" s="5" t="s">
        <v>4</v>
      </c>
      <c r="DC10" s="221">
        <v>2E-3</v>
      </c>
      <c r="DD10" s="23">
        <v>2.0613900000000002E-3</v>
      </c>
      <c r="DE10" s="23">
        <v>2.3221700000000001E-3</v>
      </c>
      <c r="DF10" s="23">
        <v>2.1367399999999998E-3</v>
      </c>
      <c r="DG10" s="23">
        <v>2.2512299999999999E-3</v>
      </c>
      <c r="DH10" s="23">
        <v>2.2427200000000001E-3</v>
      </c>
      <c r="DI10" s="23">
        <v>2.01659E-3</v>
      </c>
      <c r="DJ10" s="23">
        <v>1.3954900000000001E-3</v>
      </c>
      <c r="DK10" s="23">
        <v>2.0509899999999999E-3</v>
      </c>
      <c r="DL10" s="23">
        <v>1.9323299999999999E-3</v>
      </c>
      <c r="DM10" s="23">
        <v>1.5E-3</v>
      </c>
      <c r="DN10" s="23">
        <v>1.5320900000000001E-3</v>
      </c>
      <c r="DO10" s="23">
        <v>2.6046400000000001E-3</v>
      </c>
      <c r="DP10" s="23">
        <v>2.3444999999999998E-3</v>
      </c>
      <c r="DQ10" s="23">
        <v>2.9584899999999998E-3</v>
      </c>
      <c r="DR10" s="23">
        <v>6.8829599999999996E-3</v>
      </c>
      <c r="DS10" s="23">
        <v>6.0041599999999997E-3</v>
      </c>
      <c r="DT10" s="23">
        <v>9.4970499999999999E-3</v>
      </c>
      <c r="DU10" s="23">
        <v>1.4858659999999999E-2</v>
      </c>
      <c r="DV10" s="23">
        <v>2.0566899999999999E-2</v>
      </c>
      <c r="DW10" s="23">
        <v>2.564054E-2</v>
      </c>
      <c r="DX10" s="23">
        <v>2.8416960000000002E-2</v>
      </c>
      <c r="DY10" s="23">
        <v>3.4701200000000001E-2</v>
      </c>
      <c r="DZ10" s="23">
        <v>4.286098E-2</v>
      </c>
      <c r="EA10" s="23">
        <v>4.617603E-2</v>
      </c>
    </row>
    <row r="11" spans="1:134" s="3" customFormat="1" x14ac:dyDescent="0.25">
      <c r="A11" s="295"/>
      <c r="B11" s="5" t="s">
        <v>5</v>
      </c>
      <c r="C11" s="8">
        <v>0</v>
      </c>
      <c r="D11" s="8">
        <f>IF(OR(D10="",D9="",C14=""),"",((C14+D9)*D10)/12)</f>
        <v>0</v>
      </c>
      <c r="E11" s="8">
        <f t="shared" ref="E11:Q11" si="1">IF(OR(E10="",E9="",D14=""),"",((D14+E9)*E10)/12)</f>
        <v>0</v>
      </c>
      <c r="F11" s="8">
        <f>IF(OR(F10="",F9="",E14=""),"",((E14+F9)*F10)/12)</f>
        <v>0</v>
      </c>
      <c r="G11" s="8">
        <f>IF(OR(G10="",G9="",F14=""),"",((F14+G9)*G10)/12)</f>
        <v>-142.13624999999999</v>
      </c>
      <c r="H11" s="8">
        <f>IF(OR(H10="",H9="",G14=""),"",((G14+H6+H9)*H10)/12)</f>
        <v>-143.64701718749998</v>
      </c>
      <c r="I11" s="8">
        <f t="shared" si="1"/>
        <v>-183.6866281310547</v>
      </c>
      <c r="J11" s="8">
        <f t="shared" si="1"/>
        <v>-183.86266114968029</v>
      </c>
      <c r="K11" s="8">
        <f t="shared" si="1"/>
        <v>-184.0388628666154</v>
      </c>
      <c r="L11" s="8">
        <f t="shared" si="1"/>
        <v>-462.12342441771835</v>
      </c>
      <c r="M11" s="8">
        <f t="shared" si="1"/>
        <v>-456.7108197868975</v>
      </c>
      <c r="N11" s="8">
        <f t="shared" si="1"/>
        <v>-481.9204002163637</v>
      </c>
      <c r="O11" s="8">
        <f t="shared" si="1"/>
        <v>-476.35883889272668</v>
      </c>
      <c r="P11" s="8">
        <f t="shared" si="1"/>
        <v>-477.7748160284246</v>
      </c>
      <c r="Q11" s="8">
        <f t="shared" si="1"/>
        <v>-3.838343557334722</v>
      </c>
      <c r="AV11" s="162"/>
      <c r="AW11" s="295"/>
      <c r="AX11" s="6" t="s">
        <v>6</v>
      </c>
      <c r="AY11" s="8">
        <v>-275582.55886894098</v>
      </c>
      <c r="AZ11" s="8">
        <v>-274495.53333478695</v>
      </c>
      <c r="BA11" s="8">
        <v>-273304.94644749461</v>
      </c>
      <c r="BB11" s="8">
        <v>-272023.99348891905</v>
      </c>
      <c r="BC11" s="8">
        <v>-268326.76303609851</v>
      </c>
      <c r="BD11" s="8">
        <v>-267696.39019352722</v>
      </c>
      <c r="BE11" s="8">
        <v>-267123.84682718624</v>
      </c>
      <c r="BF11" s="8">
        <v>-266053.64207582158</v>
      </c>
      <c r="BG11" s="8">
        <v>-265288.47355508909</v>
      </c>
      <c r="BH11" s="8">
        <v>-264240.38786656939</v>
      </c>
      <c r="BI11" s="8">
        <v>-263018.41304347373</v>
      </c>
      <c r="BJ11" s="8">
        <v>-261820.09279870376</v>
      </c>
      <c r="BK11" s="8">
        <v>-260502.79275367365</v>
      </c>
      <c r="BL11" s="8">
        <v>-259952.44475252565</v>
      </c>
      <c r="BM11" s="8">
        <v>-259887.81712232259</v>
      </c>
      <c r="BN11" s="8">
        <v>-259811.96503658005</v>
      </c>
      <c r="BO11" s="8">
        <v>-259719.06092458751</v>
      </c>
      <c r="BP11" s="8">
        <v>-259596.3199298869</v>
      </c>
      <c r="BQ11" s="8">
        <v>-259490.46887110992</v>
      </c>
      <c r="BR11" s="8">
        <v>-259336.90420258843</v>
      </c>
      <c r="BS11" s="8">
        <v>-259169.52437954841</v>
      </c>
      <c r="BT11" s="8">
        <v>-259087.68094363101</v>
      </c>
      <c r="BU11" s="8">
        <v>-259050.04629086042</v>
      </c>
      <c r="BV11" s="8">
        <v>-259005.04193502138</v>
      </c>
      <c r="BW11" s="8">
        <v>-258975.97600181465</v>
      </c>
      <c r="BX11" s="166">
        <f>'MEEIA 2 calcs'!BL11</f>
        <v>-258938.43989187756</v>
      </c>
      <c r="BY11" s="167">
        <f>BV11-BX11</f>
        <v>-66.602043143822812</v>
      </c>
      <c r="CB11" s="150"/>
      <c r="CC11" s="292"/>
      <c r="CD11" s="17" t="s">
        <v>27</v>
      </c>
      <c r="CE11" s="215">
        <v>-35718.313144887157</v>
      </c>
      <c r="CF11" s="215">
        <v>-36032.478744073254</v>
      </c>
      <c r="CG11" s="215">
        <v>-36183.086766004919</v>
      </c>
      <c r="CH11" s="215">
        <v>-36262.632730258447</v>
      </c>
      <c r="CI11" s="215">
        <v>-36413.798373581609</v>
      </c>
      <c r="CJ11" s="215">
        <v>-36516.437639837168</v>
      </c>
      <c r="CK11" s="215">
        <v>-36638.704619464406</v>
      </c>
      <c r="CL11" s="4"/>
      <c r="CM11" s="4"/>
      <c r="CN11" s="292"/>
      <c r="CO11" s="17" t="s">
        <v>27</v>
      </c>
      <c r="CP11" s="215">
        <v>-35718.313144887157</v>
      </c>
      <c r="CQ11" s="215">
        <v>-36032.478744073254</v>
      </c>
      <c r="CR11" s="215">
        <v>-36183.086766004919</v>
      </c>
      <c r="CS11" s="215">
        <v>-36262.632730258447</v>
      </c>
      <c r="CT11" s="215">
        <v>-36413.798373581609</v>
      </c>
      <c r="CU11" s="215">
        <v>-36516.437639837168</v>
      </c>
      <c r="CV11" s="215">
        <v>-36638.704619464406</v>
      </c>
      <c r="CW11" s="4"/>
      <c r="CX11" s="4"/>
      <c r="CY11" s="4"/>
      <c r="CZ11" s="226"/>
      <c r="DA11" s="295"/>
      <c r="DB11" s="5" t="s">
        <v>5</v>
      </c>
      <c r="DC11" s="8">
        <v>58.051140936965787</v>
      </c>
      <c r="DD11" s="8">
        <v>38.204073571943958</v>
      </c>
      <c r="DE11" s="8">
        <v>45.64592247557826</v>
      </c>
      <c r="DF11" s="8">
        <v>-37.540489069865004</v>
      </c>
      <c r="DG11" s="8">
        <v>34.308234221388759</v>
      </c>
      <c r="DH11" s="8">
        <v>22.1869139520219</v>
      </c>
      <c r="DI11" s="8">
        <v>6.7987065568995568</v>
      </c>
      <c r="DJ11" s="8">
        <v>-18.681546720903437</v>
      </c>
      <c r="DK11" s="8">
        <v>-42.388292555739831</v>
      </c>
      <c r="DL11" s="8">
        <v>-54.816031441830397</v>
      </c>
      <c r="DM11" s="8">
        <v>-54.16902071828445</v>
      </c>
      <c r="DN11" s="8">
        <v>-55.657266922630306</v>
      </c>
      <c r="DO11" s="8">
        <v>-113.26791717600172</v>
      </c>
      <c r="DP11" s="8">
        <v>-135.97557247294469</v>
      </c>
      <c r="DQ11" s="12" t="s">
        <v>129</v>
      </c>
      <c r="DR11" s="12" t="s">
        <v>129</v>
      </c>
      <c r="DS11" s="12" t="s">
        <v>129</v>
      </c>
      <c r="DT11" s="12" t="s">
        <v>129</v>
      </c>
      <c r="DU11" s="12" t="s">
        <v>129</v>
      </c>
      <c r="DV11" s="12" t="s">
        <v>129</v>
      </c>
      <c r="DW11" s="12" t="s">
        <v>129</v>
      </c>
      <c r="DX11" s="12" t="s">
        <v>129</v>
      </c>
      <c r="DY11" s="12" t="s">
        <v>129</v>
      </c>
      <c r="DZ11" s="12" t="s">
        <v>129</v>
      </c>
      <c r="EA11" s="12" t="s">
        <v>129</v>
      </c>
    </row>
    <row r="12" spans="1:134" s="3" customFormat="1" x14ac:dyDescent="0.25">
      <c r="A12" s="295"/>
      <c r="B12" s="6" t="s">
        <v>6</v>
      </c>
      <c r="C12" s="8">
        <v>0</v>
      </c>
      <c r="D12" s="8">
        <f t="shared" ref="D12:Q12" si="2">IF(OR(C12="",D11=""),"",C12+D11)</f>
        <v>0</v>
      </c>
      <c r="E12" s="8">
        <f t="shared" si="2"/>
        <v>0</v>
      </c>
      <c r="F12" s="8">
        <f t="shared" si="2"/>
        <v>0</v>
      </c>
      <c r="G12" s="8">
        <f t="shared" si="2"/>
        <v>-142.13624999999999</v>
      </c>
      <c r="H12" s="8">
        <f>IF(OR(G12="",H11=""),"",G12+H11)</f>
        <v>-285.78326718749997</v>
      </c>
      <c r="I12" s="8">
        <f t="shared" si="2"/>
        <v>-469.46989531855468</v>
      </c>
      <c r="J12" s="8">
        <f t="shared" si="2"/>
        <v>-653.332556468235</v>
      </c>
      <c r="K12" s="8">
        <f t="shared" si="2"/>
        <v>-837.37141933485043</v>
      </c>
      <c r="L12" s="8">
        <f t="shared" si="2"/>
        <v>-1299.4948437525688</v>
      </c>
      <c r="M12" s="8">
        <f t="shared" si="2"/>
        <v>-1756.2056635394663</v>
      </c>
      <c r="N12" s="8">
        <f t="shared" si="2"/>
        <v>-2238.1260637558298</v>
      </c>
      <c r="O12" s="8">
        <f t="shared" si="2"/>
        <v>-2714.4849026485563</v>
      </c>
      <c r="P12" s="8">
        <f>IF(OR(O12="",P11=""),"",O12+P11)</f>
        <v>-3192.2597186769808</v>
      </c>
      <c r="Q12" s="8">
        <f t="shared" si="2"/>
        <v>-3196.0980622343154</v>
      </c>
      <c r="AV12" s="162"/>
      <c r="AW12" s="295"/>
      <c r="AX12" s="5" t="s">
        <v>12</v>
      </c>
      <c r="AY12" s="8">
        <v>7041760.996033676</v>
      </c>
      <c r="AZ12" s="8">
        <v>70101.115534154043</v>
      </c>
      <c r="BA12" s="8">
        <v>43759.036887292365</v>
      </c>
      <c r="BB12" s="8">
        <v>46507.992958575553</v>
      </c>
      <c r="BC12" s="8">
        <v>1132162.8404528203</v>
      </c>
      <c r="BD12" s="8">
        <v>-1391125.5171574287</v>
      </c>
      <c r="BE12" s="8">
        <v>-11867.566633659035</v>
      </c>
      <c r="BF12" s="8">
        <v>298092.94475136464</v>
      </c>
      <c r="BG12" s="8">
        <v>-102199.15147926752</v>
      </c>
      <c r="BH12" s="8">
        <v>151357.5256885197</v>
      </c>
      <c r="BI12" s="8">
        <v>119713.95482309566</v>
      </c>
      <c r="BJ12" s="8">
        <v>21033.750244769974</v>
      </c>
      <c r="BK12" s="8">
        <v>39830.400045030146</v>
      </c>
      <c r="BL12" s="8">
        <v>-134046.65199885209</v>
      </c>
      <c r="BM12" s="8">
        <v>-103335.37236979694</v>
      </c>
      <c r="BN12" s="8">
        <v>123658.68208574253</v>
      </c>
      <c r="BO12" s="8">
        <v>-148840.97588800747</v>
      </c>
      <c r="BP12" s="8">
        <v>502735.43099470076</v>
      </c>
      <c r="BQ12" s="8">
        <v>-53327.60894122305</v>
      </c>
      <c r="BR12" s="8">
        <v>-103623.75533147853</v>
      </c>
      <c r="BS12" s="8">
        <v>-125729.27017696001</v>
      </c>
      <c r="BT12" s="8">
        <v>-450762.18656408251</v>
      </c>
      <c r="BU12" s="8">
        <v>-125929.32534722939</v>
      </c>
      <c r="BV12" s="8">
        <v>13487.834355839041</v>
      </c>
      <c r="BW12" s="8">
        <v>-69344.354066793268</v>
      </c>
      <c r="CB12" s="150"/>
      <c r="CC12" s="292"/>
      <c r="CD12" s="16" t="s">
        <v>14</v>
      </c>
      <c r="CE12" s="215">
        <v>-19580.184138843688</v>
      </c>
      <c r="CF12" s="215">
        <v>-22803.065599187223</v>
      </c>
      <c r="CG12" s="215">
        <v>-22665.578021930254</v>
      </c>
      <c r="CH12" s="215">
        <v>15419.534035743827</v>
      </c>
      <c r="CI12" s="215">
        <v>-1852.0356433231636</v>
      </c>
      <c r="CJ12" s="215">
        <v>-1729.7492662555592</v>
      </c>
      <c r="CK12" s="215">
        <v>-1757.0169796272394</v>
      </c>
      <c r="CL12" s="4"/>
      <c r="CM12" s="4"/>
      <c r="CN12" s="292"/>
      <c r="CO12" s="16" t="s">
        <v>14</v>
      </c>
      <c r="CP12" s="215">
        <v>-19580.184138843662</v>
      </c>
      <c r="CQ12" s="215">
        <v>-22803.065599187194</v>
      </c>
      <c r="CR12" s="215">
        <v>-22665.578021930276</v>
      </c>
      <c r="CS12" s="215">
        <v>15419.5340357438</v>
      </c>
      <c r="CT12" s="215">
        <v>-1852.0356433231609</v>
      </c>
      <c r="CU12" s="215">
        <v>-1729.7492662555605</v>
      </c>
      <c r="CV12" s="215">
        <v>-1757.0169796272367</v>
      </c>
      <c r="CW12" s="4"/>
      <c r="CX12" s="4"/>
      <c r="CY12" s="4"/>
      <c r="CZ12" s="226"/>
      <c r="DA12" s="295"/>
      <c r="DB12" s="6" t="s">
        <v>6</v>
      </c>
      <c r="DC12" s="8">
        <v>-259046.88323726106</v>
      </c>
      <c r="DD12" s="8">
        <v>-259008.67916368911</v>
      </c>
      <c r="DE12" s="8">
        <v>-258963.03324121353</v>
      </c>
      <c r="DF12" s="8">
        <v>-259000.57373028339</v>
      </c>
      <c r="DG12" s="8">
        <v>-258966.265496062</v>
      </c>
      <c r="DH12" s="8">
        <v>-258944.07858210997</v>
      </c>
      <c r="DI12" s="8">
        <v>-258937.27987555307</v>
      </c>
      <c r="DJ12" s="8">
        <v>-258955.96142227398</v>
      </c>
      <c r="DK12" s="8">
        <v>-258998.3497148297</v>
      </c>
      <c r="DL12" s="8">
        <v>-259053.16574627152</v>
      </c>
      <c r="DM12" s="8">
        <v>-259107.33476698981</v>
      </c>
      <c r="DN12" s="8">
        <v>-259162.99203391245</v>
      </c>
      <c r="DO12" s="8">
        <v>-259276.25995108846</v>
      </c>
      <c r="DP12" s="8">
        <v>-259412.23552356139</v>
      </c>
      <c r="DQ12" s="12" t="s">
        <v>129</v>
      </c>
      <c r="DR12" s="12" t="s">
        <v>129</v>
      </c>
      <c r="DS12" s="12" t="s">
        <v>129</v>
      </c>
      <c r="DT12" s="12" t="s">
        <v>129</v>
      </c>
      <c r="DU12" s="12" t="s">
        <v>129</v>
      </c>
      <c r="DV12" s="12" t="s">
        <v>129</v>
      </c>
      <c r="DW12" s="12" t="s">
        <v>129</v>
      </c>
      <c r="DX12" s="12" t="s">
        <v>129</v>
      </c>
      <c r="DY12" s="12" t="s">
        <v>129</v>
      </c>
      <c r="DZ12" s="12" t="s">
        <v>129</v>
      </c>
      <c r="EA12" s="12" t="s">
        <v>129</v>
      </c>
      <c r="EB12" s="166">
        <f>'MEEIA 2 calcs'!BW11</f>
        <v>-259387.5970339248</v>
      </c>
      <c r="EC12" s="166">
        <f>DP12-EB12</f>
        <v>-24.638489636592567</v>
      </c>
      <c r="ED12" s="47" t="s">
        <v>131</v>
      </c>
    </row>
    <row r="13" spans="1:134" s="3" customFormat="1" x14ac:dyDescent="0.25">
      <c r="A13" s="295"/>
      <c r="B13" s="5" t="s">
        <v>12</v>
      </c>
      <c r="C13" s="8">
        <v>0</v>
      </c>
      <c r="D13" s="8">
        <f>IF(OR(D11="",D9=""),"",D9+D11)</f>
        <v>0</v>
      </c>
      <c r="E13" s="8">
        <f t="shared" ref="E13:F13" si="3">IF(OR(E11="",E9=""),"",E9+E11)</f>
        <v>0</v>
      </c>
      <c r="F13" s="8">
        <f t="shared" si="3"/>
        <v>0</v>
      </c>
      <c r="G13" s="8">
        <f>IF(OR(G11="",G9=""),"",G9+G11)</f>
        <v>-189657.13625000001</v>
      </c>
      <c r="H13" s="8">
        <f>IF(OR(H11="",H9=""),"",H9+H11)</f>
        <v>-2015.8670171875001</v>
      </c>
      <c r="I13" s="8">
        <f t="shared" ref="I13:Q13" si="4">IF(OR(I11="",I9=""),"",I9+I11)</f>
        <v>-183.6866281310547</v>
      </c>
      <c r="J13" s="8">
        <f t="shared" si="4"/>
        <v>-183.86266114968029</v>
      </c>
      <c r="K13" s="8">
        <f t="shared" si="4"/>
        <v>-184.0388628666154</v>
      </c>
      <c r="L13" s="8">
        <f t="shared" si="4"/>
        <v>-201534.06342441772</v>
      </c>
      <c r="M13" s="8">
        <f>IF(OR(M11="",M9=""),"",M9+M11)</f>
        <v>-456.7108197868975</v>
      </c>
      <c r="N13" s="8">
        <f t="shared" si="4"/>
        <v>-481.9204002163637</v>
      </c>
      <c r="O13" s="8">
        <f t="shared" si="4"/>
        <v>-476.35883889272668</v>
      </c>
      <c r="P13" s="8">
        <f t="shared" si="4"/>
        <v>-477.7748160284246</v>
      </c>
      <c r="Q13" s="8">
        <f t="shared" si="4"/>
        <v>392455.32165644271</v>
      </c>
      <c r="AV13" s="162"/>
      <c r="AW13" s="295"/>
      <c r="AX13" s="9" t="s">
        <v>3</v>
      </c>
      <c r="AY13" s="8">
        <v>420954.50113105215</v>
      </c>
      <c r="AZ13" s="8">
        <v>491055.61666520621</v>
      </c>
      <c r="BA13" s="8">
        <v>534814.65355249855</v>
      </c>
      <c r="BB13" s="8">
        <v>581322.64651107416</v>
      </c>
      <c r="BC13" s="8">
        <v>1713485.4869638945</v>
      </c>
      <c r="BD13" s="8">
        <v>322359.96980646579</v>
      </c>
      <c r="BE13" s="8">
        <v>310492.40317280678</v>
      </c>
      <c r="BF13" s="8">
        <v>608585.34792417148</v>
      </c>
      <c r="BG13" s="8">
        <v>506386.19644490397</v>
      </c>
      <c r="BH13" s="8">
        <v>657743.72213342367</v>
      </c>
      <c r="BI13" s="8">
        <v>777457.67695651937</v>
      </c>
      <c r="BJ13" s="8">
        <v>798491.42720128933</v>
      </c>
      <c r="BK13" s="8">
        <v>838321.8272463195</v>
      </c>
      <c r="BL13" s="8">
        <v>704275.17524746736</v>
      </c>
      <c r="BM13" s="8">
        <v>600939.80287767039</v>
      </c>
      <c r="BN13" s="8">
        <v>724598.48496341286</v>
      </c>
      <c r="BO13" s="8">
        <v>575757.50907540543</v>
      </c>
      <c r="BP13" s="8">
        <v>1078492.9400701062</v>
      </c>
      <c r="BQ13" s="8">
        <v>1025165.3311288832</v>
      </c>
      <c r="BR13" s="8">
        <v>921541.57579740463</v>
      </c>
      <c r="BS13" s="8">
        <v>795812.30562044459</v>
      </c>
      <c r="BT13" s="8">
        <v>345050.11905636208</v>
      </c>
      <c r="BU13" s="8">
        <v>219120.7937091327</v>
      </c>
      <c r="BV13" s="8">
        <v>232608.62806497174</v>
      </c>
      <c r="BW13" s="8">
        <v>163264.27399817848</v>
      </c>
      <c r="CB13" s="150"/>
      <c r="CC13" s="292"/>
      <c r="CD13" s="18" t="s">
        <v>2</v>
      </c>
      <c r="CE13" s="215">
        <v>-2013069.3294445162</v>
      </c>
      <c r="CF13" s="215">
        <v>-1447726.1650437033</v>
      </c>
      <c r="CG13" s="215">
        <v>-771017.0030656337</v>
      </c>
      <c r="CH13" s="215">
        <v>-322727.77902988991</v>
      </c>
      <c r="CI13" s="215">
        <v>-263698.78467321303</v>
      </c>
      <c r="CJ13" s="215">
        <v>-205238.94393946859</v>
      </c>
      <c r="CK13" s="215">
        <v>-154612.74091909587</v>
      </c>
      <c r="CL13" s="4"/>
      <c r="CM13" s="4"/>
      <c r="CN13" s="292"/>
      <c r="CO13" s="18" t="s">
        <v>2</v>
      </c>
      <c r="CP13" s="215">
        <v>-2013069.3294445162</v>
      </c>
      <c r="CQ13" s="215">
        <v>-1447726.1650437033</v>
      </c>
      <c r="CR13" s="215">
        <v>-771017.00306563359</v>
      </c>
      <c r="CS13" s="215">
        <v>-322727.77902988985</v>
      </c>
      <c r="CT13" s="215">
        <v>-263698.78467321297</v>
      </c>
      <c r="CU13" s="215">
        <v>-205238.94393946859</v>
      </c>
      <c r="CV13" s="215">
        <v>-154612.74091909581</v>
      </c>
      <c r="CW13" s="4"/>
      <c r="CX13" s="4"/>
      <c r="CY13" s="4"/>
      <c r="CZ13" s="226"/>
      <c r="DA13" s="295"/>
      <c r="DB13" s="5" t="s">
        <v>12</v>
      </c>
      <c r="DC13" s="8">
        <v>-450785.97885906295</v>
      </c>
      <c r="DD13" s="8">
        <v>-125928.75592642804</v>
      </c>
      <c r="DE13" s="8">
        <v>13488.475922475565</v>
      </c>
      <c r="DF13" s="8">
        <v>-72684.94048906659</v>
      </c>
      <c r="DG13" s="8">
        <v>19671.908234221381</v>
      </c>
      <c r="DH13" s="8">
        <v>-64175.083086047976</v>
      </c>
      <c r="DI13" s="8">
        <v>-78273.051293443103</v>
      </c>
      <c r="DJ13" s="8">
        <v>-201127.18154672091</v>
      </c>
      <c r="DK13" s="8">
        <v>-87385.478292555737</v>
      </c>
      <c r="DL13" s="8">
        <v>-92419.706031441834</v>
      </c>
      <c r="DM13" s="8">
        <v>-92937.419020718284</v>
      </c>
      <c r="DN13" s="8">
        <v>-2581.417266922625</v>
      </c>
      <c r="DO13" s="8">
        <v>-85969.227917176002</v>
      </c>
      <c r="DP13" s="8">
        <v>-174151.21557247292</v>
      </c>
      <c r="DQ13" s="12" t="s">
        <v>129</v>
      </c>
      <c r="DR13" s="12" t="s">
        <v>129</v>
      </c>
      <c r="DS13" s="12" t="s">
        <v>129</v>
      </c>
      <c r="DT13" s="12" t="s">
        <v>129</v>
      </c>
      <c r="DU13" s="12" t="s">
        <v>129</v>
      </c>
      <c r="DV13" s="12" t="s">
        <v>129</v>
      </c>
      <c r="DW13" s="12" t="s">
        <v>129</v>
      </c>
      <c r="DX13" s="12" t="s">
        <v>129</v>
      </c>
      <c r="DY13" s="12" t="s">
        <v>129</v>
      </c>
      <c r="DZ13" s="12" t="s">
        <v>129</v>
      </c>
      <c r="EA13" s="12" t="s">
        <v>129</v>
      </c>
    </row>
    <row r="14" spans="1:134" s="3" customFormat="1" x14ac:dyDescent="0.25">
      <c r="A14" s="295"/>
      <c r="B14" s="9" t="s">
        <v>3</v>
      </c>
      <c r="C14" s="8">
        <v>0</v>
      </c>
      <c r="D14" s="8">
        <f>IF(OR(D13="",C14=""),"",D13+C14)</f>
        <v>0</v>
      </c>
      <c r="E14" s="8">
        <f t="shared" ref="E14:Q14" si="5">IF(OR(E13="",D14=""),"",E13+D14)</f>
        <v>0</v>
      </c>
      <c r="F14" s="8">
        <f t="shared" si="5"/>
        <v>0</v>
      </c>
      <c r="G14" s="8">
        <f>IF(OR(G13="",F14=""),"",G13+F14)</f>
        <v>-189657.13625000001</v>
      </c>
      <c r="H14" s="8">
        <f>IF(OR(H13="",G14=""),"",H13+G14+H6)</f>
        <v>-191673.00326718751</v>
      </c>
      <c r="I14" s="8">
        <f t="shared" si="5"/>
        <v>-191856.68989531856</v>
      </c>
      <c r="J14" s="8">
        <f t="shared" si="5"/>
        <v>-192040.55255646823</v>
      </c>
      <c r="K14" s="8">
        <f t="shared" si="5"/>
        <v>-192224.59141933484</v>
      </c>
      <c r="L14" s="8">
        <f t="shared" si="5"/>
        <v>-393758.65484375256</v>
      </c>
      <c r="M14" s="8">
        <f t="shared" si="5"/>
        <v>-394215.36566353944</v>
      </c>
      <c r="N14" s="8">
        <f t="shared" si="5"/>
        <v>-394697.2860637558</v>
      </c>
      <c r="O14" s="8">
        <f t="shared" si="5"/>
        <v>-395173.64490264852</v>
      </c>
      <c r="P14" s="8">
        <f t="shared" si="5"/>
        <v>-395651.41971867695</v>
      </c>
      <c r="Q14" s="8">
        <f t="shared" si="5"/>
        <v>-3196.0980622342322</v>
      </c>
      <c r="AV14" s="162"/>
      <c r="CB14" s="150"/>
      <c r="CC14" s="40"/>
      <c r="CD14" s="11"/>
      <c r="CE14" s="2"/>
      <c r="CF14" s="2"/>
      <c r="CG14" s="2"/>
      <c r="CH14" s="2"/>
      <c r="CI14" s="2"/>
      <c r="CJ14" s="2"/>
      <c r="CK14" s="2"/>
      <c r="CL14" s="4"/>
      <c r="CM14" s="4"/>
      <c r="CN14" s="40"/>
      <c r="CO14" s="11"/>
      <c r="CP14" s="2"/>
      <c r="CQ14" s="2"/>
      <c r="CR14" s="2"/>
      <c r="CS14" s="2"/>
      <c r="CT14" s="2"/>
      <c r="CU14" s="2"/>
      <c r="CV14" s="2"/>
      <c r="CW14" s="4"/>
      <c r="CX14" s="4"/>
      <c r="CY14" s="4"/>
      <c r="CZ14" s="226"/>
      <c r="DA14" s="295"/>
      <c r="DB14" s="9" t="s">
        <v>3</v>
      </c>
      <c r="DC14" s="8">
        <v>348364.89676273166</v>
      </c>
      <c r="DD14" s="8">
        <v>222436.14083630362</v>
      </c>
      <c r="DE14" s="8">
        <v>235924.61675877919</v>
      </c>
      <c r="DF14" s="8">
        <v>163239.6762697126</v>
      </c>
      <c r="DG14" s="8">
        <v>182911.58450393396</v>
      </c>
      <c r="DH14" s="8">
        <v>118736.50141788599</v>
      </c>
      <c r="DI14" s="8">
        <v>40463.450124442883</v>
      </c>
      <c r="DJ14" s="8">
        <v>-160663.73142227804</v>
      </c>
      <c r="DK14" s="8">
        <v>-248049.20971483376</v>
      </c>
      <c r="DL14" s="8">
        <v>-340468.91574627557</v>
      </c>
      <c r="DM14" s="8">
        <v>-433406.33476699388</v>
      </c>
      <c r="DN14" s="8">
        <v>-435987.75203391653</v>
      </c>
      <c r="DO14" s="8">
        <v>-521956.97995109251</v>
      </c>
      <c r="DP14" s="8">
        <v>-696108.1955235654</v>
      </c>
      <c r="DQ14" s="12" t="s">
        <v>129</v>
      </c>
      <c r="DR14" s="12" t="s">
        <v>129</v>
      </c>
      <c r="DS14" s="12" t="s">
        <v>129</v>
      </c>
      <c r="DT14" s="12" t="s">
        <v>129</v>
      </c>
      <c r="DU14" s="12" t="s">
        <v>129</v>
      </c>
      <c r="DV14" s="12" t="s">
        <v>129</v>
      </c>
      <c r="DW14" s="12" t="s">
        <v>129</v>
      </c>
      <c r="DX14" s="12" t="s">
        <v>129</v>
      </c>
      <c r="DY14" s="12" t="s">
        <v>129</v>
      </c>
      <c r="DZ14" s="12" t="s">
        <v>129</v>
      </c>
      <c r="EA14" s="12" t="s">
        <v>129</v>
      </c>
    </row>
    <row r="15" spans="1:134" s="4" customFormat="1" ht="8.25" customHeight="1" x14ac:dyDescent="0.25">
      <c r="A15" s="40"/>
      <c r="B15" s="11"/>
      <c r="C15" s="12"/>
      <c r="D15" s="12"/>
      <c r="E15" s="12"/>
      <c r="F15" s="12"/>
      <c r="G15" s="12"/>
      <c r="H15" s="12"/>
      <c r="I15" s="12"/>
      <c r="J15" s="12"/>
      <c r="K15" s="12"/>
      <c r="L15" s="12"/>
      <c r="M15" s="12"/>
      <c r="N15" s="12"/>
      <c r="O15" s="12"/>
      <c r="P15" s="12"/>
      <c r="Q15" s="12"/>
      <c r="AV15" s="163"/>
      <c r="CB15" s="150"/>
      <c r="CC15" s="292" t="s">
        <v>20</v>
      </c>
      <c r="CD15" s="15"/>
      <c r="CE15" s="2"/>
      <c r="CF15" s="2"/>
      <c r="CG15" s="2"/>
      <c r="CH15" s="2"/>
      <c r="CI15" s="2"/>
      <c r="CJ15" s="2"/>
      <c r="CK15" s="2"/>
      <c r="CN15" s="292" t="s">
        <v>20</v>
      </c>
      <c r="CO15" s="15"/>
      <c r="CP15" s="2"/>
      <c r="CQ15" s="2"/>
      <c r="CR15" s="2"/>
      <c r="CS15" s="2"/>
      <c r="CT15" s="2"/>
      <c r="CU15" s="2"/>
      <c r="CV15" s="2"/>
      <c r="CZ15" s="150"/>
      <c r="DA15" s="40"/>
      <c r="DB15" s="11"/>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row>
    <row r="16" spans="1:134" s="1" customFormat="1" x14ac:dyDescent="0.25">
      <c r="B16"/>
      <c r="C16"/>
      <c r="D16"/>
      <c r="E16"/>
      <c r="F16"/>
      <c r="G16"/>
      <c r="H16"/>
      <c r="I16"/>
      <c r="J16"/>
      <c r="K16"/>
      <c r="L16"/>
      <c r="M16"/>
      <c r="N16"/>
      <c r="O16"/>
      <c r="P16"/>
      <c r="Q16"/>
      <c r="AV16" s="164"/>
      <c r="CB16" s="150"/>
      <c r="CC16" s="292"/>
      <c r="CD16" s="15" t="s">
        <v>28</v>
      </c>
      <c r="CE16" s="216">
        <v>0</v>
      </c>
      <c r="CF16" s="216">
        <v>0</v>
      </c>
      <c r="CG16" s="216">
        <v>0</v>
      </c>
      <c r="CH16" s="216">
        <v>0</v>
      </c>
      <c r="CI16" s="216">
        <v>0</v>
      </c>
      <c r="CJ16" s="216">
        <v>0</v>
      </c>
      <c r="CK16" s="216">
        <v>0</v>
      </c>
      <c r="CL16" s="4"/>
      <c r="CM16" s="4"/>
      <c r="CN16" s="292"/>
      <c r="CO16" s="15" t="s">
        <v>28</v>
      </c>
      <c r="CP16" s="216">
        <v>0</v>
      </c>
      <c r="CQ16" s="216">
        <v>0</v>
      </c>
      <c r="CR16" s="216">
        <v>0</v>
      </c>
      <c r="CS16" s="216">
        <v>0</v>
      </c>
      <c r="CT16" s="216">
        <v>0</v>
      </c>
      <c r="CU16" s="216">
        <v>0</v>
      </c>
      <c r="CV16" s="216">
        <v>0</v>
      </c>
      <c r="CW16" s="4"/>
      <c r="CX16" s="4"/>
      <c r="CY16" s="4"/>
      <c r="CZ16" s="183"/>
      <c r="DA16" s="292" t="s">
        <v>25</v>
      </c>
      <c r="DB16" s="15"/>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row>
    <row r="17" spans="1:131" s="1" customFormat="1" x14ac:dyDescent="0.25">
      <c r="B17"/>
      <c r="C17"/>
      <c r="D17"/>
      <c r="E17"/>
      <c r="F17"/>
      <c r="G17"/>
      <c r="H17"/>
      <c r="I17"/>
      <c r="J17"/>
      <c r="K17"/>
      <c r="L17"/>
      <c r="M17"/>
      <c r="N17"/>
      <c r="O17"/>
      <c r="P17"/>
      <c r="Q17"/>
      <c r="AV17" s="164"/>
      <c r="CB17" s="151"/>
      <c r="CC17" s="292"/>
      <c r="CD17" s="16" t="s">
        <v>26</v>
      </c>
      <c r="CE17" s="216">
        <v>-236659.87723249063</v>
      </c>
      <c r="CF17" s="216">
        <v>-296177.30566513271</v>
      </c>
      <c r="CG17" s="216">
        <v>-381804.14898688439</v>
      </c>
      <c r="CH17" s="216">
        <v>-246708.5763060193</v>
      </c>
      <c r="CI17" s="216">
        <v>-14067.704131906468</v>
      </c>
      <c r="CJ17" s="216">
        <v>-8075.3701007850805</v>
      </c>
      <c r="CK17" s="216">
        <v>-8069.5010685150701</v>
      </c>
      <c r="CL17" s="2"/>
      <c r="CM17" s="2"/>
      <c r="CN17" s="292"/>
      <c r="CO17" s="16" t="s">
        <v>26</v>
      </c>
      <c r="CP17" s="216">
        <v>-237270.92053566518</v>
      </c>
      <c r="CQ17" s="216">
        <v>-297440.02156472043</v>
      </c>
      <c r="CR17" s="216">
        <v>-384027.55955538503</v>
      </c>
      <c r="CS17" s="216">
        <v>-248448.70779312411</v>
      </c>
      <c r="CT17" s="216">
        <v>-14142.518065753948</v>
      </c>
      <c r="CU17" s="216">
        <v>-8108.3955144196925</v>
      </c>
      <c r="CV17" s="216">
        <v>-8073.3360940229468</v>
      </c>
      <c r="CW17" s="2"/>
      <c r="CX17" s="2"/>
      <c r="CY17" s="2"/>
      <c r="CZ17" s="183"/>
      <c r="DA17" s="292"/>
      <c r="DB17" s="15" t="s">
        <v>28</v>
      </c>
      <c r="DC17" s="19">
        <v>17714.029999999329</v>
      </c>
      <c r="DD17" s="19">
        <v>20826.88000000082</v>
      </c>
      <c r="DE17" s="19">
        <v>19099.220000000671</v>
      </c>
      <c r="DF17" s="19">
        <v>21421.460000000894</v>
      </c>
      <c r="DG17" s="19">
        <v>19168.38000000082</v>
      </c>
      <c r="DH17" s="19">
        <v>25465.089999996126</v>
      </c>
      <c r="DI17" s="19">
        <v>70360.550000002608</v>
      </c>
      <c r="DJ17" s="19">
        <v>91202.140000000596</v>
      </c>
      <c r="DK17" s="19">
        <v>84499.239999998827</v>
      </c>
      <c r="DL17" s="19">
        <v>53951.849999999627</v>
      </c>
      <c r="DM17" s="19">
        <v>21911.110000000801</v>
      </c>
      <c r="DN17" s="19">
        <v>20626.079999999609</v>
      </c>
      <c r="DO17" s="19">
        <v>24775.299999998882</v>
      </c>
      <c r="DP17" s="19">
        <v>25830.020000001416</v>
      </c>
      <c r="DQ17" s="19">
        <v>21223.889999997336</v>
      </c>
      <c r="DR17" s="19">
        <v>0</v>
      </c>
      <c r="DS17" s="19">
        <v>0</v>
      </c>
      <c r="DT17" s="19">
        <v>0</v>
      </c>
      <c r="DU17" s="19">
        <v>0</v>
      </c>
      <c r="DV17" s="19">
        <v>0</v>
      </c>
      <c r="DW17" s="19">
        <v>0</v>
      </c>
      <c r="DX17" s="19">
        <v>0</v>
      </c>
      <c r="DY17" s="19">
        <v>0</v>
      </c>
      <c r="DZ17" s="19">
        <v>0</v>
      </c>
      <c r="EA17" s="19">
        <v>0</v>
      </c>
    </row>
    <row r="18" spans="1:131" s="1" customFormat="1" x14ac:dyDescent="0.25">
      <c r="B18"/>
      <c r="C18"/>
      <c r="D18"/>
      <c r="E18"/>
      <c r="F18"/>
      <c r="G18"/>
      <c r="H18"/>
      <c r="I18"/>
      <c r="J18"/>
      <c r="K18"/>
      <c r="L18"/>
      <c r="M18"/>
      <c r="N18"/>
      <c r="O18"/>
      <c r="P18"/>
      <c r="Q18"/>
      <c r="AV18" s="164"/>
      <c r="CB18" s="150"/>
      <c r="CC18" s="292"/>
      <c r="CD18" s="16" t="s">
        <v>51</v>
      </c>
      <c r="CE18" s="216">
        <v>232427.07</v>
      </c>
      <c r="CF18" s="216">
        <v>290836.61</v>
      </c>
      <c r="CG18" s="216">
        <v>375935.37</v>
      </c>
      <c r="CH18" s="216">
        <v>242680.23</v>
      </c>
      <c r="CI18" s="216">
        <v>13830.45</v>
      </c>
      <c r="CJ18" s="216">
        <v>7909.14</v>
      </c>
      <c r="CK18" s="216">
        <v>7927.25</v>
      </c>
      <c r="CL18" s="4"/>
      <c r="CM18" s="4"/>
      <c r="CN18" s="292"/>
      <c r="CO18" s="16" t="s">
        <v>51</v>
      </c>
      <c r="CP18" s="216">
        <v>232427.07</v>
      </c>
      <c r="CQ18" s="216">
        <v>290836.61</v>
      </c>
      <c r="CR18" s="216">
        <v>375935.37</v>
      </c>
      <c r="CS18" s="216">
        <v>242680.23</v>
      </c>
      <c r="CT18" s="216">
        <v>13830.45</v>
      </c>
      <c r="CU18" s="216">
        <v>7909.14</v>
      </c>
      <c r="CV18" s="216">
        <v>7927.25</v>
      </c>
      <c r="CW18" s="4"/>
      <c r="CX18" s="4"/>
      <c r="CY18" s="4"/>
      <c r="CZ18" s="183"/>
      <c r="DA18" s="292"/>
      <c r="DB18" s="16" t="s">
        <v>26</v>
      </c>
      <c r="DC18" s="19">
        <v>686712.57000000007</v>
      </c>
      <c r="DD18" s="19">
        <v>753788.79</v>
      </c>
      <c r="DE18" s="19">
        <v>123252.23000000001</v>
      </c>
      <c r="DF18" s="19">
        <v>-572800.92000000004</v>
      </c>
      <c r="DG18" s="19">
        <v>-433116.61</v>
      </c>
      <c r="DH18" s="19">
        <v>-422296.81</v>
      </c>
      <c r="DI18" s="19">
        <v>-511624.21</v>
      </c>
      <c r="DJ18" s="19">
        <v>-644535.94999999995</v>
      </c>
      <c r="DK18" s="19">
        <v>-648872.89</v>
      </c>
      <c r="DL18" s="19">
        <v>-646588.66999999993</v>
      </c>
      <c r="DM18" s="19">
        <v>-495839.69999999995</v>
      </c>
      <c r="DN18" s="19">
        <v>-452926.68</v>
      </c>
      <c r="DO18" s="19">
        <v>-540882.03</v>
      </c>
      <c r="DP18" s="19">
        <v>-651029.75</v>
      </c>
      <c r="DQ18" s="19">
        <v>-427144.88</v>
      </c>
      <c r="DR18" s="19">
        <v>-59180.159999999996</v>
      </c>
      <c r="DS18" s="19">
        <v>-58562.48</v>
      </c>
      <c r="DT18" s="19">
        <v>-50748.47</v>
      </c>
      <c r="DU18" s="19">
        <v>-58661.299999999996</v>
      </c>
      <c r="DV18" s="19">
        <v>-68462.3</v>
      </c>
      <c r="DW18" s="19">
        <v>-66846.459999999992</v>
      </c>
      <c r="DX18" s="19">
        <v>-62475.11</v>
      </c>
      <c r="DY18" s="19">
        <v>-52251.13</v>
      </c>
      <c r="DZ18" s="19">
        <v>-49844.260000000009</v>
      </c>
      <c r="EA18" s="19">
        <v>-59378.83</v>
      </c>
    </row>
    <row r="19" spans="1:131" s="1" customFormat="1" x14ac:dyDescent="0.25">
      <c r="B19"/>
      <c r="C19"/>
      <c r="D19"/>
      <c r="E19"/>
      <c r="F19"/>
      <c r="G19"/>
      <c r="H19"/>
      <c r="I19"/>
      <c r="J19"/>
      <c r="K19"/>
      <c r="L19"/>
      <c r="M19"/>
      <c r="N19"/>
      <c r="O19"/>
      <c r="P19"/>
      <c r="Q19"/>
      <c r="AV19" s="164"/>
      <c r="CB19" s="150"/>
      <c r="CC19" s="292"/>
      <c r="CD19" s="16" t="s">
        <v>52</v>
      </c>
      <c r="CE19" s="216">
        <v>-4232.8072324906243</v>
      </c>
      <c r="CF19" s="216">
        <v>-5340.69566513272</v>
      </c>
      <c r="CG19" s="216">
        <v>-5868.7789868843975</v>
      </c>
      <c r="CH19" s="216">
        <v>-4028.346306019288</v>
      </c>
      <c r="CI19" s="216">
        <v>-237.25413190646759</v>
      </c>
      <c r="CJ19" s="216">
        <v>-166.23010078508014</v>
      </c>
      <c r="CK19" s="216">
        <v>-142.25106851507007</v>
      </c>
      <c r="CL19" s="4"/>
      <c r="CM19" s="4"/>
      <c r="CN19" s="292"/>
      <c r="CO19" s="16" t="s">
        <v>52</v>
      </c>
      <c r="CP19" s="216">
        <v>-4843.8505356651731</v>
      </c>
      <c r="CQ19" s="216">
        <v>-6603.4115647204453</v>
      </c>
      <c r="CR19" s="216">
        <v>-8092.1895553850336</v>
      </c>
      <c r="CS19" s="216">
        <v>-5768.4777931240969</v>
      </c>
      <c r="CT19" s="216">
        <v>-312.06806575394694</v>
      </c>
      <c r="CU19" s="216">
        <v>-199.25551441969219</v>
      </c>
      <c r="CV19" s="216">
        <v>-146.08609402294678</v>
      </c>
      <c r="CW19" s="4" t="s">
        <v>117</v>
      </c>
      <c r="CX19" s="4" t="s">
        <v>118</v>
      </c>
      <c r="CY19" s="4" t="s">
        <v>119</v>
      </c>
      <c r="CZ19" s="183"/>
      <c r="DA19" s="292"/>
      <c r="DB19" s="16" t="s">
        <v>51</v>
      </c>
      <c r="DC19" s="19">
        <v>12811.640000000014</v>
      </c>
      <c r="DD19" s="19">
        <v>47263.67</v>
      </c>
      <c r="DE19" s="19">
        <v>-200239.46999999997</v>
      </c>
      <c r="DF19" s="19">
        <v>614417.39</v>
      </c>
      <c r="DG19" s="19">
        <v>473151.63</v>
      </c>
      <c r="DH19" s="19">
        <v>463923.9</v>
      </c>
      <c r="DI19" s="19">
        <v>554127.14</v>
      </c>
      <c r="DJ19" s="19">
        <v>697686.94</v>
      </c>
      <c r="DK19" s="19">
        <v>699968.13</v>
      </c>
      <c r="DL19" s="19">
        <v>698521.77</v>
      </c>
      <c r="DM19" s="19">
        <v>541136.61</v>
      </c>
      <c r="DN19" s="19">
        <v>492875.96</v>
      </c>
      <c r="DO19" s="19">
        <v>588146.23</v>
      </c>
      <c r="DP19" s="19">
        <v>699374.74</v>
      </c>
      <c r="DQ19" s="19">
        <v>432869.69</v>
      </c>
      <c r="DR19" s="19">
        <v>60881.03</v>
      </c>
      <c r="DS19" s="19">
        <v>60189.59</v>
      </c>
      <c r="DT19" s="19">
        <v>52383.22</v>
      </c>
      <c r="DU19" s="19">
        <v>60505.380000000005</v>
      </c>
      <c r="DV19" s="19">
        <v>70476.759999999995</v>
      </c>
      <c r="DW19" s="19">
        <v>68833.31</v>
      </c>
      <c r="DX19" s="19">
        <v>64386.179999999993</v>
      </c>
      <c r="DY19" s="19">
        <v>53918.12</v>
      </c>
      <c r="DZ19" s="19">
        <v>51472.34</v>
      </c>
      <c r="EA19" s="19">
        <v>61166.880000000005</v>
      </c>
    </row>
    <row r="20" spans="1:131" s="1" customFormat="1" x14ac:dyDescent="0.25">
      <c r="B20"/>
      <c r="C20"/>
      <c r="D20"/>
      <c r="E20"/>
      <c r="F20"/>
      <c r="G20"/>
      <c r="H20"/>
      <c r="I20"/>
      <c r="J20"/>
      <c r="K20"/>
      <c r="L20"/>
      <c r="M20"/>
      <c r="N20"/>
      <c r="O20"/>
      <c r="P20"/>
      <c r="Q20"/>
      <c r="AV20" s="164"/>
      <c r="CB20" s="150"/>
      <c r="CC20" s="292"/>
      <c r="CD20" s="16" t="s">
        <v>13</v>
      </c>
      <c r="CE20" s="216">
        <v>4232.8072324906243</v>
      </c>
      <c r="CF20" s="216">
        <v>5340.69566513272</v>
      </c>
      <c r="CG20" s="216">
        <v>5868.7789868843975</v>
      </c>
      <c r="CH20" s="216">
        <v>4028.346306019288</v>
      </c>
      <c r="CI20" s="216">
        <v>237.25413190646759</v>
      </c>
      <c r="CJ20" s="216">
        <v>166.23010078508014</v>
      </c>
      <c r="CK20" s="216">
        <v>142.25106851507007</v>
      </c>
      <c r="CL20" s="4"/>
      <c r="CM20" s="4"/>
      <c r="CN20" s="292"/>
      <c r="CO20" s="16" t="s">
        <v>13</v>
      </c>
      <c r="CP20" s="216">
        <v>4843.8505356651731</v>
      </c>
      <c r="CQ20" s="216">
        <v>6603.4115647204453</v>
      </c>
      <c r="CR20" s="216">
        <v>8092.1895553850336</v>
      </c>
      <c r="CS20" s="216">
        <v>5768.4777931240969</v>
      </c>
      <c r="CT20" s="216">
        <v>312.06806575394694</v>
      </c>
      <c r="CU20" s="216">
        <v>199.25551441969219</v>
      </c>
      <c r="CV20" s="216">
        <v>146.08609402294678</v>
      </c>
      <c r="CW20" s="217">
        <f>SUM(CP20:CV20)</f>
        <v>25965.339123091337</v>
      </c>
      <c r="CX20" s="217">
        <f>SUM(CE20:CK20)</f>
        <v>20016.363491733649</v>
      </c>
      <c r="CY20" s="217">
        <f>CW20-CX20</f>
        <v>5948.9756313576872</v>
      </c>
      <c r="CZ20" s="183"/>
      <c r="DA20" s="292"/>
      <c r="DB20" s="16" t="s">
        <v>52</v>
      </c>
      <c r="DC20" s="19">
        <v>699524.21000000008</v>
      </c>
      <c r="DD20" s="19">
        <v>801052.46000000008</v>
      </c>
      <c r="DE20" s="19">
        <v>-76987.240000000005</v>
      </c>
      <c r="DF20" s="19">
        <v>41616.47</v>
      </c>
      <c r="DG20" s="19">
        <v>40035.020000000019</v>
      </c>
      <c r="DH20" s="19">
        <v>41627.089999999997</v>
      </c>
      <c r="DI20" s="19">
        <v>42502.93</v>
      </c>
      <c r="DJ20" s="19">
        <v>53150.990000000034</v>
      </c>
      <c r="DK20" s="19">
        <v>51095.24</v>
      </c>
      <c r="DL20" s="19">
        <v>51933.100000000079</v>
      </c>
      <c r="DM20" s="19">
        <v>45296.909999999989</v>
      </c>
      <c r="DN20" s="19">
        <v>39949.280000000013</v>
      </c>
      <c r="DO20" s="19">
        <v>47264.200000000004</v>
      </c>
      <c r="DP20" s="19">
        <v>48344.990000000005</v>
      </c>
      <c r="DQ20" s="19">
        <v>5724.8099999999795</v>
      </c>
      <c r="DR20" s="19">
        <v>1700.8699999999994</v>
      </c>
      <c r="DS20" s="19">
        <v>1627.1099999999992</v>
      </c>
      <c r="DT20" s="19">
        <v>1634.7500000000036</v>
      </c>
      <c r="DU20" s="19">
        <v>1844.0800000000004</v>
      </c>
      <c r="DV20" s="19">
        <v>2014.4600000000019</v>
      </c>
      <c r="DW20" s="19">
        <v>1986.8500000000031</v>
      </c>
      <c r="DX20" s="19">
        <v>1911.0699999999956</v>
      </c>
      <c r="DY20" s="19">
        <v>1666.990000000003</v>
      </c>
      <c r="DZ20" s="19">
        <v>1628.0799999999977</v>
      </c>
      <c r="EA20" s="19">
        <v>1788.0499999999997</v>
      </c>
    </row>
    <row r="21" spans="1:131" s="1" customFormat="1" x14ac:dyDescent="0.25">
      <c r="B21"/>
      <c r="C21"/>
      <c r="D21"/>
      <c r="E21"/>
      <c r="F21"/>
      <c r="G21"/>
      <c r="H21"/>
      <c r="I21"/>
      <c r="J21"/>
      <c r="K21"/>
      <c r="L21"/>
      <c r="M21"/>
      <c r="N21"/>
      <c r="O21"/>
      <c r="P21"/>
      <c r="Q21"/>
      <c r="AV21" s="164"/>
      <c r="CB21" s="150"/>
      <c r="CC21" s="292"/>
      <c r="CD21" s="17" t="s">
        <v>8</v>
      </c>
      <c r="CE21" s="216">
        <v>-107.40502640789749</v>
      </c>
      <c r="CF21" s="216">
        <v>-118.33168507342872</v>
      </c>
      <c r="CG21" s="216">
        <v>-31.941369690225681</v>
      </c>
      <c r="CH21" s="216">
        <v>20.509519436720471</v>
      </c>
      <c r="CI21" s="216">
        <v>55.79634342978386</v>
      </c>
      <c r="CJ21" s="216">
        <v>52.740800728104723</v>
      </c>
      <c r="CK21" s="216">
        <v>89.850608756352003</v>
      </c>
      <c r="CL21" s="4"/>
      <c r="CM21" s="4"/>
      <c r="CN21" s="292"/>
      <c r="CO21" s="17" t="s">
        <v>8</v>
      </c>
      <c r="CP21" s="216">
        <v>-107.32701196336744</v>
      </c>
      <c r="CQ21" s="216">
        <v>-117.9249624593099</v>
      </c>
      <c r="CR21" s="216">
        <v>-31.140790440662332</v>
      </c>
      <c r="CS21" s="216">
        <v>21.948969436329914</v>
      </c>
      <c r="CT21" s="216">
        <v>59.188977333193556</v>
      </c>
      <c r="CU21" s="216">
        <v>55.718492833910751</v>
      </c>
      <c r="CV21" s="216">
        <v>94.56595005354167</v>
      </c>
      <c r="CW21" s="4"/>
      <c r="CX21" s="4"/>
      <c r="CY21" s="4"/>
      <c r="CZ21" s="183"/>
      <c r="DA21" s="292"/>
      <c r="DB21" s="16" t="s">
        <v>13</v>
      </c>
      <c r="DC21" s="19">
        <v>-681810.18000000075</v>
      </c>
      <c r="DD21" s="19">
        <v>-780225.57999999914</v>
      </c>
      <c r="DE21" s="19">
        <v>96086.460000000676</v>
      </c>
      <c r="DF21" s="19">
        <v>-20195.009999999103</v>
      </c>
      <c r="DG21" s="19">
        <v>-20866.639999999203</v>
      </c>
      <c r="DH21" s="19">
        <v>-16162.000000003867</v>
      </c>
      <c r="DI21" s="19">
        <v>27857.620000002607</v>
      </c>
      <c r="DJ21" s="19">
        <v>38051.150000000562</v>
      </c>
      <c r="DK21" s="19">
        <v>33403.999999998829</v>
      </c>
      <c r="DL21" s="19">
        <v>2018.7499999995471</v>
      </c>
      <c r="DM21" s="19">
        <v>-23385.799999999192</v>
      </c>
      <c r="DN21" s="19">
        <v>-19323.200000000405</v>
      </c>
      <c r="DO21" s="19">
        <v>-22488.900000001122</v>
      </c>
      <c r="DP21" s="19">
        <v>-22514.96999999859</v>
      </c>
      <c r="DQ21" s="19">
        <v>15499.079999997357</v>
      </c>
      <c r="DR21" s="19">
        <v>-1700.8699999999994</v>
      </c>
      <c r="DS21" s="19">
        <v>-1627.1099999999992</v>
      </c>
      <c r="DT21" s="19">
        <v>-1634.7500000000036</v>
      </c>
      <c r="DU21" s="19">
        <v>-1844.0800000000004</v>
      </c>
      <c r="DV21" s="19">
        <v>-2014.4600000000019</v>
      </c>
      <c r="DW21" s="19">
        <v>-1986.8500000000031</v>
      </c>
      <c r="DX21" s="19">
        <v>-1911.0699999999956</v>
      </c>
      <c r="DY21" s="19">
        <v>-1666.9899999999825</v>
      </c>
      <c r="DZ21" s="19">
        <v>-1628.0799999999977</v>
      </c>
      <c r="EA21" s="19">
        <v>-1788.0499999999997</v>
      </c>
    </row>
    <row r="22" spans="1:131" s="1" customFormat="1" x14ac:dyDescent="0.25">
      <c r="B22"/>
      <c r="C22"/>
      <c r="D22"/>
      <c r="E22"/>
      <c r="F22"/>
      <c r="G22"/>
      <c r="H22"/>
      <c r="I22"/>
      <c r="J22"/>
      <c r="K22"/>
      <c r="L22"/>
      <c r="M22"/>
      <c r="N22"/>
      <c r="O22"/>
      <c r="P22"/>
      <c r="Q22"/>
      <c r="AV22" s="164"/>
      <c r="CB22" s="150"/>
      <c r="CC22" s="292"/>
      <c r="CD22" s="16" t="s">
        <v>14</v>
      </c>
      <c r="CE22" s="216">
        <v>4125.4022060827265</v>
      </c>
      <c r="CF22" s="216">
        <v>5222.363980059291</v>
      </c>
      <c r="CG22" s="216">
        <v>5836.8376171941718</v>
      </c>
      <c r="CH22" s="216">
        <v>4048.8558254560085</v>
      </c>
      <c r="CI22" s="216">
        <v>293.05047533625145</v>
      </c>
      <c r="CJ22" s="216">
        <v>218.97090151318486</v>
      </c>
      <c r="CK22" s="216">
        <v>232.10167727142209</v>
      </c>
      <c r="CL22" s="4"/>
      <c r="CM22" s="4"/>
      <c r="CN22" s="292"/>
      <c r="CO22" s="16" t="s">
        <v>14</v>
      </c>
      <c r="CP22" s="216">
        <v>4736.523523701806</v>
      </c>
      <c r="CQ22" s="216">
        <v>6485.486602261135</v>
      </c>
      <c r="CR22" s="216">
        <v>8061.0487649443712</v>
      </c>
      <c r="CS22" s="216">
        <v>5790.4267625604271</v>
      </c>
      <c r="CT22" s="216">
        <v>371.25704308714052</v>
      </c>
      <c r="CU22" s="216">
        <v>254.97400725360293</v>
      </c>
      <c r="CV22" s="216">
        <v>240.65204407648844</v>
      </c>
      <c r="CW22" s="4"/>
      <c r="CX22" s="4"/>
      <c r="CY22" s="4"/>
      <c r="CZ22" s="183"/>
      <c r="DA22" s="292"/>
      <c r="DB22" s="17" t="s">
        <v>8</v>
      </c>
      <c r="DC22" s="19">
        <v>-1067.0875374249529</v>
      </c>
      <c r="DD22" s="19">
        <v>-1225.9351256556843</v>
      </c>
      <c r="DE22" s="19">
        <v>-1401.4166619088783</v>
      </c>
      <c r="DF22" s="19">
        <v>-1183.9520008756031</v>
      </c>
      <c r="DG22" s="19">
        <v>-1162.7623897461733</v>
      </c>
      <c r="DH22" s="19">
        <v>-1074.9005653359347</v>
      </c>
      <c r="DI22" s="19">
        <v>-868.89858072018546</v>
      </c>
      <c r="DJ22" s="19">
        <v>-515.82345530398413</v>
      </c>
      <c r="DK22" s="19">
        <v>-632.86316034840559</v>
      </c>
      <c r="DL22" s="19">
        <v>-483.54449015623845</v>
      </c>
      <c r="DM22" s="19">
        <v>-310.70021856464894</v>
      </c>
      <c r="DN22" s="19">
        <v>-256.92634629293042</v>
      </c>
      <c r="DO22" s="19">
        <v>-314.06733602467597</v>
      </c>
      <c r="DP22" s="19">
        <v>-150.51955366493112</v>
      </c>
      <c r="DQ22" s="19">
        <v>-79.434305640423048</v>
      </c>
      <c r="DR22" s="19">
        <v>-150.90580426858051</v>
      </c>
      <c r="DS22" s="19">
        <v>-102.41247282528005</v>
      </c>
      <c r="DT22" s="19">
        <v>-121.90807076604845</v>
      </c>
      <c r="DU22" s="19">
        <v>-118.24717592086424</v>
      </c>
      <c r="DV22" s="19">
        <v>-46.538661005627148</v>
      </c>
      <c r="DW22" s="19">
        <v>84.712907340120296</v>
      </c>
      <c r="DX22" s="19">
        <v>242.03249230332318</v>
      </c>
      <c r="DY22" s="19">
        <v>447.3545015818936</v>
      </c>
      <c r="DZ22" s="19">
        <v>732.17623202080063</v>
      </c>
      <c r="EA22" s="19">
        <v>1020.113149793303</v>
      </c>
    </row>
    <row r="23" spans="1:131" s="1" customFormat="1" x14ac:dyDescent="0.25">
      <c r="B23"/>
      <c r="C23"/>
      <c r="D23"/>
      <c r="E23"/>
      <c r="F23"/>
      <c r="G23"/>
      <c r="H23"/>
      <c r="I23"/>
      <c r="J23"/>
      <c r="K23"/>
      <c r="L23"/>
      <c r="M23"/>
      <c r="N23"/>
      <c r="O23"/>
      <c r="P23"/>
      <c r="Q23"/>
      <c r="AV23" s="164"/>
      <c r="CB23" s="150"/>
      <c r="CC23" s="292"/>
      <c r="CD23" s="18" t="s">
        <v>15</v>
      </c>
      <c r="CE23" s="216">
        <v>-841350.61978191836</v>
      </c>
      <c r="CF23" s="216">
        <v>-545291.64580185909</v>
      </c>
      <c r="CG23" s="216">
        <v>-163519.43818466493</v>
      </c>
      <c r="CH23" s="216">
        <v>83209.647640791081</v>
      </c>
      <c r="CI23" s="216">
        <v>97333.148116127326</v>
      </c>
      <c r="CJ23" s="216">
        <v>105461.25901764051</v>
      </c>
      <c r="CK23" s="216">
        <v>113620.61069491193</v>
      </c>
      <c r="CL23" s="4"/>
      <c r="CM23" s="4"/>
      <c r="CN23" s="292"/>
      <c r="CO23" s="18" t="s">
        <v>15</v>
      </c>
      <c r="CP23" s="216">
        <v>-840739.49846429913</v>
      </c>
      <c r="CQ23" s="216">
        <v>-543417.40186203807</v>
      </c>
      <c r="CR23" s="216">
        <v>-159420.9830970937</v>
      </c>
      <c r="CS23" s="216">
        <v>89049.673665466747</v>
      </c>
      <c r="CT23" s="216">
        <v>103251.38070855389</v>
      </c>
      <c r="CU23" s="216">
        <v>111415.49471580749</v>
      </c>
      <c r="CV23" s="216">
        <v>119583.39675988398</v>
      </c>
      <c r="CW23" s="4"/>
      <c r="CX23" s="4"/>
      <c r="CY23" s="4"/>
      <c r="CZ23" s="183"/>
      <c r="DA23" s="292"/>
      <c r="DB23" s="17" t="s">
        <v>27</v>
      </c>
      <c r="DC23" s="14">
        <v>-26147.875787511821</v>
      </c>
      <c r="DD23" s="14">
        <v>-27373.810913167505</v>
      </c>
      <c r="DE23" s="14">
        <v>-28775.227575076384</v>
      </c>
      <c r="DF23" s="14">
        <v>-29959.179575951988</v>
      </c>
      <c r="DG23" s="14">
        <v>-31121.941965698163</v>
      </c>
      <c r="DH23" s="14">
        <v>-32196.842531034097</v>
      </c>
      <c r="DI23" s="14">
        <v>-33065.74111175428</v>
      </c>
      <c r="DJ23" s="14">
        <v>-33581.564567058267</v>
      </c>
      <c r="DK23" s="14">
        <v>-34214.42772740667</v>
      </c>
      <c r="DL23" s="14">
        <v>-34697.972217562907</v>
      </c>
      <c r="DM23" s="14">
        <v>-35008.672436127556</v>
      </c>
      <c r="DN23" s="14">
        <v>-35265.598782420486</v>
      </c>
      <c r="DO23" s="14">
        <v>-35579.666118445159</v>
      </c>
      <c r="DP23" s="14">
        <v>-35730.185672110092</v>
      </c>
      <c r="DQ23" s="14">
        <v>-35809.619977750517</v>
      </c>
      <c r="DR23" s="14">
        <v>-35960.525782019096</v>
      </c>
      <c r="DS23" s="14">
        <v>-36062.938254844375</v>
      </c>
      <c r="DT23" s="14">
        <v>-36184.846325610422</v>
      </c>
      <c r="DU23" s="14">
        <v>-36303.093501531286</v>
      </c>
      <c r="DV23" s="14">
        <v>-36349.632162536916</v>
      </c>
      <c r="DW23" s="14">
        <v>-36264.919255196794</v>
      </c>
      <c r="DX23" s="14">
        <v>-36022.886762893468</v>
      </c>
      <c r="DY23" s="14">
        <v>-35575.532261311571</v>
      </c>
      <c r="DZ23" s="14">
        <v>-34843.356029290771</v>
      </c>
      <c r="EA23" s="14">
        <v>-33823.242879497469</v>
      </c>
    </row>
    <row r="24" spans="1:131" s="1" customFormat="1" x14ac:dyDescent="0.25">
      <c r="B24"/>
      <c r="C24"/>
      <c r="D24"/>
      <c r="E24"/>
      <c r="F24"/>
      <c r="G24"/>
      <c r="H24"/>
      <c r="I24"/>
      <c r="J24"/>
      <c r="K24"/>
      <c r="L24"/>
      <c r="M24"/>
      <c r="N24"/>
      <c r="O24"/>
      <c r="P24"/>
      <c r="Q24"/>
      <c r="AV24" s="164"/>
      <c r="CB24" s="150"/>
      <c r="CC24" s="40"/>
      <c r="CD24" s="11"/>
      <c r="CE24" s="2"/>
      <c r="CF24" s="2"/>
      <c r="CG24" s="2"/>
      <c r="CH24" s="2"/>
      <c r="CI24" s="2"/>
      <c r="CJ24" s="2"/>
      <c r="CK24" s="2"/>
      <c r="CL24" s="4"/>
      <c r="CM24" s="4"/>
      <c r="CN24" s="40"/>
      <c r="CO24" s="11"/>
      <c r="CP24" s="2"/>
      <c r="CQ24" s="2"/>
      <c r="CR24" s="2"/>
      <c r="CS24" s="2"/>
      <c r="CT24" s="2"/>
      <c r="CU24" s="2"/>
      <c r="CV24" s="2"/>
      <c r="CW24" s="4"/>
      <c r="CX24" s="4"/>
      <c r="CY24" s="4"/>
      <c r="CZ24" s="183"/>
      <c r="DA24" s="292"/>
      <c r="DB24" s="16" t="s">
        <v>14</v>
      </c>
      <c r="DC24" s="19">
        <v>-682877.26753742574</v>
      </c>
      <c r="DD24" s="19">
        <v>-781451.51512565487</v>
      </c>
      <c r="DE24" s="19">
        <v>94685.043338091797</v>
      </c>
      <c r="DF24" s="19">
        <v>-21378.962000874708</v>
      </c>
      <c r="DG24" s="19">
        <v>-22029.402389745377</v>
      </c>
      <c r="DH24" s="19">
        <v>-17236.900565339802</v>
      </c>
      <c r="DI24" s="19">
        <v>26988.721419282418</v>
      </c>
      <c r="DJ24" s="19">
        <v>37535.326544696574</v>
      </c>
      <c r="DK24" s="19">
        <v>32771.136839650426</v>
      </c>
      <c r="DL24" s="19">
        <v>1535.2055098433084</v>
      </c>
      <c r="DM24" s="19">
        <v>-23696.50021856384</v>
      </c>
      <c r="DN24" s="19">
        <v>-19580.126346293338</v>
      </c>
      <c r="DO24" s="19">
        <v>-22802.967336025795</v>
      </c>
      <c r="DP24" s="19">
        <v>-22665.489553663523</v>
      </c>
      <c r="DQ24" s="19">
        <v>15419.645694356932</v>
      </c>
      <c r="DR24" s="19">
        <v>-1851.77580426858</v>
      </c>
      <c r="DS24" s="19">
        <v>-1729.5224728252795</v>
      </c>
      <c r="DT24" s="19">
        <v>-1756.6580707660519</v>
      </c>
      <c r="DU24" s="19">
        <v>-1962.3271759208646</v>
      </c>
      <c r="DV24" s="19">
        <v>-2060.9986610056294</v>
      </c>
      <c r="DW24" s="19">
        <v>-1902.1370926598829</v>
      </c>
      <c r="DX24" s="19">
        <v>-1669.0375076966725</v>
      </c>
      <c r="DY24" s="19">
        <v>-1219.6354984180889</v>
      </c>
      <c r="DZ24" s="19">
        <v>-895.90376797919703</v>
      </c>
      <c r="EA24" s="19">
        <v>-767.9368502066967</v>
      </c>
    </row>
    <row r="25" spans="1:131" s="1" customFormat="1" x14ac:dyDescent="0.25">
      <c r="B25"/>
      <c r="C25"/>
      <c r="D25"/>
      <c r="E25"/>
      <c r="F25"/>
      <c r="G25"/>
      <c r="H25"/>
      <c r="I25"/>
      <c r="J25"/>
      <c r="K25"/>
      <c r="L25"/>
      <c r="M25"/>
      <c r="N25"/>
      <c r="O25"/>
      <c r="P25"/>
      <c r="Q25"/>
      <c r="AV25" s="164"/>
      <c r="CB25" s="150"/>
      <c r="CC25" s="292" t="s">
        <v>21</v>
      </c>
      <c r="CD25" s="15"/>
      <c r="CE25" s="2"/>
      <c r="CF25" s="2"/>
      <c r="CG25" s="2"/>
      <c r="CH25" s="2"/>
      <c r="CI25" s="2"/>
      <c r="CJ25" s="2"/>
      <c r="CK25" s="2"/>
      <c r="CL25" s="4"/>
      <c r="CM25" s="4"/>
      <c r="CN25" s="292" t="s">
        <v>21</v>
      </c>
      <c r="CO25" s="15"/>
      <c r="CP25" s="2"/>
      <c r="CQ25" s="2"/>
      <c r="CR25" s="2"/>
      <c r="CS25" s="2"/>
      <c r="CT25" s="2"/>
      <c r="CU25" s="2"/>
      <c r="CV25" s="2"/>
      <c r="CW25" s="4"/>
      <c r="CX25" s="4"/>
      <c r="CY25" s="4"/>
      <c r="CZ25" s="183"/>
      <c r="DA25" s="292"/>
      <c r="DB25" s="18" t="s">
        <v>2</v>
      </c>
      <c r="DC25" s="19">
        <v>-6403592.3120871419</v>
      </c>
      <c r="DD25" s="19">
        <v>-7137780.1572127966</v>
      </c>
      <c r="DE25" s="19">
        <v>-7243334.5838747043</v>
      </c>
      <c r="DF25" s="19">
        <v>-6650296.1558755804</v>
      </c>
      <c r="DG25" s="19">
        <v>-6199173.9282653257</v>
      </c>
      <c r="DH25" s="19">
        <v>-5752486.9288306646</v>
      </c>
      <c r="DI25" s="19">
        <v>-5171371.0674113818</v>
      </c>
      <c r="DJ25" s="19">
        <v>-4436148.8008666858</v>
      </c>
      <c r="DK25" s="19">
        <v>-3703409.5340270353</v>
      </c>
      <c r="DL25" s="19">
        <v>-3003352.558517192</v>
      </c>
      <c r="DM25" s="19">
        <v>-2485912.4487357559</v>
      </c>
      <c r="DN25" s="19">
        <v>-2012616.615082049</v>
      </c>
      <c r="DO25" s="19">
        <v>-1447273.3524180748</v>
      </c>
      <c r="DP25" s="19">
        <v>-770564.10197173851</v>
      </c>
      <c r="DQ25" s="19">
        <v>-322274.76627738157</v>
      </c>
      <c r="DR25" s="19">
        <v>-263245.5120816502</v>
      </c>
      <c r="DS25" s="19">
        <v>-204785.44455447549</v>
      </c>
      <c r="DT25" s="19">
        <v>-154158.88262524153</v>
      </c>
      <c r="DU25" s="19">
        <v>-95615.829801162385</v>
      </c>
      <c r="DV25" s="19">
        <v>-27200.068462167983</v>
      </c>
      <c r="DW25" s="19">
        <v>39731.104445172125</v>
      </c>
      <c r="DX25" s="19">
        <v>102448.24693747543</v>
      </c>
      <c r="DY25" s="19">
        <v>155146.73143905733</v>
      </c>
      <c r="DZ25" s="19">
        <v>205723.16767107815</v>
      </c>
      <c r="EA25" s="19">
        <v>266122.11082087149</v>
      </c>
    </row>
    <row r="26" spans="1:131" s="1" customFormat="1" x14ac:dyDescent="0.25">
      <c r="B26"/>
      <c r="C26"/>
      <c r="D26"/>
      <c r="E26"/>
      <c r="F26"/>
      <c r="G26"/>
      <c r="H26"/>
      <c r="I26"/>
      <c r="J26"/>
      <c r="K26"/>
      <c r="L26"/>
      <c r="M26"/>
      <c r="N26"/>
      <c r="O26"/>
      <c r="P26"/>
      <c r="Q26"/>
      <c r="AV26" s="164"/>
      <c r="CB26" s="150"/>
      <c r="CC26" s="292"/>
      <c r="CD26" s="15" t="s">
        <v>28</v>
      </c>
      <c r="CE26" s="216">
        <v>993.04000000096858</v>
      </c>
      <c r="CF26" s="216">
        <v>1022.7099999990314</v>
      </c>
      <c r="CG26" s="216">
        <v>1061.0999999996275</v>
      </c>
      <c r="CH26" s="216">
        <v>818.65000000037253</v>
      </c>
      <c r="CI26" s="216">
        <v>0</v>
      </c>
      <c r="CJ26" s="216">
        <v>0</v>
      </c>
      <c r="CK26" s="216">
        <v>0</v>
      </c>
      <c r="CL26" s="4"/>
      <c r="CM26" s="4"/>
      <c r="CN26" s="292"/>
      <c r="CO26" s="15" t="s">
        <v>28</v>
      </c>
      <c r="CP26" s="216">
        <v>993.04000000096858</v>
      </c>
      <c r="CQ26" s="216">
        <v>1022.7099999990314</v>
      </c>
      <c r="CR26" s="216">
        <v>1061.0999999996275</v>
      </c>
      <c r="CS26" s="216">
        <v>818.65000000037253</v>
      </c>
      <c r="CT26" s="216">
        <v>0</v>
      </c>
      <c r="CU26" s="216">
        <v>0</v>
      </c>
      <c r="CV26" s="216">
        <v>0</v>
      </c>
      <c r="CW26" s="4"/>
      <c r="CX26" s="4"/>
      <c r="CY26" s="4"/>
      <c r="CZ26" s="183"/>
      <c r="DA26" s="40"/>
      <c r="DB26" s="11"/>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row>
    <row r="27" spans="1:131" x14ac:dyDescent="0.25">
      <c r="CB27" s="151"/>
      <c r="CC27" s="292"/>
      <c r="CD27" s="16" t="s">
        <v>26</v>
      </c>
      <c r="CE27" s="216">
        <v>-85048.337899656035</v>
      </c>
      <c r="CF27" s="216">
        <v>-96923.929909834478</v>
      </c>
      <c r="CG27" s="216">
        <v>-114316.61954150567</v>
      </c>
      <c r="CH27" s="216">
        <v>-70347.05152582172</v>
      </c>
      <c r="CI27" s="216">
        <v>-3800.9561632831483</v>
      </c>
      <c r="CJ27" s="216">
        <v>-3430.8126987825262</v>
      </c>
      <c r="CK27" s="216">
        <v>-3159.8932354852132</v>
      </c>
      <c r="CL27" s="2"/>
      <c r="CM27" s="2"/>
      <c r="CN27" s="292"/>
      <c r="CO27" s="16" t="s">
        <v>26</v>
      </c>
      <c r="CP27" s="216">
        <v>-84913.526641125747</v>
      </c>
      <c r="CQ27" s="216">
        <v>-96636.184986975422</v>
      </c>
      <c r="CR27" s="216">
        <v>-113783.66949853272</v>
      </c>
      <c r="CS27" s="216">
        <v>-69912.247064021896</v>
      </c>
      <c r="CT27" s="216">
        <v>-3783.1481282858335</v>
      </c>
      <c r="CU27" s="216">
        <v>-3423.5497542955159</v>
      </c>
      <c r="CV27" s="216">
        <v>-3159.0651251823288</v>
      </c>
      <c r="CW27" s="2"/>
      <c r="CX27" s="2"/>
      <c r="CY27" s="2"/>
      <c r="DA27" s="292" t="s">
        <v>20</v>
      </c>
      <c r="DB27" s="15"/>
      <c r="DC27" s="7"/>
      <c r="DD27" s="7"/>
      <c r="DE27" s="7"/>
      <c r="DF27" s="7"/>
      <c r="DG27" s="7"/>
      <c r="DH27" s="7"/>
      <c r="DI27" s="7"/>
      <c r="DJ27" s="7"/>
      <c r="DK27" s="7"/>
      <c r="DL27" s="7"/>
      <c r="DM27" s="7"/>
      <c r="DN27" s="7"/>
      <c r="DO27" s="7"/>
      <c r="DP27" s="7"/>
      <c r="DQ27" s="7"/>
      <c r="DR27" s="7"/>
      <c r="DS27" s="7"/>
      <c r="DT27" s="7"/>
      <c r="DU27" s="7"/>
      <c r="DV27" s="7"/>
      <c r="DW27" s="7"/>
      <c r="DX27" s="7"/>
      <c r="DY27" s="126">
        <v>5948.9756313576872</v>
      </c>
      <c r="DZ27" s="7"/>
      <c r="EA27" s="7"/>
    </row>
    <row r="28" spans="1:131" x14ac:dyDescent="0.25">
      <c r="A28" s="47" t="s">
        <v>82</v>
      </c>
      <c r="CB28" s="150"/>
      <c r="CC28" s="292"/>
      <c r="CD28" s="16" t="s">
        <v>51</v>
      </c>
      <c r="CE28" s="216">
        <v>86249.99</v>
      </c>
      <c r="CF28" s="216">
        <v>98347.18</v>
      </c>
      <c r="CG28" s="216">
        <v>116084.16</v>
      </c>
      <c r="CH28" s="216">
        <v>72696.31</v>
      </c>
      <c r="CI28" s="216">
        <v>3930.01</v>
      </c>
      <c r="CJ28" s="216">
        <v>3532.61</v>
      </c>
      <c r="CK28" s="216">
        <v>3250.65</v>
      </c>
      <c r="CL28" s="4"/>
      <c r="CM28" s="4"/>
      <c r="CN28" s="292"/>
      <c r="CO28" s="16" t="s">
        <v>51</v>
      </c>
      <c r="CP28" s="216">
        <v>86249.99</v>
      </c>
      <c r="CQ28" s="216">
        <v>98347.18</v>
      </c>
      <c r="CR28" s="216">
        <v>116084.16</v>
      </c>
      <c r="CS28" s="216">
        <v>72696.31</v>
      </c>
      <c r="CT28" s="216">
        <v>3930.01</v>
      </c>
      <c r="CU28" s="216">
        <v>3532.61</v>
      </c>
      <c r="CV28" s="216">
        <v>3250.65</v>
      </c>
      <c r="CW28" s="4"/>
      <c r="CX28" s="4"/>
      <c r="CY28" s="4"/>
      <c r="DA28" s="292"/>
      <c r="DB28" s="15" t="s">
        <v>28</v>
      </c>
      <c r="DC28" s="20">
        <v>0</v>
      </c>
      <c r="DD28" s="20">
        <v>0</v>
      </c>
      <c r="DE28" s="20">
        <v>0</v>
      </c>
      <c r="DF28" s="20">
        <v>0</v>
      </c>
      <c r="DG28" s="20">
        <v>0</v>
      </c>
      <c r="DH28" s="20">
        <v>0</v>
      </c>
      <c r="DI28" s="20">
        <v>0</v>
      </c>
      <c r="DJ28" s="20">
        <v>0</v>
      </c>
      <c r="DK28" s="20">
        <v>0</v>
      </c>
      <c r="DL28" s="20">
        <v>0</v>
      </c>
      <c r="DM28" s="20">
        <v>0</v>
      </c>
      <c r="DN28" s="20">
        <v>0</v>
      </c>
      <c r="DO28" s="20">
        <v>0</v>
      </c>
      <c r="DP28" s="20">
        <v>0</v>
      </c>
      <c r="DQ28" s="20">
        <v>0</v>
      </c>
      <c r="DR28" s="20">
        <v>0</v>
      </c>
      <c r="DS28" s="20">
        <v>0</v>
      </c>
      <c r="DT28" s="20">
        <v>0</v>
      </c>
      <c r="DU28" s="20">
        <v>0</v>
      </c>
      <c r="DV28" s="20">
        <v>0</v>
      </c>
      <c r="DW28" s="20">
        <v>0</v>
      </c>
      <c r="DX28" s="20">
        <v>0</v>
      </c>
      <c r="DY28" s="20">
        <v>0</v>
      </c>
      <c r="DZ28" s="20">
        <v>0</v>
      </c>
      <c r="EA28" s="20">
        <v>0</v>
      </c>
    </row>
    <row r="29" spans="1:131" x14ac:dyDescent="0.25">
      <c r="C29" s="10">
        <v>42370</v>
      </c>
      <c r="D29" s="10">
        <v>42401</v>
      </c>
      <c r="E29" s="10">
        <v>42430</v>
      </c>
      <c r="F29" s="10">
        <v>42461</v>
      </c>
      <c r="G29" s="10">
        <v>42491</v>
      </c>
      <c r="H29" s="10">
        <v>42522</v>
      </c>
      <c r="I29" s="10">
        <v>42552</v>
      </c>
      <c r="J29" s="10">
        <v>42583</v>
      </c>
      <c r="K29" s="10">
        <v>42614</v>
      </c>
      <c r="L29" s="10">
        <v>42644</v>
      </c>
      <c r="M29" s="10">
        <v>42675</v>
      </c>
      <c r="N29" s="10">
        <v>42705</v>
      </c>
      <c r="O29" s="10">
        <v>42736</v>
      </c>
      <c r="P29" s="10">
        <v>42767</v>
      </c>
      <c r="Q29" s="10">
        <v>42795</v>
      </c>
      <c r="R29" s="10">
        <v>42826</v>
      </c>
      <c r="S29" s="10">
        <v>42856</v>
      </c>
      <c r="T29" s="10">
        <v>42887</v>
      </c>
      <c r="U29" s="10">
        <v>42917</v>
      </c>
      <c r="V29" s="10">
        <v>42948</v>
      </c>
      <c r="W29" s="10">
        <v>42979</v>
      </c>
      <c r="X29" s="10">
        <v>43009</v>
      </c>
      <c r="Y29" s="10">
        <v>43040</v>
      </c>
      <c r="Z29" s="10">
        <v>43070</v>
      </c>
      <c r="AA29" s="10">
        <v>43101</v>
      </c>
      <c r="AB29" s="10">
        <v>43132</v>
      </c>
      <c r="AC29" s="10">
        <v>43160</v>
      </c>
      <c r="AD29" s="10">
        <v>43191</v>
      </c>
      <c r="AE29" s="10">
        <v>43221</v>
      </c>
      <c r="AF29" s="10">
        <v>43252</v>
      </c>
      <c r="AG29" s="10">
        <v>43282</v>
      </c>
      <c r="AH29" s="10">
        <v>43313</v>
      </c>
      <c r="AI29" s="10">
        <v>43344</v>
      </c>
      <c r="AJ29" s="10">
        <v>43374</v>
      </c>
      <c r="AK29" s="10">
        <v>43405</v>
      </c>
      <c r="AL29" s="10">
        <v>43435</v>
      </c>
      <c r="AM29" s="10">
        <v>43466</v>
      </c>
      <c r="AN29" s="10">
        <v>43497</v>
      </c>
      <c r="AO29" s="10">
        <v>43525</v>
      </c>
      <c r="AP29" s="10">
        <v>43556</v>
      </c>
      <c r="AQ29" s="10">
        <v>43586</v>
      </c>
      <c r="AR29" s="10">
        <v>43617</v>
      </c>
      <c r="CB29" s="150"/>
      <c r="CC29" s="292"/>
      <c r="CD29" s="16" t="s">
        <v>52</v>
      </c>
      <c r="CE29" s="216">
        <v>1201.6521003439702</v>
      </c>
      <c r="CF29" s="216">
        <v>1423.2500901655148</v>
      </c>
      <c r="CG29" s="216">
        <v>1767.5404584943317</v>
      </c>
      <c r="CH29" s="216">
        <v>2349.2584741782775</v>
      </c>
      <c r="CI29" s="216">
        <v>129.05383671685195</v>
      </c>
      <c r="CJ29" s="216">
        <v>101.79730121747389</v>
      </c>
      <c r="CK29" s="216">
        <v>90.756764514786937</v>
      </c>
      <c r="CL29" s="4"/>
      <c r="CM29" s="4"/>
      <c r="CN29" s="292"/>
      <c r="CO29" s="16" t="s">
        <v>52</v>
      </c>
      <c r="CP29" s="216">
        <v>1336.4633588742581</v>
      </c>
      <c r="CQ29" s="216">
        <v>1710.9950130245707</v>
      </c>
      <c r="CR29" s="216">
        <v>2300.490501467284</v>
      </c>
      <c r="CS29" s="216">
        <v>2784.0629359781015</v>
      </c>
      <c r="CT29" s="216">
        <v>146.86187171416668</v>
      </c>
      <c r="CU29" s="216">
        <v>109.06024570448426</v>
      </c>
      <c r="CV29" s="216">
        <v>91.584874817671334</v>
      </c>
      <c r="CW29" s="4" t="s">
        <v>117</v>
      </c>
      <c r="CX29" s="4" t="s">
        <v>118</v>
      </c>
      <c r="CY29" s="4" t="s">
        <v>119</v>
      </c>
      <c r="DA29" s="292"/>
      <c r="DB29" s="16" t="s">
        <v>26</v>
      </c>
      <c r="DC29" s="20">
        <v>120857.06275512144</v>
      </c>
      <c r="DD29" s="20">
        <v>157131.76386056477</v>
      </c>
      <c r="DE29" s="20">
        <v>-115197.03218943029</v>
      </c>
      <c r="DF29" s="20">
        <v>-330846.44785598782</v>
      </c>
      <c r="DG29" s="20">
        <v>-223865.36362995688</v>
      </c>
      <c r="DH29" s="20">
        <v>-210176.78057078717</v>
      </c>
      <c r="DI29" s="20">
        <v>-274664.86631310626</v>
      </c>
      <c r="DJ29" s="20">
        <v>-362529.15554440091</v>
      </c>
      <c r="DK29" s="20">
        <v>-369792.94310600177</v>
      </c>
      <c r="DL29" s="20">
        <v>-363385.55298456381</v>
      </c>
      <c r="DM29" s="20">
        <v>-252118.8064792598</v>
      </c>
      <c r="DN29" s="20">
        <v>-236659.87723249063</v>
      </c>
      <c r="DO29" s="20">
        <v>-296177.30566513271</v>
      </c>
      <c r="DP29" s="20">
        <v>-381804.14898688439</v>
      </c>
      <c r="DQ29" s="20">
        <v>-246708.5763060193</v>
      </c>
      <c r="DR29" s="20">
        <v>-14067.704131906468</v>
      </c>
      <c r="DS29" s="20">
        <v>-8075.3701007850805</v>
      </c>
      <c r="DT29" s="20">
        <v>-8069.5010685150701</v>
      </c>
      <c r="DU29" s="20">
        <v>-10523.960092720119</v>
      </c>
      <c r="DV29" s="20">
        <v>-14468.941204805698</v>
      </c>
      <c r="DW29" s="20">
        <v>-13654.530108070918</v>
      </c>
      <c r="DX29" s="20">
        <v>-11445.528735503302</v>
      </c>
      <c r="DY29" s="20">
        <v>-8161.2905921701886</v>
      </c>
      <c r="DZ29" s="20">
        <v>-7466.1740536377019</v>
      </c>
      <c r="EA29" s="20">
        <v>-11799.60123590958</v>
      </c>
    </row>
    <row r="30" spans="1:131" ht="15" customHeight="1" x14ac:dyDescent="0.25">
      <c r="A30" s="292" t="s">
        <v>25</v>
      </c>
      <c r="B30" s="15"/>
      <c r="C30" s="30"/>
      <c r="D30" s="30"/>
      <c r="E30" s="7"/>
      <c r="F30" s="7"/>
      <c r="G30" s="7"/>
      <c r="H30" s="7"/>
      <c r="I30" s="7"/>
      <c r="J30" s="7"/>
      <c r="K30" s="7"/>
      <c r="L30" s="7"/>
      <c r="M30" s="7"/>
      <c r="N30" s="7"/>
      <c r="O30" s="7"/>
      <c r="P30" s="68">
        <v>13541921.743700374</v>
      </c>
      <c r="Q30" s="7"/>
      <c r="R30" s="7"/>
      <c r="S30" s="7"/>
      <c r="T30" s="7"/>
      <c r="U30" s="7"/>
      <c r="V30" s="7"/>
      <c r="W30" s="7"/>
      <c r="X30" s="7"/>
      <c r="Y30" s="7"/>
      <c r="Z30" s="7"/>
      <c r="AA30" s="7"/>
      <c r="AB30" s="7"/>
      <c r="AC30" s="7"/>
      <c r="AD30" s="7"/>
      <c r="AE30" s="7"/>
      <c r="AF30" s="7"/>
      <c r="AG30" s="7"/>
      <c r="AH30" s="7"/>
      <c r="AI30" s="7"/>
      <c r="AJ30" s="7"/>
      <c r="AK30" s="7"/>
      <c r="AL30" s="7"/>
      <c r="AM30" s="7"/>
      <c r="AN30" s="7"/>
      <c r="AO30" s="7"/>
      <c r="AP30" s="67"/>
      <c r="AQ30" s="67"/>
      <c r="AR30" s="67"/>
      <c r="CB30" s="150"/>
      <c r="CC30" s="292"/>
      <c r="CD30" s="16" t="s">
        <v>13</v>
      </c>
      <c r="CE30" s="216">
        <v>-208.61210034300166</v>
      </c>
      <c r="CF30" s="216">
        <v>-400.54009016648342</v>
      </c>
      <c r="CG30" s="216">
        <v>-706.44045849470422</v>
      </c>
      <c r="CH30" s="216">
        <v>-1530.608474177905</v>
      </c>
      <c r="CI30" s="216">
        <v>-129.05383671685195</v>
      </c>
      <c r="CJ30" s="216">
        <v>-101.79730121747389</v>
      </c>
      <c r="CK30" s="216">
        <v>-90.756764514786937</v>
      </c>
      <c r="CL30" s="4"/>
      <c r="CM30" s="4"/>
      <c r="CN30" s="292"/>
      <c r="CO30" s="16" t="s">
        <v>13</v>
      </c>
      <c r="CP30" s="216">
        <v>-343.42335887328954</v>
      </c>
      <c r="CQ30" s="216">
        <v>-688.28501302553923</v>
      </c>
      <c r="CR30" s="216">
        <v>-1239.3905014676566</v>
      </c>
      <c r="CS30" s="216">
        <v>-1965.4129359777289</v>
      </c>
      <c r="CT30" s="216">
        <v>-146.86187171416668</v>
      </c>
      <c r="CU30" s="216">
        <v>-109.06024570448426</v>
      </c>
      <c r="CV30" s="216">
        <v>-91.584874817671334</v>
      </c>
      <c r="CW30" s="217">
        <f>SUM(CP30:CV30)</f>
        <v>-4584.018801580537</v>
      </c>
      <c r="CX30" s="217">
        <f>SUM(CE30:CK30)</f>
        <v>-3167.8090256312071</v>
      </c>
      <c r="CY30" s="217">
        <f>CW30-CX30</f>
        <v>-1416.2097759493299</v>
      </c>
      <c r="DA30" s="292"/>
      <c r="DB30" s="16" t="s">
        <v>51</v>
      </c>
      <c r="DC30" s="20">
        <v>84398.080000000002</v>
      </c>
      <c r="DD30" s="20">
        <v>109860.73</v>
      </c>
      <c r="DE30" s="20">
        <v>113458.01</v>
      </c>
      <c r="DF30" s="20">
        <v>325175.89</v>
      </c>
      <c r="DG30" s="20">
        <v>219552.89</v>
      </c>
      <c r="DH30" s="20">
        <v>206267.22</v>
      </c>
      <c r="DI30" s="20">
        <v>270595.87</v>
      </c>
      <c r="DJ30" s="20">
        <v>357386.66</v>
      </c>
      <c r="DK30" s="20">
        <v>364675.44</v>
      </c>
      <c r="DL30" s="20">
        <v>358208.47</v>
      </c>
      <c r="DM30" s="20">
        <v>248050.58</v>
      </c>
      <c r="DN30" s="20">
        <v>232427.07</v>
      </c>
      <c r="DO30" s="20">
        <v>290836.61</v>
      </c>
      <c r="DP30" s="20">
        <v>375935.37</v>
      </c>
      <c r="DQ30" s="20">
        <v>242680.23</v>
      </c>
      <c r="DR30" s="20">
        <v>13830.45</v>
      </c>
      <c r="DS30" s="20">
        <v>7909.14</v>
      </c>
      <c r="DT30" s="20">
        <v>7927.25</v>
      </c>
      <c r="DU30" s="20">
        <v>10364.700000000001</v>
      </c>
      <c r="DV30" s="20">
        <v>14271.87</v>
      </c>
      <c r="DW30" s="20">
        <v>13453.18</v>
      </c>
      <c r="DX30" s="20">
        <v>11260.05</v>
      </c>
      <c r="DY30" s="20">
        <v>8003.94</v>
      </c>
      <c r="DZ30" s="20">
        <v>7297.68</v>
      </c>
      <c r="EA30" s="20">
        <v>11546.44</v>
      </c>
    </row>
    <row r="31" spans="1:131" s="3" customFormat="1" ht="15" customHeight="1" x14ac:dyDescent="0.25">
      <c r="A31" s="292"/>
      <c r="B31" s="15" t="s">
        <v>28</v>
      </c>
      <c r="C31" s="30"/>
      <c r="D31" s="30"/>
      <c r="E31" s="19">
        <f>+E57</f>
        <v>0</v>
      </c>
      <c r="F31" s="19">
        <f t="shared" ref="F31:AR31" si="6">+F57</f>
        <v>1315.62</v>
      </c>
      <c r="G31" s="19">
        <f t="shared" si="6"/>
        <v>9547.77</v>
      </c>
      <c r="H31" s="19">
        <f t="shared" si="6"/>
        <v>131836.54999999999</v>
      </c>
      <c r="I31" s="19">
        <f t="shared" si="6"/>
        <v>295613.25</v>
      </c>
      <c r="J31" s="19">
        <f t="shared" si="6"/>
        <v>620316.48999999987</v>
      </c>
      <c r="K31" s="19">
        <f t="shared" si="6"/>
        <v>555398.20999999985</v>
      </c>
      <c r="L31" s="19">
        <f t="shared" si="6"/>
        <v>198514.37000000011</v>
      </c>
      <c r="M31" s="19">
        <f t="shared" si="6"/>
        <v>277476.9599999999</v>
      </c>
      <c r="N31" s="19">
        <f t="shared" si="6"/>
        <v>434867.4</v>
      </c>
      <c r="O31" s="19">
        <f t="shared" si="6"/>
        <v>508459.40000000014</v>
      </c>
      <c r="P31" s="19">
        <f t="shared" si="6"/>
        <v>490745.49000000017</v>
      </c>
      <c r="Q31" s="19">
        <f t="shared" si="6"/>
        <v>527476.22000000009</v>
      </c>
      <c r="R31" s="19">
        <f t="shared" si="6"/>
        <v>258953.52000000025</v>
      </c>
      <c r="S31" s="19">
        <f t="shared" si="6"/>
        <v>394310.88999999978</v>
      </c>
      <c r="T31" s="19">
        <f t="shared" si="6"/>
        <v>1342259.4100000001</v>
      </c>
      <c r="U31" s="19">
        <f t="shared" si="6"/>
        <v>1962488.9300000002</v>
      </c>
      <c r="V31" s="19">
        <f t="shared" si="6"/>
        <v>2100865.73</v>
      </c>
      <c r="W31" s="19">
        <f t="shared" si="6"/>
        <v>1649752.0800000003</v>
      </c>
      <c r="X31" s="19">
        <f t="shared" si="6"/>
        <v>751621.14999999979</v>
      </c>
      <c r="Y31" s="19">
        <f t="shared" si="6"/>
        <v>841460.40999999968</v>
      </c>
      <c r="Z31" s="19">
        <f t="shared" si="6"/>
        <v>1085634.8200000005</v>
      </c>
      <c r="AA31" s="19">
        <f t="shared" si="6"/>
        <v>1183123.0699999994</v>
      </c>
      <c r="AB31" s="19">
        <f t="shared" si="6"/>
        <v>1041235.799999999</v>
      </c>
      <c r="AC31" s="19">
        <f t="shared" si="6"/>
        <v>1113426.4299999995</v>
      </c>
      <c r="AD31" s="19">
        <f t="shared" si="6"/>
        <v>1057341.1199999994</v>
      </c>
      <c r="AE31" s="19">
        <f t="shared" si="6"/>
        <v>1420849.9099999997</v>
      </c>
      <c r="AF31" s="19">
        <f t="shared" si="6"/>
        <v>3799102.3500000015</v>
      </c>
      <c r="AG31" s="19">
        <f t="shared" si="6"/>
        <v>5128806.18</v>
      </c>
      <c r="AH31" s="19">
        <f t="shared" si="6"/>
        <v>4697486.7700000005</v>
      </c>
      <c r="AI31" s="19">
        <f t="shared" si="6"/>
        <v>3577277.59</v>
      </c>
      <c r="AJ31" s="19">
        <f t="shared" si="6"/>
        <v>1552311.3900000006</v>
      </c>
      <c r="AK31" s="19">
        <f t="shared" si="6"/>
        <v>1560965.8799999983</v>
      </c>
      <c r="AL31" s="19">
        <f t="shared" si="6"/>
        <v>1902498.7800000007</v>
      </c>
      <c r="AM31" s="19">
        <f t="shared" si="6"/>
        <v>2044546.7300000009</v>
      </c>
      <c r="AN31" s="19">
        <f t="shared" si="6"/>
        <v>1819223.7300000016</v>
      </c>
      <c r="AO31" s="19">
        <f t="shared" si="6"/>
        <v>1991958.3199999982</v>
      </c>
      <c r="AP31" s="19">
        <f t="shared" si="6"/>
        <v>1852056.3300000017</v>
      </c>
      <c r="AQ31" s="19">
        <f t="shared" si="6"/>
        <v>2404199.6199999982</v>
      </c>
      <c r="AR31" s="19">
        <f t="shared" si="6"/>
        <v>6080629.2500000019</v>
      </c>
      <c r="AV31" s="162"/>
      <c r="CB31" s="150"/>
      <c r="CC31" s="292"/>
      <c r="CD31" s="17" t="s">
        <v>8</v>
      </c>
      <c r="CE31" s="216">
        <v>-33.896799027812584</v>
      </c>
      <c r="CF31" s="216">
        <v>-36.374195914962691</v>
      </c>
      <c r="CG31" s="216">
        <v>-10.206485686119455</v>
      </c>
      <c r="CH31" s="216">
        <v>4.6633211652036026</v>
      </c>
      <c r="CI31" s="216">
        <v>13.032095954644355</v>
      </c>
      <c r="CJ31" s="216">
        <v>13.091305131004477</v>
      </c>
      <c r="CK31" s="216">
        <v>23.218272374650894</v>
      </c>
      <c r="CL31" s="4"/>
      <c r="CM31" s="4"/>
      <c r="CN31" s="292"/>
      <c r="CO31" s="17" t="s">
        <v>8</v>
      </c>
      <c r="CP31" s="216">
        <v>-33.914010942902728</v>
      </c>
      <c r="CQ31" s="216">
        <v>-36.465916878557387</v>
      </c>
      <c r="CR31" s="216">
        <v>-10.39318899746541</v>
      </c>
      <c r="CS31" s="216">
        <v>4.3204799236523046</v>
      </c>
      <c r="CT31" s="216">
        <v>12.224061000676528</v>
      </c>
      <c r="CU31" s="216">
        <v>12.382399874886771</v>
      </c>
      <c r="CV31" s="216">
        <v>22.09574861116813</v>
      </c>
      <c r="CW31" s="4"/>
      <c r="CX31" s="4"/>
      <c r="CY31" s="4"/>
      <c r="CZ31" s="226"/>
      <c r="DA31" s="292"/>
      <c r="DB31" s="16" t="s">
        <v>52</v>
      </c>
      <c r="DC31" s="7">
        <v>205255.14275512146</v>
      </c>
      <c r="DD31" s="7">
        <v>266992.49386056478</v>
      </c>
      <c r="DE31" s="7">
        <v>-1739.0221894302958</v>
      </c>
      <c r="DF31" s="7">
        <v>-5670.5578559878049</v>
      </c>
      <c r="DG31" s="7">
        <v>-4312.4736299568613</v>
      </c>
      <c r="DH31" s="7">
        <v>-3909.5605707871728</v>
      </c>
      <c r="DI31" s="7">
        <v>-4068.9963131062686</v>
      </c>
      <c r="DJ31" s="7">
        <v>-5142.4955444009393</v>
      </c>
      <c r="DK31" s="7">
        <v>-5117.5031060017645</v>
      </c>
      <c r="DL31" s="7">
        <v>-5177.0829845638364</v>
      </c>
      <c r="DM31" s="7">
        <v>-4068.2264792598144</v>
      </c>
      <c r="DN31" s="7">
        <v>-4232.8072324906243</v>
      </c>
      <c r="DO31" s="7">
        <v>-5340.69566513272</v>
      </c>
      <c r="DP31" s="7">
        <v>-5868.7789868843975</v>
      </c>
      <c r="DQ31" s="7">
        <v>-4028.346306019288</v>
      </c>
      <c r="DR31" s="7">
        <v>-237.25413190646759</v>
      </c>
      <c r="DS31" s="7">
        <v>-166.23010078508014</v>
      </c>
      <c r="DT31" s="7">
        <v>-142.25106851507007</v>
      </c>
      <c r="DU31" s="7">
        <v>-159.26009272011834</v>
      </c>
      <c r="DV31" s="7">
        <v>-197.07120480569756</v>
      </c>
      <c r="DW31" s="7">
        <v>-201.35010807091749</v>
      </c>
      <c r="DX31" s="7">
        <v>-185.47873550330223</v>
      </c>
      <c r="DY31" s="7">
        <v>-157.35059217018897</v>
      </c>
      <c r="DZ31" s="7">
        <v>-168.49405363770165</v>
      </c>
      <c r="EA31" s="7">
        <v>-253.16123590957977</v>
      </c>
    </row>
    <row r="32" spans="1:131" s="3" customFormat="1" x14ac:dyDescent="0.25">
      <c r="A32" s="292"/>
      <c r="B32" s="16" t="s">
        <v>26</v>
      </c>
      <c r="C32" s="24"/>
      <c r="D32" s="24"/>
      <c r="E32" s="19">
        <v>0</v>
      </c>
      <c r="F32" s="19">
        <v>0</v>
      </c>
      <c r="G32" s="19">
        <v>17393.11</v>
      </c>
      <c r="H32" s="19">
        <v>264954.01</v>
      </c>
      <c r="I32" s="19">
        <v>347680.79</v>
      </c>
      <c r="J32" s="19">
        <v>348292.31</v>
      </c>
      <c r="K32" s="19">
        <v>325763.31</v>
      </c>
      <c r="L32" s="19">
        <v>246495.91999999998</v>
      </c>
      <c r="M32" s="19">
        <v>210020.45</v>
      </c>
      <c r="N32" s="19">
        <v>286405.52</v>
      </c>
      <c r="O32" s="19">
        <v>537350.65</v>
      </c>
      <c r="P32" s="19">
        <v>2380685.19</v>
      </c>
      <c r="Q32" s="19">
        <v>1978228.74</v>
      </c>
      <c r="R32" s="19">
        <f>+'M2 Allocations - TD'!Q55</f>
        <v>1865586.4</v>
      </c>
      <c r="S32" s="19">
        <f>+'M2 Allocations - TD'!R55</f>
        <v>1834668.9400000002</v>
      </c>
      <c r="T32" s="19">
        <f>+'M2 Allocations - TD'!S55</f>
        <v>2295880.5500000003</v>
      </c>
      <c r="U32" s="19">
        <f>+'M2 Allocations - TD'!T55</f>
        <v>2739739.71</v>
      </c>
      <c r="V32" s="19">
        <f>+'M2 Allocations - TD'!U55</f>
        <v>2810029.6700000004</v>
      </c>
      <c r="W32" s="19">
        <f>+'M2 Allocations - TD'!V55</f>
        <v>2397146.59</v>
      </c>
      <c r="X32" s="19">
        <f>+'M2 Allocations - TD'!W55</f>
        <v>2196198.75</v>
      </c>
      <c r="Y32" s="19">
        <f>+'M2 Allocations - TD'!X55</f>
        <v>1955310.19</v>
      </c>
      <c r="Z32" s="19">
        <f>+'M2 Allocations - TD'!Y55</f>
        <v>2272928.3199999998</v>
      </c>
      <c r="AA32" s="19">
        <f>+'M2 Allocations - TD'!Z55</f>
        <v>3133513.62</v>
      </c>
      <c r="AB32" s="19">
        <f>+'M2 Allocations - TD'!AA55</f>
        <v>2686519.32</v>
      </c>
      <c r="AC32" s="19">
        <f>+'M2 Allocations - TD'!AB55</f>
        <v>2253809.6800000002</v>
      </c>
      <c r="AD32" s="19">
        <f>+'M2 Allocations - TD'!AC55</f>
        <v>2191880.6200000006</v>
      </c>
      <c r="AE32" s="19">
        <f>+'M2 Allocations - TD'!AD55</f>
        <v>2008078.9100000001</v>
      </c>
      <c r="AF32" s="19">
        <f>+'M2 Allocations - TD'!AE55</f>
        <v>2628092.9099999997</v>
      </c>
      <c r="AG32" s="19">
        <f>+'M2 Allocations - TD'!AF55</f>
        <v>2927384.4800000004</v>
      </c>
      <c r="AH32" s="19">
        <f>+'M2 Allocations - TD'!AG55</f>
        <v>2713828.6699999995</v>
      </c>
      <c r="AI32" s="19">
        <f>+'M2 Allocations - TD'!AH55</f>
        <v>2656476.0999999996</v>
      </c>
      <c r="AJ32" s="19">
        <f>+'M2 Allocations - TD'!AI55</f>
        <v>2241568.5700000003</v>
      </c>
      <c r="AK32" s="19">
        <f>+'M2 Allocations - TD'!AJ55</f>
        <v>2050332.64</v>
      </c>
      <c r="AL32" s="19">
        <f>+'M2 Allocations - TD'!AK55</f>
        <v>2540211.56</v>
      </c>
      <c r="AM32" s="19">
        <f>+'M2 Allocations - TD'!AL55</f>
        <v>2758522.64</v>
      </c>
      <c r="AN32" s="19">
        <f>+'M2 Allocations - TD'!AM55</f>
        <v>3731846.29</v>
      </c>
      <c r="AO32" s="19">
        <f>+'M2 Allocations - TD'!AN55</f>
        <v>3504116.61</v>
      </c>
      <c r="AP32" s="19">
        <f>+'M2 Allocations - TD'!AO55</f>
        <v>2834702.33</v>
      </c>
      <c r="AQ32" s="19">
        <f>+'M2 Allocations - TD'!AP55</f>
        <v>2693990.7500000005</v>
      </c>
      <c r="AR32" s="19">
        <f>+'M2 Allocations - TD'!AQ55</f>
        <v>3224890.5700000003</v>
      </c>
      <c r="AV32" s="162"/>
      <c r="CB32" s="150"/>
      <c r="CC32" s="292"/>
      <c r="CD32" s="16" t="s">
        <v>14</v>
      </c>
      <c r="CE32" s="216">
        <v>-242.50889937081425</v>
      </c>
      <c r="CF32" s="216">
        <v>-436.91428608144611</v>
      </c>
      <c r="CG32" s="216">
        <v>-716.64694418082365</v>
      </c>
      <c r="CH32" s="216">
        <v>-1525.9451530127014</v>
      </c>
      <c r="CI32" s="216">
        <v>-116.0217407622076</v>
      </c>
      <c r="CJ32" s="216">
        <v>-88.705996086469412</v>
      </c>
      <c r="CK32" s="216">
        <v>-67.538492140136043</v>
      </c>
      <c r="CL32" s="4"/>
      <c r="CM32" s="4"/>
      <c r="CN32" s="292"/>
      <c r="CO32" s="16" t="s">
        <v>14</v>
      </c>
      <c r="CP32" s="216">
        <v>-377.33736981619228</v>
      </c>
      <c r="CQ32" s="216">
        <v>-724.75092990409667</v>
      </c>
      <c r="CR32" s="216">
        <v>-1249.7836904651219</v>
      </c>
      <c r="CS32" s="216">
        <v>-1961.0924560540766</v>
      </c>
      <c r="CT32" s="216">
        <v>-134.63781071349015</v>
      </c>
      <c r="CU32" s="216">
        <v>-96.677845829597487</v>
      </c>
      <c r="CV32" s="216">
        <v>-69.489126206503201</v>
      </c>
      <c r="CW32" s="4"/>
      <c r="CX32" s="4"/>
      <c r="CY32" s="4"/>
      <c r="CZ32" s="226"/>
      <c r="DA32" s="292"/>
      <c r="DB32" s="16" t="s">
        <v>13</v>
      </c>
      <c r="DC32" s="7">
        <v>-205255.14275512146</v>
      </c>
      <c r="DD32" s="7">
        <v>-266992.49386056478</v>
      </c>
      <c r="DE32" s="7">
        <v>1739.0221894302958</v>
      </c>
      <c r="DF32" s="7">
        <v>5670.5578559878049</v>
      </c>
      <c r="DG32" s="7">
        <v>4312.4736299568613</v>
      </c>
      <c r="DH32" s="7">
        <v>3909.5605707871728</v>
      </c>
      <c r="DI32" s="7">
        <v>4068.9963131062686</v>
      </c>
      <c r="DJ32" s="7">
        <v>5142.4955444009393</v>
      </c>
      <c r="DK32" s="7">
        <v>5117.5031060017645</v>
      </c>
      <c r="DL32" s="7">
        <v>5177.0829845638364</v>
      </c>
      <c r="DM32" s="7">
        <v>4068.2264792598144</v>
      </c>
      <c r="DN32" s="7">
        <v>4232.8072324906243</v>
      </c>
      <c r="DO32" s="7">
        <v>5340.69566513272</v>
      </c>
      <c r="DP32" s="7">
        <v>5868.7789868843975</v>
      </c>
      <c r="DQ32" s="7">
        <v>4028.346306019288</v>
      </c>
      <c r="DR32" s="7">
        <v>237.25413190646759</v>
      </c>
      <c r="DS32" s="7">
        <v>166.23010078508014</v>
      </c>
      <c r="DT32" s="7">
        <v>142.25106851507007</v>
      </c>
      <c r="DU32" s="7">
        <v>159.26009272011834</v>
      </c>
      <c r="DV32" s="7">
        <v>197.07120480569756</v>
      </c>
      <c r="DW32" s="7">
        <v>201.35010807091749</v>
      </c>
      <c r="DX32" s="7">
        <v>185.47873550330223</v>
      </c>
      <c r="DY32" s="126">
        <v>6106.3262235278762</v>
      </c>
      <c r="DZ32" s="7">
        <v>168.49405363770165</v>
      </c>
      <c r="EA32" s="7">
        <v>253.16123590957977</v>
      </c>
    </row>
    <row r="33" spans="1:133" s="3" customFormat="1" x14ac:dyDescent="0.25">
      <c r="A33" s="292"/>
      <c r="B33" s="16" t="s">
        <v>51</v>
      </c>
      <c r="C33" s="24"/>
      <c r="D33" s="24"/>
      <c r="E33" s="19"/>
      <c r="F33" s="19"/>
      <c r="G33" s="19"/>
      <c r="H33" s="19"/>
      <c r="I33" s="19"/>
      <c r="J33" s="19"/>
      <c r="K33" s="19"/>
      <c r="L33" s="19"/>
      <c r="M33" s="19"/>
      <c r="N33" s="19"/>
      <c r="O33" s="19">
        <f>+'MEEIA 2 calcs'!O18</f>
        <v>0</v>
      </c>
      <c r="P33" s="19">
        <f>+'MEEIA 2 calcs'!P18</f>
        <v>-1207876.0699999998</v>
      </c>
      <c r="Q33" s="19">
        <f>+'MEEIA 2 calcs'!Q18</f>
        <v>-991453.85</v>
      </c>
      <c r="R33" s="19">
        <f>+'MEEIA 2 calcs'!R18</f>
        <v>-942175.03</v>
      </c>
      <c r="S33" s="19">
        <f>+'MEEIA 2 calcs'!S18</f>
        <v>-924830.89</v>
      </c>
      <c r="T33" s="19">
        <f>+'MEEIA 2 calcs'!T18</f>
        <v>-1162964.6800000002</v>
      </c>
      <c r="U33" s="19">
        <f>+'MEEIA 2 calcs'!U18</f>
        <v>-1377616.51</v>
      </c>
      <c r="V33" s="19">
        <f>+'MEEIA 2 calcs'!V18</f>
        <v>-1419206.7000000002</v>
      </c>
      <c r="W33" s="19">
        <f>+'MEEIA 2 calcs'!W18</f>
        <v>-1209460.76</v>
      </c>
      <c r="X33" s="19">
        <f>+'MEEIA 2 calcs'!X18</f>
        <v>-1107295.8</v>
      </c>
      <c r="Y33" s="19">
        <f>+'MEEIA 2 calcs'!Y18</f>
        <v>-988276.53</v>
      </c>
      <c r="Z33" s="19">
        <f>+'MEEIA 2 calcs'!Z18</f>
        <v>-1145553.06</v>
      </c>
      <c r="AA33" s="19">
        <f>+'MEEIA 2 calcs'!AA18</f>
        <v>-1569459.38</v>
      </c>
      <c r="AB33" s="19">
        <f>+'MEEIA 2 calcs'!AB18</f>
        <v>231630.62999999998</v>
      </c>
      <c r="AC33" s="19">
        <f>+'MEEIA 2 calcs'!AC18</f>
        <v>87666.98000000001</v>
      </c>
      <c r="AD33" s="19">
        <f>+'MEEIA 2 calcs'!AD18</f>
        <v>85411.62</v>
      </c>
      <c r="AE33" s="19">
        <f>+'MEEIA 2 calcs'!AE18</f>
        <v>84463.6</v>
      </c>
      <c r="AF33" s="19">
        <f>+'MEEIA 2 calcs'!AF18</f>
        <v>105228.66999999998</v>
      </c>
      <c r="AG33" s="19">
        <f>+'MEEIA 2 calcs'!AG18</f>
        <v>100170.55</v>
      </c>
      <c r="AH33" s="19">
        <f>+'MEEIA 2 calcs'!AH18</f>
        <v>108068.86000000002</v>
      </c>
      <c r="AI33" s="19">
        <f>+'MEEIA 2 calcs'!AI18</f>
        <v>105313.19999999998</v>
      </c>
      <c r="AJ33" s="19">
        <f>+'MEEIA 2 calcs'!AJ18</f>
        <v>93009.289999999979</v>
      </c>
      <c r="AK33" s="19">
        <f>+'MEEIA 2 calcs'!AK18</f>
        <v>85572.94</v>
      </c>
      <c r="AL33" s="19">
        <f>+'MEEIA 2 calcs'!AL18</f>
        <v>97124.979999999981</v>
      </c>
      <c r="AM33" s="19">
        <f>+'MEEIA 2 calcs'!AM18</f>
        <v>105785.10999999999</v>
      </c>
      <c r="AN33" s="19">
        <f>+'MEEIA 2 calcs'!AN18</f>
        <v>181359.25</v>
      </c>
      <c r="AO33" s="19">
        <f>+'MEEIA 2 calcs'!AO18</f>
        <v>164712.29999999999</v>
      </c>
      <c r="AP33" s="19">
        <f>+'MEEIA 2 calcs'!AP18</f>
        <v>113525.45999999999</v>
      </c>
      <c r="AQ33" s="19">
        <f>+'MEEIA 2 calcs'!AQ18</f>
        <v>93935.329999999987</v>
      </c>
      <c r="AR33" s="19">
        <f>+'MEEIA 2 calcs'!AR18</f>
        <v>130300.17</v>
      </c>
      <c r="AV33" s="162"/>
      <c r="CB33" s="150"/>
      <c r="CC33" s="292"/>
      <c r="CD33" s="18" t="s">
        <v>16</v>
      </c>
      <c r="CE33" s="216">
        <v>-265528.47501163348</v>
      </c>
      <c r="CF33" s="216">
        <v>-167618.20929771493</v>
      </c>
      <c r="CG33" s="216">
        <v>-52250.696241895756</v>
      </c>
      <c r="CH33" s="216">
        <v>18919.668605091545</v>
      </c>
      <c r="CI33" s="216">
        <v>22733.656864329336</v>
      </c>
      <c r="CJ33" s="216">
        <v>26177.560868242865</v>
      </c>
      <c r="CK33" s="216">
        <v>29360.672376102728</v>
      </c>
      <c r="CL33" s="4"/>
      <c r="CM33" s="4"/>
      <c r="CN33" s="292"/>
      <c r="CO33" s="18" t="s">
        <v>16</v>
      </c>
      <c r="CP33" s="216">
        <v>-265663.30348207883</v>
      </c>
      <c r="CQ33" s="216">
        <v>-168040.87441198295</v>
      </c>
      <c r="CR33" s="216">
        <v>-53206.498102448066</v>
      </c>
      <c r="CS33" s="216">
        <v>17528.719441497858</v>
      </c>
      <c r="CT33" s="216">
        <v>21324.091630784369</v>
      </c>
      <c r="CU33" s="216">
        <v>24760.02378495477</v>
      </c>
      <c r="CV33" s="216">
        <v>27941.184658748269</v>
      </c>
      <c r="CW33" s="4"/>
      <c r="CX33" s="4"/>
      <c r="CY33" s="4"/>
      <c r="CZ33" s="226"/>
      <c r="DA33" s="292"/>
      <c r="DB33" s="17" t="s">
        <v>8</v>
      </c>
      <c r="DC33" s="8">
        <v>-569.72667885391422</v>
      </c>
      <c r="DD33" s="8">
        <v>-614.30479555992281</v>
      </c>
      <c r="DE33" s="8">
        <v>-669.84519243490524</v>
      </c>
      <c r="DF33" s="8">
        <v>-557.56489455284793</v>
      </c>
      <c r="DG33" s="8">
        <v>-545.54702596771358</v>
      </c>
      <c r="DH33" s="8">
        <v>-504.30609323968173</v>
      </c>
      <c r="DI33" s="8">
        <v>-407.38523366889325</v>
      </c>
      <c r="DJ33" s="8">
        <v>-239.80110286543649</v>
      </c>
      <c r="DK33" s="8">
        <v>-289.27978720617699</v>
      </c>
      <c r="DL33" s="8">
        <v>-214.0750237156893</v>
      </c>
      <c r="DM33" s="8">
        <v>-134.69084051732753</v>
      </c>
      <c r="DN33" s="8">
        <v>-107.37417049718839</v>
      </c>
      <c r="DO33" s="8">
        <v>-118.27922157568661</v>
      </c>
      <c r="DP33" s="8">
        <v>-31.894135766089558</v>
      </c>
      <c r="DQ33" s="8">
        <v>20.569134874610587</v>
      </c>
      <c r="DR33" s="8">
        <v>55.935073605531137</v>
      </c>
      <c r="DS33" s="8">
        <v>52.861887577390952</v>
      </c>
      <c r="DT33" s="8">
        <v>90.042233104237496</v>
      </c>
      <c r="DU33" s="8">
        <v>154.01854151257081</v>
      </c>
      <c r="DV33" s="8">
        <v>238.25013887866294</v>
      </c>
      <c r="DW33" s="8">
        <v>326.7088321027905</v>
      </c>
      <c r="DX33" s="8">
        <v>389.96325896842785</v>
      </c>
      <c r="DY33" s="8">
        <v>518.13257141092151</v>
      </c>
      <c r="DZ33" s="8">
        <v>668.48628600099914</v>
      </c>
      <c r="EA33" s="8">
        <v>768.16708288586085</v>
      </c>
      <c r="EB33" s="166">
        <f>SUM('MEEIA 2 calcs'!BJ32:CH32)</f>
        <v>-1967.59565378261</v>
      </c>
      <c r="EC33" s="166">
        <f>SUM(DC33:EA33)-EB33</f>
        <v>246.65649828314054</v>
      </c>
    </row>
    <row r="34" spans="1:133" s="3" customFormat="1" x14ac:dyDescent="0.25">
      <c r="A34" s="292"/>
      <c r="B34" s="16" t="s">
        <v>52</v>
      </c>
      <c r="C34" s="24"/>
      <c r="D34" s="24"/>
      <c r="E34" s="19"/>
      <c r="F34" s="19"/>
      <c r="G34" s="19"/>
      <c r="H34" s="19"/>
      <c r="I34" s="19"/>
      <c r="J34" s="19"/>
      <c r="K34" s="19"/>
      <c r="L34" s="19"/>
      <c r="M34" s="19"/>
      <c r="N34" s="19"/>
      <c r="O34" s="19">
        <f>+O32+O33</f>
        <v>537350.65</v>
      </c>
      <c r="P34" s="19">
        <f t="shared" ref="P34:AR34" si="7">+P32+P33</f>
        <v>1172809.1200000001</v>
      </c>
      <c r="Q34" s="19">
        <f t="shared" si="7"/>
        <v>986774.89</v>
      </c>
      <c r="R34" s="19">
        <f t="shared" si="7"/>
        <v>923411.36999999988</v>
      </c>
      <c r="S34" s="19">
        <f t="shared" si="7"/>
        <v>909838.05000000016</v>
      </c>
      <c r="T34" s="19">
        <f t="shared" si="7"/>
        <v>1132915.8700000001</v>
      </c>
      <c r="U34" s="19">
        <f t="shared" si="7"/>
        <v>1362123.2</v>
      </c>
      <c r="V34" s="19">
        <f t="shared" si="7"/>
        <v>1390822.9700000002</v>
      </c>
      <c r="W34" s="19">
        <f t="shared" si="7"/>
        <v>1187685.8299999998</v>
      </c>
      <c r="X34" s="19">
        <f t="shared" si="7"/>
        <v>1088902.95</v>
      </c>
      <c r="Y34" s="19">
        <f t="shared" si="7"/>
        <v>967033.65999999992</v>
      </c>
      <c r="Z34" s="19">
        <f t="shared" si="7"/>
        <v>1127375.2599999998</v>
      </c>
      <c r="AA34" s="19">
        <f t="shared" si="7"/>
        <v>1564054.2400000002</v>
      </c>
      <c r="AB34" s="19">
        <f t="shared" si="7"/>
        <v>2918149.9499999997</v>
      </c>
      <c r="AC34" s="19">
        <f t="shared" si="7"/>
        <v>2341476.66</v>
      </c>
      <c r="AD34" s="19">
        <f t="shared" si="7"/>
        <v>2277292.2400000007</v>
      </c>
      <c r="AE34" s="19">
        <f t="shared" si="7"/>
        <v>2092542.5100000002</v>
      </c>
      <c r="AF34" s="19">
        <f t="shared" si="7"/>
        <v>2733321.5799999996</v>
      </c>
      <c r="AG34" s="19">
        <f t="shared" si="7"/>
        <v>3027555.0300000003</v>
      </c>
      <c r="AH34" s="19">
        <f t="shared" si="7"/>
        <v>2821897.5299999993</v>
      </c>
      <c r="AI34" s="19">
        <f t="shared" si="7"/>
        <v>2761789.3</v>
      </c>
      <c r="AJ34" s="19">
        <f t="shared" si="7"/>
        <v>2334577.8600000003</v>
      </c>
      <c r="AK34" s="19">
        <f t="shared" si="7"/>
        <v>2135905.58</v>
      </c>
      <c r="AL34" s="19">
        <f t="shared" si="7"/>
        <v>2637336.54</v>
      </c>
      <c r="AM34" s="19">
        <f t="shared" si="7"/>
        <v>2864307.75</v>
      </c>
      <c r="AN34" s="19">
        <f t="shared" si="7"/>
        <v>3913205.54</v>
      </c>
      <c r="AO34" s="19">
        <f t="shared" si="7"/>
        <v>3668828.9099999997</v>
      </c>
      <c r="AP34" s="19">
        <f t="shared" si="7"/>
        <v>2948227.79</v>
      </c>
      <c r="AQ34" s="19">
        <f t="shared" si="7"/>
        <v>2787926.0800000005</v>
      </c>
      <c r="AR34" s="19">
        <f t="shared" si="7"/>
        <v>3355190.74</v>
      </c>
      <c r="AV34" s="162"/>
      <c r="CB34" s="150"/>
      <c r="CC34" s="40"/>
      <c r="CD34" s="11"/>
      <c r="CE34" s="2"/>
      <c r="CF34" s="2"/>
      <c r="CG34" s="2"/>
      <c r="CH34" s="2"/>
      <c r="CI34" s="2"/>
      <c r="CJ34" s="2"/>
      <c r="CK34" s="2"/>
      <c r="CL34" s="4"/>
      <c r="CM34" s="4"/>
      <c r="CN34" s="40"/>
      <c r="CO34" s="11"/>
      <c r="CP34" s="2"/>
      <c r="CQ34" s="2"/>
      <c r="CR34" s="2"/>
      <c r="CS34" s="2"/>
      <c r="CT34" s="2"/>
      <c r="CU34" s="2"/>
      <c r="CV34" s="2"/>
      <c r="CW34" s="4"/>
      <c r="CX34" s="4"/>
      <c r="CY34" s="4"/>
      <c r="CZ34" s="226"/>
      <c r="DA34" s="292"/>
      <c r="DB34" s="16" t="s">
        <v>14</v>
      </c>
      <c r="DC34" s="7">
        <v>-205824.86943397537</v>
      </c>
      <c r="DD34" s="7">
        <v>-267606.79865612468</v>
      </c>
      <c r="DE34" s="7">
        <v>1069.1769969953907</v>
      </c>
      <c r="DF34" s="7">
        <v>5112.9929614349567</v>
      </c>
      <c r="DG34" s="7">
        <v>3766.9266039891477</v>
      </c>
      <c r="DH34" s="7">
        <v>3405.2544775474912</v>
      </c>
      <c r="DI34" s="7">
        <v>3661.6110794373753</v>
      </c>
      <c r="DJ34" s="7">
        <v>4902.6944415355028</v>
      </c>
      <c r="DK34" s="7">
        <v>4828.2233187955871</v>
      </c>
      <c r="DL34" s="7">
        <v>4963.0079608481474</v>
      </c>
      <c r="DM34" s="7">
        <v>3933.5356387424868</v>
      </c>
      <c r="DN34" s="7">
        <v>4125.4330619934362</v>
      </c>
      <c r="DO34" s="7">
        <v>5222.4164435570337</v>
      </c>
      <c r="DP34" s="7">
        <v>5836.8848511183078</v>
      </c>
      <c r="DQ34" s="7">
        <v>4048.9154408938984</v>
      </c>
      <c r="DR34" s="7">
        <v>293.18920551199875</v>
      </c>
      <c r="DS34" s="7">
        <v>219.09198836247108</v>
      </c>
      <c r="DT34" s="7">
        <v>232.29330161930756</v>
      </c>
      <c r="DU34" s="7">
        <v>313.27863423268911</v>
      </c>
      <c r="DV34" s="7">
        <v>435.3213436843605</v>
      </c>
      <c r="DW34" s="7">
        <v>528.05894017370792</v>
      </c>
      <c r="DX34" s="7">
        <v>575.44199447173014</v>
      </c>
      <c r="DY34" s="7">
        <v>6624.4587949387978</v>
      </c>
      <c r="DZ34" s="7">
        <v>836.9803396387008</v>
      </c>
      <c r="EA34" s="7">
        <v>1021.3283187954406</v>
      </c>
    </row>
    <row r="35" spans="1:133" s="3" customFormat="1" x14ac:dyDescent="0.25">
      <c r="A35" s="292"/>
      <c r="B35" s="16" t="s">
        <v>13</v>
      </c>
      <c r="C35" s="24"/>
      <c r="D35" s="24"/>
      <c r="E35" s="19">
        <f>+E31-E32</f>
        <v>0</v>
      </c>
      <c r="F35" s="19">
        <f t="shared" ref="F35:N35" si="8">+F31-F32</f>
        <v>1315.62</v>
      </c>
      <c r="G35" s="19">
        <f t="shared" si="8"/>
        <v>-7845.34</v>
      </c>
      <c r="H35" s="19">
        <f t="shared" si="8"/>
        <v>-133117.46000000002</v>
      </c>
      <c r="I35" s="19">
        <f t="shared" si="8"/>
        <v>-52067.539999999979</v>
      </c>
      <c r="J35" s="19">
        <f t="shared" si="8"/>
        <v>272024.17999999988</v>
      </c>
      <c r="K35" s="19">
        <f t="shared" si="8"/>
        <v>229634.89999999985</v>
      </c>
      <c r="L35" s="19">
        <f t="shared" si="8"/>
        <v>-47981.549999999872</v>
      </c>
      <c r="M35" s="19">
        <f t="shared" si="8"/>
        <v>67456.509999999893</v>
      </c>
      <c r="N35" s="19">
        <f t="shared" si="8"/>
        <v>148461.88</v>
      </c>
      <c r="O35" s="19">
        <f>+O31-O34</f>
        <v>-28891.249999999884</v>
      </c>
      <c r="P35" s="19">
        <f t="shared" ref="P35:AR35" si="9">+P31-P34</f>
        <v>-682063.62999999989</v>
      </c>
      <c r="Q35" s="19">
        <f t="shared" si="9"/>
        <v>-459298.66999999993</v>
      </c>
      <c r="R35" s="19">
        <f t="shared" si="9"/>
        <v>-664457.84999999963</v>
      </c>
      <c r="S35" s="19">
        <f t="shared" si="9"/>
        <v>-515527.16000000038</v>
      </c>
      <c r="T35" s="19">
        <f t="shared" si="9"/>
        <v>209343.54000000004</v>
      </c>
      <c r="U35" s="19">
        <f t="shared" si="9"/>
        <v>600365.73000000021</v>
      </c>
      <c r="V35" s="19">
        <f t="shared" si="9"/>
        <v>710042.75999999978</v>
      </c>
      <c r="W35" s="19">
        <f t="shared" si="9"/>
        <v>462066.25000000047</v>
      </c>
      <c r="X35" s="19">
        <f t="shared" si="9"/>
        <v>-337281.80000000016</v>
      </c>
      <c r="Y35" s="19">
        <f t="shared" si="9"/>
        <v>-125573.25000000023</v>
      </c>
      <c r="Z35" s="19">
        <f t="shared" si="9"/>
        <v>-41740.439999999246</v>
      </c>
      <c r="AA35" s="19">
        <f t="shared" si="9"/>
        <v>-380931.17000000086</v>
      </c>
      <c r="AB35" s="19">
        <f t="shared" si="9"/>
        <v>-1876914.1500000008</v>
      </c>
      <c r="AC35" s="19">
        <f t="shared" si="9"/>
        <v>-1228050.2300000007</v>
      </c>
      <c r="AD35" s="19">
        <f t="shared" si="9"/>
        <v>-1219951.1200000013</v>
      </c>
      <c r="AE35" s="19">
        <f t="shared" si="9"/>
        <v>-671692.60000000056</v>
      </c>
      <c r="AF35" s="19">
        <f t="shared" si="9"/>
        <v>1065780.7700000019</v>
      </c>
      <c r="AG35" s="19">
        <f t="shared" si="9"/>
        <v>2101251.1499999994</v>
      </c>
      <c r="AH35" s="19">
        <f t="shared" si="9"/>
        <v>1875589.2400000012</v>
      </c>
      <c r="AI35" s="19">
        <f t="shared" si="9"/>
        <v>815488.29</v>
      </c>
      <c r="AJ35" s="19">
        <f t="shared" si="9"/>
        <v>-782266.46999999974</v>
      </c>
      <c r="AK35" s="19">
        <f t="shared" si="9"/>
        <v>-574939.70000000182</v>
      </c>
      <c r="AL35" s="19">
        <f t="shared" si="9"/>
        <v>-734837.75999999931</v>
      </c>
      <c r="AM35" s="19">
        <f t="shared" si="9"/>
        <v>-819761.01999999909</v>
      </c>
      <c r="AN35" s="19">
        <f t="shared" si="9"/>
        <v>-2093981.8099999984</v>
      </c>
      <c r="AO35" s="19">
        <f t="shared" si="9"/>
        <v>-1676870.5900000015</v>
      </c>
      <c r="AP35" s="19">
        <f t="shared" si="9"/>
        <v>-1096171.4599999983</v>
      </c>
      <c r="AQ35" s="19">
        <f t="shared" si="9"/>
        <v>-383726.46000000229</v>
      </c>
      <c r="AR35" s="19">
        <f t="shared" si="9"/>
        <v>2725438.5100000016</v>
      </c>
      <c r="AV35" s="162"/>
      <c r="CB35" s="150"/>
      <c r="CC35" s="292" t="s">
        <v>22</v>
      </c>
      <c r="CD35" s="15"/>
      <c r="CE35" s="2"/>
      <c r="CF35" s="2"/>
      <c r="CG35" s="2"/>
      <c r="CH35" s="2"/>
      <c r="CI35" s="2"/>
      <c r="CJ35" s="2"/>
      <c r="CK35" s="2"/>
      <c r="CL35" s="4"/>
      <c r="CM35" s="4"/>
      <c r="CN35" s="292" t="s">
        <v>22</v>
      </c>
      <c r="CO35" s="15"/>
      <c r="CP35" s="2"/>
      <c r="CQ35" s="2"/>
      <c r="CR35" s="2"/>
      <c r="CS35" s="2"/>
      <c r="CT35" s="2"/>
      <c r="CU35" s="2"/>
      <c r="CV35" s="2"/>
      <c r="CW35" s="4"/>
      <c r="CX35" s="4"/>
      <c r="CY35" s="4"/>
      <c r="CZ35" s="226"/>
      <c r="DA35" s="292"/>
      <c r="DB35" s="18" t="s">
        <v>15</v>
      </c>
      <c r="DC35" s="7">
        <v>-3418929.7998023392</v>
      </c>
      <c r="DD35" s="7">
        <v>-3576675.8684584638</v>
      </c>
      <c r="DE35" s="7">
        <v>-3462148.6814614683</v>
      </c>
      <c r="DF35" s="7">
        <v>-3131859.7985000336</v>
      </c>
      <c r="DG35" s="7">
        <v>-2908539.9818960442</v>
      </c>
      <c r="DH35" s="7">
        <v>-2698867.5074184965</v>
      </c>
      <c r="DI35" s="7">
        <v>-2424610.0263390592</v>
      </c>
      <c r="DJ35" s="7">
        <v>-2062320.6718975238</v>
      </c>
      <c r="DK35" s="7">
        <v>-1692817.0085787282</v>
      </c>
      <c r="DL35" s="7">
        <v>-1329645.5306178802</v>
      </c>
      <c r="DM35" s="7">
        <v>-1077661.4149791377</v>
      </c>
      <c r="DN35" s="7">
        <v>-841108.9119171442</v>
      </c>
      <c r="DO35" s="7">
        <v>-545049.8854735872</v>
      </c>
      <c r="DP35" s="7">
        <v>-163277.63062246889</v>
      </c>
      <c r="DQ35" s="7">
        <v>83451.514818425028</v>
      </c>
      <c r="DR35" s="7">
        <v>97575.154023937022</v>
      </c>
      <c r="DS35" s="7">
        <v>105703.3860122995</v>
      </c>
      <c r="DT35" s="7">
        <v>113862.92931391881</v>
      </c>
      <c r="DU35" s="7">
        <v>124540.90794815149</v>
      </c>
      <c r="DV35" s="7">
        <v>139248.09929183585</v>
      </c>
      <c r="DW35" s="7">
        <v>153229.33823200956</v>
      </c>
      <c r="DX35" s="7">
        <v>165064.83022648128</v>
      </c>
      <c r="DY35" s="7">
        <v>179693.22902142009</v>
      </c>
      <c r="DZ35" s="7">
        <v>187827.8893610588</v>
      </c>
      <c r="EA35" s="7">
        <v>200395.65767985425</v>
      </c>
    </row>
    <row r="36" spans="1:133" s="3" customFormat="1" x14ac:dyDescent="0.25">
      <c r="A36" s="292"/>
      <c r="B36" s="17" t="s">
        <v>8</v>
      </c>
      <c r="C36" s="28"/>
      <c r="D36" s="28"/>
      <c r="E36" s="19">
        <f>+(D39+E35)*'MEEIA 2 calcs'!E9/12</f>
        <v>0</v>
      </c>
      <c r="F36" s="19">
        <f>+(E39+F35)*'MEEIA 2 calcs'!F9/12</f>
        <v>0.81740457315000004</v>
      </c>
      <c r="G36" s="19">
        <f>+(F39+G35)*'MEEIA 2 calcs'!G9/12</f>
        <v>-4.1120878401733671</v>
      </c>
      <c r="H36" s="19">
        <f>+(G39+H35)*'MEEIA 2 calcs'!H9/12</f>
        <v>-72.888470503810979</v>
      </c>
      <c r="I36" s="19">
        <f>+(H39+I35)*'MEEIA 2 calcs'!I9/12</f>
        <v>-100.53727091046454</v>
      </c>
      <c r="J36" s="19">
        <f>+(I39+J35)*'MEEIA 2 calcs'!J9/12</f>
        <v>51.055640138452524</v>
      </c>
      <c r="K36" s="19">
        <f>+(J39+K35)*'MEEIA 2 calcs'!K9/12</f>
        <v>195.04628353960507</v>
      </c>
      <c r="L36" s="19">
        <f>+(K39+L35)*'MEEIA 2 calcs'!L9/12</f>
        <v>165.9908425098269</v>
      </c>
      <c r="M36" s="19">
        <f>+(L39+M35)*'MEEIA 2 calcs'!M9/12</f>
        <v>209.91998739941698</v>
      </c>
      <c r="N36" s="19">
        <f>+(M39+N35)*'MEEIA 2 calcs'!N9/12</f>
        <v>383.53972018736869</v>
      </c>
      <c r="O36" s="19">
        <f>+(N39+O35)*'MEEIA 2 calcs'!O9/12</f>
        <v>337.36408653681991</v>
      </c>
      <c r="P36" s="19">
        <f>+(O39+P35+P33+P30)*'MEEIA 2 calcs'!P9/12</f>
        <v>9076.6036423770038</v>
      </c>
      <c r="Q36" s="19">
        <f>+(P39+Q35+Q33+Q30)*'MEEIA 2 calcs'!Q9/12</f>
        <v>10216.276345416782</v>
      </c>
      <c r="R36" s="19">
        <f>+(Q39+R35+R33+R30)*'MEEIA 2 calcs'!R9/12</f>
        <v>8686.3771002478079</v>
      </c>
      <c r="S36" s="19">
        <f>+(R39+S35+S33+S30)*'MEEIA 2 calcs'!S9/12</f>
        <v>7314.3584137188782</v>
      </c>
      <c r="T36" s="19">
        <f>+(S39+T35+T33+T30)*'MEEIA 2 calcs'!T9/12</f>
        <v>7856.1289780218758</v>
      </c>
      <c r="U36" s="19">
        <f>+(T39+U35+U33+U30)*'MEEIA 2 calcs'!U9/12</f>
        <v>6862.6005905357752</v>
      </c>
      <c r="V36" s="19">
        <f>+(U39+V35+V33+V30)*'MEEIA 2 calcs'!V9/12</f>
        <v>6374.4645350234823</v>
      </c>
      <c r="W36" s="19">
        <f>+(V39+W35+W33+W30)*'MEEIA 2 calcs'!W9/12</f>
        <v>5398.8726272971644</v>
      </c>
      <c r="X36" s="19">
        <f>+(W39+X35+X33+X30)*'MEEIA 2 calcs'!X9/12</f>
        <v>3668.3903488622923</v>
      </c>
      <c r="Y36" s="19">
        <f>+(X39+Y35+Y33+Y30)*'MEEIA 2 calcs'!Y9/12</f>
        <v>2313.3890565334823</v>
      </c>
      <c r="Z36" s="19">
        <f>+(Y39+Z35+Z33+Z30)*'MEEIA 2 calcs'!Z9/12</f>
        <v>1092.2218515735174</v>
      </c>
      <c r="AA36" s="19">
        <f>+(Z39+AA35+AA33+AA30)*'MEEIA 2 calcs'!AA9/12</f>
        <v>-1730.0916849366415</v>
      </c>
      <c r="AB36" s="19">
        <f>+(AA39+AB35+AB33+AB30)*'MEEIA 2 calcs'!AB9/12</f>
        <v>-4351.5884484099142</v>
      </c>
      <c r="AC36" s="19">
        <f>+(AB39+AC35+AC33+AC30)*'MEEIA 2 calcs'!AC9/12</f>
        <v>-6849.9712319403661</v>
      </c>
      <c r="AD36" s="19">
        <f>+(AC39+AD35+AD33+AD30)*'MEEIA 2 calcs'!AD9/12</f>
        <v>-9906.2199792734245</v>
      </c>
      <c r="AE36" s="19">
        <f>+(AD39+AE35+AE33+AE30)*'MEEIA 2 calcs'!AE9/12</f>
        <v>-10518.596470181234</v>
      </c>
      <c r="AF36" s="19">
        <f>+(AE39+AF35+AF33+AF30)*'MEEIA 2 calcs'!AF9/12</f>
        <v>-8700.4568393734316</v>
      </c>
      <c r="AG36" s="19">
        <f>+(AF39+AG35+AG33+AG30)*'MEEIA 2 calcs'!AG9/12</f>
        <v>-4669.5918585107474</v>
      </c>
      <c r="AH36" s="19">
        <f>+(AG39+AH35+AH33+AH30)*'MEEIA 2 calcs'!AH9/12</f>
        <v>-791.3491249462927</v>
      </c>
      <c r="AI36" s="19">
        <f>+(AH39+AI35+AI33+AI30)*'MEEIA 2 calcs'!AI9/12</f>
        <v>993.01159523930812</v>
      </c>
      <c r="AJ36" s="19">
        <f>+(AI39+AJ35+AJ33+AJ30)*'MEEIA 2 calcs'!AJ9/12</f>
        <v>-361.67784872719307</v>
      </c>
      <c r="AK36" s="19">
        <f>+(AJ39+AK35+AK33+AK30)*'MEEIA 2 calcs'!AK9/12</f>
        <v>-1403.27042635164</v>
      </c>
      <c r="AL36" s="19">
        <f>+(AK39+AL35+AL33+AL30)*'MEEIA 2 calcs'!AL9/12</f>
        <v>-2996.657001182999</v>
      </c>
      <c r="AM36" s="19">
        <f>+(AL39+AM35+AM33+AM30)*'MEEIA 2 calcs'!AM9/12</f>
        <v>-4836.4667881191972</v>
      </c>
      <c r="AN36" s="19">
        <f>+(AM39+AN35+AN33+AN30)*'MEEIA 2 calcs'!AN9/12</f>
        <v>-9325.6901584176212</v>
      </c>
      <c r="AO36" s="19">
        <f>+(AN39+AO35+AO33+AO30)*'MEEIA 2 calcs'!AO9/12</f>
        <v>-12687.750328235825</v>
      </c>
      <c r="AP36" s="19">
        <f>+(AO39+AP35+AP33+AP30)*'MEEIA 2 calcs'!AP9/12</f>
        <v>-14324.604336454917</v>
      </c>
      <c r="AQ36" s="19">
        <f>+(AP39+AQ35+AQ33+AQ30)*'MEEIA 2 calcs'!AQ9/12</f>
        <v>-15084.304300307596</v>
      </c>
      <c r="AR36" s="19">
        <f>+(AQ39+AR35+AR33+AR30)*'MEEIA 2 calcs'!AR9/12</f>
        <v>-8657.226352239104</v>
      </c>
      <c r="AS36" s="103" t="s">
        <v>84</v>
      </c>
      <c r="AT36" s="103" t="s">
        <v>85</v>
      </c>
      <c r="AV36" s="162"/>
      <c r="CB36" s="150"/>
      <c r="CC36" s="292"/>
      <c r="CD36" s="15" t="s">
        <v>28</v>
      </c>
      <c r="CE36" s="216">
        <v>9312.6499999985099</v>
      </c>
      <c r="CF36" s="216">
        <v>11751.719999998808</v>
      </c>
      <c r="CG36" s="216">
        <v>12005.310000002384</v>
      </c>
      <c r="CH36" s="216">
        <v>10126.529999997467</v>
      </c>
      <c r="CI36" s="216">
        <v>0</v>
      </c>
      <c r="CJ36" s="216">
        <v>0</v>
      </c>
      <c r="CK36" s="216">
        <v>0</v>
      </c>
      <c r="CL36" s="4"/>
      <c r="CM36" s="4"/>
      <c r="CN36" s="292"/>
      <c r="CO36" s="15" t="s">
        <v>28</v>
      </c>
      <c r="CP36" s="216">
        <v>9312.6499999985099</v>
      </c>
      <c r="CQ36" s="216">
        <v>11751.719999998808</v>
      </c>
      <c r="CR36" s="216">
        <v>12005.310000002384</v>
      </c>
      <c r="CS36" s="216">
        <v>10126.529999997467</v>
      </c>
      <c r="CT36" s="216">
        <v>0</v>
      </c>
      <c r="CU36" s="216">
        <v>0</v>
      </c>
      <c r="CV36" s="216">
        <v>0</v>
      </c>
      <c r="CW36" s="4"/>
      <c r="CX36" s="4"/>
      <c r="CY36" s="4"/>
      <c r="CZ36" s="226"/>
      <c r="DA36" s="40"/>
      <c r="DB36" s="11"/>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row>
    <row r="37" spans="1:133" s="3" customFormat="1" x14ac:dyDescent="0.25">
      <c r="A37" s="292"/>
      <c r="B37" s="17" t="s">
        <v>27</v>
      </c>
      <c r="C37" s="28"/>
      <c r="D37" s="28"/>
      <c r="E37" s="19">
        <f>+E36</f>
        <v>0</v>
      </c>
      <c r="F37" s="14">
        <f>+E37+F36</f>
        <v>0.81740457315000004</v>
      </c>
      <c r="G37" s="14">
        <f t="shared" ref="G37:AR37" si="10">+F37+G36</f>
        <v>-3.294683267023367</v>
      </c>
      <c r="H37" s="14">
        <f t="shared" si="10"/>
        <v>-76.183153770834352</v>
      </c>
      <c r="I37" s="14">
        <f t="shared" si="10"/>
        <v>-176.72042468129888</v>
      </c>
      <c r="J37" s="14">
        <f t="shared" si="10"/>
        <v>-125.66478454284635</v>
      </c>
      <c r="K37" s="14">
        <f t="shared" si="10"/>
        <v>69.381498996758722</v>
      </c>
      <c r="L37" s="14">
        <f t="shared" si="10"/>
        <v>235.37234150658563</v>
      </c>
      <c r="M37" s="14">
        <f t="shared" si="10"/>
        <v>445.29232890600258</v>
      </c>
      <c r="N37" s="14">
        <f t="shared" si="10"/>
        <v>828.83204909337132</v>
      </c>
      <c r="O37" s="14">
        <f t="shared" si="10"/>
        <v>1166.1961356301913</v>
      </c>
      <c r="P37" s="14">
        <f t="shared" si="10"/>
        <v>10242.799778007195</v>
      </c>
      <c r="Q37" s="14">
        <f t="shared" si="10"/>
        <v>20459.076123423976</v>
      </c>
      <c r="R37" s="14">
        <f t="shared" si="10"/>
        <v>29145.453223671786</v>
      </c>
      <c r="S37" s="14">
        <f t="shared" si="10"/>
        <v>36459.811637390667</v>
      </c>
      <c r="T37" s="14">
        <f t="shared" si="10"/>
        <v>44315.940615412546</v>
      </c>
      <c r="U37" s="14">
        <f t="shared" si="10"/>
        <v>51178.541205948321</v>
      </c>
      <c r="V37" s="14">
        <f t="shared" si="10"/>
        <v>57553.005740971799</v>
      </c>
      <c r="W37" s="14">
        <f t="shared" si="10"/>
        <v>62951.878368268961</v>
      </c>
      <c r="X37" s="14">
        <f t="shared" si="10"/>
        <v>66620.268717131257</v>
      </c>
      <c r="Y37" s="14">
        <f t="shared" si="10"/>
        <v>68933.657773664745</v>
      </c>
      <c r="Z37" s="14">
        <f t="shared" si="10"/>
        <v>70025.87962523826</v>
      </c>
      <c r="AA37" s="14">
        <f t="shared" si="10"/>
        <v>68295.787940301612</v>
      </c>
      <c r="AB37" s="14">
        <f t="shared" si="10"/>
        <v>63944.199491891697</v>
      </c>
      <c r="AC37" s="14">
        <f t="shared" si="10"/>
        <v>57094.228259951327</v>
      </c>
      <c r="AD37" s="14">
        <f t="shared" si="10"/>
        <v>47188.008280677903</v>
      </c>
      <c r="AE37" s="14">
        <f t="shared" si="10"/>
        <v>36669.411810496669</v>
      </c>
      <c r="AF37" s="14">
        <f t="shared" si="10"/>
        <v>27968.954971123239</v>
      </c>
      <c r="AG37" s="14">
        <f t="shared" si="10"/>
        <v>23299.363112612493</v>
      </c>
      <c r="AH37" s="14">
        <f t="shared" si="10"/>
        <v>22508.0139876662</v>
      </c>
      <c r="AI37" s="14">
        <f t="shared" si="10"/>
        <v>23501.02558290551</v>
      </c>
      <c r="AJ37" s="14">
        <f t="shared" si="10"/>
        <v>23139.347734178318</v>
      </c>
      <c r="AK37" s="14">
        <f t="shared" si="10"/>
        <v>21736.077307826679</v>
      </c>
      <c r="AL37" s="14">
        <f t="shared" si="10"/>
        <v>18739.420306643682</v>
      </c>
      <c r="AM37" s="14">
        <f t="shared" si="10"/>
        <v>13902.953518524486</v>
      </c>
      <c r="AN37" s="14">
        <f t="shared" si="10"/>
        <v>4577.2633601068646</v>
      </c>
      <c r="AO37" s="14">
        <f t="shared" si="10"/>
        <v>-8110.4869681289601</v>
      </c>
      <c r="AP37" s="14">
        <f t="shared" si="10"/>
        <v>-22435.091304583875</v>
      </c>
      <c r="AQ37" s="14">
        <f t="shared" si="10"/>
        <v>-37519.39560489147</v>
      </c>
      <c r="AR37" s="14">
        <f t="shared" si="10"/>
        <v>-46176.62195713057</v>
      </c>
      <c r="AS37" s="104">
        <f>+'MEEIA 2 calcs'!AR22</f>
        <v>-36524.301393109679</v>
      </c>
      <c r="AT37" s="105">
        <f>+AR37-AS37</f>
        <v>-9652.3205640208907</v>
      </c>
      <c r="AV37" s="162"/>
      <c r="CB37" s="151"/>
      <c r="CC37" s="292"/>
      <c r="CD37" s="16" t="s">
        <v>26</v>
      </c>
      <c r="CE37" s="216">
        <v>-109523.64277962862</v>
      </c>
      <c r="CF37" s="216">
        <v>-119570.42005814648</v>
      </c>
      <c r="CG37" s="216">
        <v>-127589.09913487616</v>
      </c>
      <c r="CH37" s="216">
        <v>-90032.567630487814</v>
      </c>
      <c r="CI37" s="216">
        <v>-29850.366428408659</v>
      </c>
      <c r="CJ37" s="216">
        <v>-27677.731835119779</v>
      </c>
      <c r="CK37" s="216">
        <v>-28367.49080792554</v>
      </c>
      <c r="CL37" s="2"/>
      <c r="CM37" s="2"/>
      <c r="CN37" s="292"/>
      <c r="CO37" s="16" t="s">
        <v>26</v>
      </c>
      <c r="CP37" s="216">
        <v>-109213.44913716688</v>
      </c>
      <c r="CQ37" s="216">
        <v>-118950.08683599679</v>
      </c>
      <c r="CR37" s="216">
        <v>-126522.54456751024</v>
      </c>
      <c r="CS37" s="216">
        <v>-89191.627690175315</v>
      </c>
      <c r="CT37" s="216">
        <v>-29813.934940734485</v>
      </c>
      <c r="CU37" s="216">
        <v>-27661.804594547866</v>
      </c>
      <c r="CV37" s="216">
        <v>-28365.583171593844</v>
      </c>
      <c r="CW37" s="2"/>
      <c r="CX37" s="2"/>
      <c r="CY37" s="2"/>
      <c r="CZ37" s="226"/>
      <c r="DA37" s="292" t="s">
        <v>21</v>
      </c>
      <c r="DB37" s="15"/>
      <c r="DC37" s="7"/>
      <c r="DD37" s="7"/>
      <c r="DE37" s="7"/>
      <c r="DF37" s="7"/>
      <c r="DG37" s="7"/>
      <c r="DH37" s="7"/>
      <c r="DI37" s="7"/>
      <c r="DJ37" s="7"/>
      <c r="DK37" s="7"/>
      <c r="DL37" s="7"/>
      <c r="DM37" s="7"/>
      <c r="DN37" s="7"/>
      <c r="DO37" s="7"/>
      <c r="DP37" s="7"/>
      <c r="DQ37" s="7"/>
      <c r="DR37" s="7"/>
      <c r="DS37" s="7"/>
      <c r="DT37" s="7"/>
      <c r="DU37" s="7"/>
      <c r="DV37" s="7"/>
      <c r="DW37" s="7"/>
      <c r="DX37" s="7"/>
      <c r="DY37" s="126">
        <v>-1416.2097759493299</v>
      </c>
      <c r="DZ37" s="7"/>
      <c r="EA37" s="7"/>
    </row>
    <row r="38" spans="1:133" s="3" customFormat="1" x14ac:dyDescent="0.25">
      <c r="A38" s="292"/>
      <c r="B38" s="16" t="s">
        <v>14</v>
      </c>
      <c r="C38" s="24"/>
      <c r="D38" s="24"/>
      <c r="E38" s="19">
        <f>+E35+E36</f>
        <v>0</v>
      </c>
      <c r="F38" s="19">
        <f t="shared" ref="F38:AR38" si="11">+F35+F36</f>
        <v>1316.4374045731499</v>
      </c>
      <c r="G38" s="19">
        <f t="shared" si="11"/>
        <v>-7849.4520878401736</v>
      </c>
      <c r="H38" s="19">
        <f t="shared" si="11"/>
        <v>-133190.34847050384</v>
      </c>
      <c r="I38" s="19">
        <f t="shared" si="11"/>
        <v>-52168.077270910442</v>
      </c>
      <c r="J38" s="19">
        <f t="shared" si="11"/>
        <v>272075.23564013833</v>
      </c>
      <c r="K38" s="19">
        <f t="shared" si="11"/>
        <v>229829.94628353947</v>
      </c>
      <c r="L38" s="19">
        <f t="shared" si="11"/>
        <v>-47815.559157490046</v>
      </c>
      <c r="M38" s="19">
        <f t="shared" si="11"/>
        <v>67666.429987399315</v>
      </c>
      <c r="N38" s="19">
        <f t="shared" si="11"/>
        <v>148845.41972018738</v>
      </c>
      <c r="O38" s="19">
        <f t="shared" si="11"/>
        <v>-28553.885913463062</v>
      </c>
      <c r="P38" s="19">
        <f t="shared" si="11"/>
        <v>-672987.02635762293</v>
      </c>
      <c r="Q38" s="19">
        <f t="shared" si="11"/>
        <v>-449082.39365458314</v>
      </c>
      <c r="R38" s="19">
        <f t="shared" si="11"/>
        <v>-655771.47289975185</v>
      </c>
      <c r="S38" s="19">
        <f t="shared" si="11"/>
        <v>-508212.80158628151</v>
      </c>
      <c r="T38" s="19">
        <f t="shared" si="11"/>
        <v>217199.66897802192</v>
      </c>
      <c r="U38" s="19">
        <f t="shared" si="11"/>
        <v>607228.330590536</v>
      </c>
      <c r="V38" s="19">
        <f t="shared" si="11"/>
        <v>716417.22453502321</v>
      </c>
      <c r="W38" s="19">
        <f t="shared" si="11"/>
        <v>467465.12262729765</v>
      </c>
      <c r="X38" s="19">
        <f t="shared" si="11"/>
        <v>-333613.40965113789</v>
      </c>
      <c r="Y38" s="19">
        <f t="shared" si="11"/>
        <v>-123259.86094346675</v>
      </c>
      <c r="Z38" s="19">
        <f t="shared" si="11"/>
        <v>-40648.218148425731</v>
      </c>
      <c r="AA38" s="19">
        <f t="shared" si="11"/>
        <v>-382661.26168493752</v>
      </c>
      <c r="AB38" s="19">
        <f t="shared" si="11"/>
        <v>-1881265.7384484108</v>
      </c>
      <c r="AC38" s="19">
        <f t="shared" si="11"/>
        <v>-1234900.2012319411</v>
      </c>
      <c r="AD38" s="19">
        <f t="shared" si="11"/>
        <v>-1229857.3399792747</v>
      </c>
      <c r="AE38" s="19">
        <f t="shared" si="11"/>
        <v>-682211.19647018181</v>
      </c>
      <c r="AF38" s="19">
        <f t="shared" si="11"/>
        <v>1057080.3131606285</v>
      </c>
      <c r="AG38" s="19">
        <f t="shared" si="11"/>
        <v>2096581.5581414886</v>
      </c>
      <c r="AH38" s="19">
        <f t="shared" si="11"/>
        <v>1874797.8908750548</v>
      </c>
      <c r="AI38" s="19">
        <f t="shared" si="11"/>
        <v>816481.30159523932</v>
      </c>
      <c r="AJ38" s="19">
        <f t="shared" si="11"/>
        <v>-782628.14784872695</v>
      </c>
      <c r="AK38" s="19">
        <f t="shared" si="11"/>
        <v>-576342.97042635351</v>
      </c>
      <c r="AL38" s="19">
        <f t="shared" si="11"/>
        <v>-737834.41700118233</v>
      </c>
      <c r="AM38" s="19">
        <f t="shared" si="11"/>
        <v>-824597.48678811826</v>
      </c>
      <c r="AN38" s="19">
        <f t="shared" si="11"/>
        <v>-2103307.5001584161</v>
      </c>
      <c r="AO38" s="19">
        <f t="shared" si="11"/>
        <v>-1689558.3403282373</v>
      </c>
      <c r="AP38" s="19">
        <f t="shared" si="11"/>
        <v>-1110496.0643364533</v>
      </c>
      <c r="AQ38" s="19">
        <f t="shared" si="11"/>
        <v>-398810.76430030988</v>
      </c>
      <c r="AR38" s="19">
        <f t="shared" si="11"/>
        <v>2716781.2836477626</v>
      </c>
      <c r="AV38" s="162"/>
      <c r="CB38" s="150"/>
      <c r="CC38" s="292"/>
      <c r="CD38" s="16" t="s">
        <v>51</v>
      </c>
      <c r="CE38" s="216">
        <v>135146.15</v>
      </c>
      <c r="CF38" s="216">
        <v>147703.67000000001</v>
      </c>
      <c r="CG38" s="216">
        <v>157813.82</v>
      </c>
      <c r="CH38" s="216">
        <v>94457.73</v>
      </c>
      <c r="CI38" s="216">
        <v>30773.360000000001</v>
      </c>
      <c r="CJ38" s="216">
        <v>28505.86</v>
      </c>
      <c r="CK38" s="216">
        <v>29204.54</v>
      </c>
      <c r="CL38" s="4"/>
      <c r="CM38" s="4"/>
      <c r="CN38" s="292"/>
      <c r="CO38" s="16" t="s">
        <v>51</v>
      </c>
      <c r="CP38" s="216">
        <v>135146.15</v>
      </c>
      <c r="CQ38" s="216">
        <v>147703.67000000001</v>
      </c>
      <c r="CR38" s="216">
        <v>157813.82</v>
      </c>
      <c r="CS38" s="216">
        <v>94457.73</v>
      </c>
      <c r="CT38" s="216">
        <v>30773.360000000001</v>
      </c>
      <c r="CU38" s="216">
        <v>28505.86</v>
      </c>
      <c r="CV38" s="216">
        <v>29204.54</v>
      </c>
      <c r="CW38" s="4"/>
      <c r="CX38" s="4"/>
      <c r="CY38" s="4"/>
      <c r="CZ38" s="226"/>
      <c r="DA38" s="292"/>
      <c r="DB38" s="15" t="s">
        <v>28</v>
      </c>
      <c r="DC38" s="20">
        <v>0</v>
      </c>
      <c r="DD38" s="20">
        <v>0</v>
      </c>
      <c r="DE38" s="20">
        <v>255.64000000059605</v>
      </c>
      <c r="DF38" s="20">
        <v>592.33999999985099</v>
      </c>
      <c r="DG38" s="20">
        <v>632.41000000014901</v>
      </c>
      <c r="DH38" s="20">
        <v>892.52999999932945</v>
      </c>
      <c r="DI38" s="20">
        <v>1958.390000000596</v>
      </c>
      <c r="DJ38" s="20">
        <v>2575.9900000002235</v>
      </c>
      <c r="DK38" s="20">
        <v>2901.589999999851</v>
      </c>
      <c r="DL38" s="20">
        <v>2255.2100000008941</v>
      </c>
      <c r="DM38" s="20">
        <v>1201.0499999988824</v>
      </c>
      <c r="DN38" s="20">
        <v>993.04000000096858</v>
      </c>
      <c r="DO38" s="20">
        <v>1022.7099999990314</v>
      </c>
      <c r="DP38" s="20">
        <v>1061.0999999996275</v>
      </c>
      <c r="DQ38" s="20">
        <v>818.65000000037253</v>
      </c>
      <c r="DR38" s="20">
        <v>0</v>
      </c>
      <c r="DS38" s="20">
        <v>0</v>
      </c>
      <c r="DT38" s="20">
        <v>0</v>
      </c>
      <c r="DU38" s="20">
        <v>0</v>
      </c>
      <c r="DV38" s="20">
        <v>0</v>
      </c>
      <c r="DW38" s="20">
        <v>0</v>
      </c>
      <c r="DX38" s="20">
        <v>0</v>
      </c>
      <c r="DY38" s="20">
        <v>0</v>
      </c>
      <c r="DZ38" s="20">
        <v>0</v>
      </c>
      <c r="EA38" s="20">
        <v>0</v>
      </c>
    </row>
    <row r="39" spans="1:133" s="4" customFormat="1" x14ac:dyDescent="0.25">
      <c r="A39" s="292"/>
      <c r="B39" s="18" t="s">
        <v>2</v>
      </c>
      <c r="C39" s="26"/>
      <c r="D39" s="26"/>
      <c r="E39" s="19">
        <f>+D39+E38</f>
        <v>0</v>
      </c>
      <c r="F39" s="19">
        <f t="shared" ref="F39:O39" si="12">+E39+F38</f>
        <v>1316.4374045731499</v>
      </c>
      <c r="G39" s="19">
        <f t="shared" si="12"/>
        <v>-6533.0146832670234</v>
      </c>
      <c r="H39" s="19">
        <f t="shared" si="12"/>
        <v>-139723.36315377086</v>
      </c>
      <c r="I39" s="19">
        <f t="shared" si="12"/>
        <v>-191891.44042468129</v>
      </c>
      <c r="J39" s="19">
        <f t="shared" si="12"/>
        <v>80183.795215457038</v>
      </c>
      <c r="K39" s="19">
        <f t="shared" si="12"/>
        <v>310013.7414989965</v>
      </c>
      <c r="L39" s="19">
        <f t="shared" si="12"/>
        <v>262198.18234150647</v>
      </c>
      <c r="M39" s="19">
        <f t="shared" si="12"/>
        <v>329864.61232890579</v>
      </c>
      <c r="N39" s="19">
        <f t="shared" si="12"/>
        <v>478710.03204909316</v>
      </c>
      <c r="O39" s="19">
        <f t="shared" si="12"/>
        <v>450156.14613563009</v>
      </c>
      <c r="P39" s="19">
        <f>+O39+P38+P30+P33</f>
        <v>12111214.793478381</v>
      </c>
      <c r="Q39" s="19">
        <f t="shared" ref="Q39:AR39" si="13">+P39+Q38+Q30+Q33</f>
        <v>10670678.549823798</v>
      </c>
      <c r="R39" s="19">
        <f t="shared" si="13"/>
        <v>9072732.0469240472</v>
      </c>
      <c r="S39" s="19">
        <f t="shared" si="13"/>
        <v>7639688.355337766</v>
      </c>
      <c r="T39" s="19">
        <f t="shared" si="13"/>
        <v>6693923.3443157878</v>
      </c>
      <c r="U39" s="19">
        <f t="shared" si="13"/>
        <v>5923535.1649063239</v>
      </c>
      <c r="V39" s="19">
        <f t="shared" si="13"/>
        <v>5220745.6894413466</v>
      </c>
      <c r="W39" s="19">
        <f t="shared" si="13"/>
        <v>4478750.0520686442</v>
      </c>
      <c r="X39" s="19">
        <f t="shared" si="13"/>
        <v>3037840.8424175065</v>
      </c>
      <c r="Y39" s="19">
        <f t="shared" si="13"/>
        <v>1926304.4514740396</v>
      </c>
      <c r="Z39" s="19">
        <f t="shared" si="13"/>
        <v>740103.17332561384</v>
      </c>
      <c r="AA39" s="19">
        <f t="shared" si="13"/>
        <v>-1212017.4683593237</v>
      </c>
      <c r="AB39" s="19">
        <f t="shared" si="13"/>
        <v>-2861652.5768077346</v>
      </c>
      <c r="AC39" s="19">
        <f t="shared" si="13"/>
        <v>-4008885.7980396757</v>
      </c>
      <c r="AD39" s="19">
        <f t="shared" si="13"/>
        <v>-5153331.5180189507</v>
      </c>
      <c r="AE39" s="19">
        <f t="shared" si="13"/>
        <v>-5751079.1144891325</v>
      </c>
      <c r="AF39" s="19">
        <f t="shared" si="13"/>
        <v>-4588770.1313285045</v>
      </c>
      <c r="AG39" s="19">
        <f t="shared" si="13"/>
        <v>-2392018.0231870161</v>
      </c>
      <c r="AH39" s="19">
        <f t="shared" si="13"/>
        <v>-409151.27231196139</v>
      </c>
      <c r="AI39" s="19">
        <f t="shared" si="13"/>
        <v>512643.22928327788</v>
      </c>
      <c r="AJ39" s="19">
        <f t="shared" si="13"/>
        <v>-176975.62856544909</v>
      </c>
      <c r="AK39" s="19">
        <f t="shared" si="13"/>
        <v>-667745.65899180272</v>
      </c>
      <c r="AL39" s="19">
        <f t="shared" si="13"/>
        <v>-1308455.0959929852</v>
      </c>
      <c r="AM39" s="19">
        <f t="shared" si="13"/>
        <v>-2027267.4727811036</v>
      </c>
      <c r="AN39" s="19">
        <f t="shared" si="13"/>
        <v>-3949215.7229395197</v>
      </c>
      <c r="AO39" s="19">
        <f t="shared" si="13"/>
        <v>-5474061.7632677574</v>
      </c>
      <c r="AP39" s="19">
        <f t="shared" si="13"/>
        <v>-6471032.367604211</v>
      </c>
      <c r="AQ39" s="19">
        <f t="shared" si="13"/>
        <v>-6775907.801904521</v>
      </c>
      <c r="AR39" s="19">
        <f t="shared" si="13"/>
        <v>-3928826.3482567584</v>
      </c>
      <c r="AV39" s="163"/>
      <c r="CB39" s="150"/>
      <c r="CC39" s="292"/>
      <c r="CD39" s="16" t="s">
        <v>52</v>
      </c>
      <c r="CE39" s="216">
        <v>25622.507220371379</v>
      </c>
      <c r="CF39" s="216">
        <v>28133.24994185353</v>
      </c>
      <c r="CG39" s="216">
        <v>30224.720865123847</v>
      </c>
      <c r="CH39" s="216">
        <v>4425.1623695121816</v>
      </c>
      <c r="CI39" s="216">
        <v>922.99357159134161</v>
      </c>
      <c r="CJ39" s="216">
        <v>828.12816488022145</v>
      </c>
      <c r="CK39" s="216">
        <v>837.04919207446073</v>
      </c>
      <c r="CN39" s="292"/>
      <c r="CO39" s="16" t="s">
        <v>52</v>
      </c>
      <c r="CP39" s="216">
        <v>25932.70086283311</v>
      </c>
      <c r="CQ39" s="216">
        <v>28753.583164003227</v>
      </c>
      <c r="CR39" s="216">
        <v>31291.275432489769</v>
      </c>
      <c r="CS39" s="216">
        <v>5266.1023098246806</v>
      </c>
      <c r="CT39" s="216">
        <v>959.4250592655153</v>
      </c>
      <c r="CU39" s="216">
        <v>844.05540545213444</v>
      </c>
      <c r="CV39" s="216">
        <v>838.956828406157</v>
      </c>
      <c r="CW39" s="4" t="s">
        <v>117</v>
      </c>
      <c r="CX39" s="4" t="s">
        <v>118</v>
      </c>
      <c r="CY39" s="4" t="s">
        <v>119</v>
      </c>
      <c r="CZ39" s="150"/>
      <c r="DA39" s="292"/>
      <c r="DB39" s="16" t="s">
        <v>26</v>
      </c>
      <c r="DC39" s="20">
        <v>80360.687024982573</v>
      </c>
      <c r="DD39" s="20">
        <v>95761.440926806667</v>
      </c>
      <c r="DE39" s="20">
        <v>-1907.9937762007746</v>
      </c>
      <c r="DF39" s="20">
        <v>-102362.10040602235</v>
      </c>
      <c r="DG39" s="20">
        <v>-81659.759942022312</v>
      </c>
      <c r="DH39" s="20">
        <v>-80583.41964173934</v>
      </c>
      <c r="DI39" s="20">
        <v>-95520.020947600293</v>
      </c>
      <c r="DJ39" s="20">
        <v>-112468.59809397052</v>
      </c>
      <c r="DK39" s="20">
        <v>-112970.29647430769</v>
      </c>
      <c r="DL39" s="20">
        <v>-114176.56432782451</v>
      </c>
      <c r="DM39" s="20">
        <v>-95359.199900074542</v>
      </c>
      <c r="DN39" s="20">
        <v>-85048.337899656035</v>
      </c>
      <c r="DO39" s="20">
        <v>-96923.929909834478</v>
      </c>
      <c r="DP39" s="20">
        <v>-114316.61954150567</v>
      </c>
      <c r="DQ39" s="20">
        <v>-70347.05152582172</v>
      </c>
      <c r="DR39" s="20">
        <v>-3800.9561632831483</v>
      </c>
      <c r="DS39" s="20">
        <v>-3430.8126987825262</v>
      </c>
      <c r="DT39" s="20">
        <v>-3159.8932354852132</v>
      </c>
      <c r="DU39" s="20">
        <v>-3581.5162113053066</v>
      </c>
      <c r="DV39" s="20">
        <v>-4119.5944291965261</v>
      </c>
      <c r="DW39" s="20">
        <v>-4322.0730845019007</v>
      </c>
      <c r="DX39" s="20">
        <v>-3929.9254185913205</v>
      </c>
      <c r="DY39" s="20">
        <v>-3276.9745441742421</v>
      </c>
      <c r="DZ39" s="20">
        <v>-3126.7202336261671</v>
      </c>
      <c r="EA39" s="20">
        <v>-3790.1875290561552</v>
      </c>
    </row>
    <row r="40" spans="1:133" x14ac:dyDescent="0.25">
      <c r="CB40" s="150"/>
      <c r="CC40" s="292"/>
      <c r="CD40" s="16" t="s">
        <v>13</v>
      </c>
      <c r="CE40" s="216">
        <v>-16309.857220372869</v>
      </c>
      <c r="CF40" s="216">
        <v>-16381.529941854722</v>
      </c>
      <c r="CG40" s="216">
        <v>-18219.410865121463</v>
      </c>
      <c r="CH40" s="216">
        <v>5701.3676304852852</v>
      </c>
      <c r="CI40" s="216">
        <v>-922.99357159134161</v>
      </c>
      <c r="CJ40" s="216">
        <v>-828.12816488022145</v>
      </c>
      <c r="CK40" s="216">
        <v>-837.04919207446073</v>
      </c>
      <c r="CL40" s="4"/>
      <c r="CM40" s="4"/>
      <c r="CN40" s="292"/>
      <c r="CO40" s="16" t="s">
        <v>13</v>
      </c>
      <c r="CP40" s="216">
        <v>-16620.0508628346</v>
      </c>
      <c r="CQ40" s="216">
        <v>-17001.863164004419</v>
      </c>
      <c r="CR40" s="216">
        <v>-19285.965432487385</v>
      </c>
      <c r="CS40" s="216">
        <v>4860.4276901727862</v>
      </c>
      <c r="CT40" s="216">
        <v>-959.4250592655153</v>
      </c>
      <c r="CU40" s="216">
        <v>-844.05540545213444</v>
      </c>
      <c r="CV40" s="216">
        <v>-838.956828406157</v>
      </c>
      <c r="CW40" s="217">
        <f>SUM(CP40:CV40)</f>
        <v>-50689.88906227742</v>
      </c>
      <c r="CX40" s="217">
        <f>SUM(CE40:CK40)</f>
        <v>-47797.6013254098</v>
      </c>
      <c r="CY40" s="217">
        <f>CW40-CX40</f>
        <v>-2892.28773686762</v>
      </c>
      <c r="DA40" s="292"/>
      <c r="DB40" s="16" t="s">
        <v>51</v>
      </c>
      <c r="DC40" s="20">
        <v>49988.83</v>
      </c>
      <c r="DD40" s="20">
        <v>59615.22</v>
      </c>
      <c r="DE40" s="20">
        <v>2335.62</v>
      </c>
      <c r="DF40" s="20">
        <v>104083.7</v>
      </c>
      <c r="DG40" s="20">
        <v>82832.47</v>
      </c>
      <c r="DH40" s="20">
        <v>81630.89</v>
      </c>
      <c r="DI40" s="20">
        <v>96732.3</v>
      </c>
      <c r="DJ40" s="20">
        <v>113949.84</v>
      </c>
      <c r="DK40" s="20">
        <v>114477</v>
      </c>
      <c r="DL40" s="20">
        <v>115688.1</v>
      </c>
      <c r="DM40" s="20">
        <v>96527.89</v>
      </c>
      <c r="DN40" s="20">
        <v>86249.99</v>
      </c>
      <c r="DO40" s="20">
        <v>98347.18</v>
      </c>
      <c r="DP40" s="20">
        <v>116084.16</v>
      </c>
      <c r="DQ40" s="20">
        <v>72696.31</v>
      </c>
      <c r="DR40" s="20">
        <v>3930.01</v>
      </c>
      <c r="DS40" s="20">
        <v>3532.61</v>
      </c>
      <c r="DT40" s="20">
        <v>3250.65</v>
      </c>
      <c r="DU40" s="20">
        <v>3684.79</v>
      </c>
      <c r="DV40" s="20">
        <v>4244.25</v>
      </c>
      <c r="DW40" s="20">
        <v>4450.8100000000004</v>
      </c>
      <c r="DX40" s="20">
        <v>4045.9</v>
      </c>
      <c r="DY40" s="20">
        <v>3372.86</v>
      </c>
      <c r="DZ40" s="20">
        <v>3221.24</v>
      </c>
      <c r="EA40" s="20">
        <v>3921.68</v>
      </c>
    </row>
    <row r="41" spans="1:133" x14ac:dyDescent="0.25">
      <c r="A41" s="36" t="s">
        <v>38</v>
      </c>
      <c r="B41" s="36"/>
      <c r="C41" s="32"/>
      <c r="D41" s="32"/>
      <c r="E41" s="102" t="s">
        <v>83</v>
      </c>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CB41" s="150"/>
      <c r="CC41" s="292"/>
      <c r="CD41" s="17" t="s">
        <v>8</v>
      </c>
      <c r="CE41" s="216">
        <v>-84.941653771023212</v>
      </c>
      <c r="CF41" s="216">
        <v>-115.92016346648461</v>
      </c>
      <c r="CG41" s="216">
        <v>-77.091957039179292</v>
      </c>
      <c r="CH41" s="216">
        <v>-72.606903432645424</v>
      </c>
      <c r="CI41" s="216">
        <v>-151.84084377784714</v>
      </c>
      <c r="CJ41" s="216">
        <v>-118.68167734782816</v>
      </c>
      <c r="CK41" s="216">
        <v>-165.36745250356313</v>
      </c>
      <c r="CL41" s="4"/>
      <c r="CM41" s="4"/>
      <c r="CN41" s="292"/>
      <c r="CO41" s="17" t="s">
        <v>8</v>
      </c>
      <c r="CP41" s="216">
        <v>-84.981257485829829</v>
      </c>
      <c r="CQ41" s="216">
        <v>-116.12214602032306</v>
      </c>
      <c r="CR41" s="216">
        <v>-77.482184023869124</v>
      </c>
      <c r="CS41" s="216">
        <v>-73.306747354553593</v>
      </c>
      <c r="CT41" s="216">
        <v>-153.49033626118796</v>
      </c>
      <c r="CU41" s="216">
        <v>-120.12936100482553</v>
      </c>
      <c r="CV41" s="216">
        <v>-167.6599743454681</v>
      </c>
      <c r="CW41" s="4"/>
      <c r="CX41" s="4"/>
      <c r="CY41" s="4"/>
      <c r="DA41" s="292"/>
      <c r="DB41" s="16" t="s">
        <v>52</v>
      </c>
      <c r="DC41" s="7">
        <v>130349.51702498258</v>
      </c>
      <c r="DD41" s="7">
        <v>155376.66092680668</v>
      </c>
      <c r="DE41" s="7">
        <v>427.62622379922527</v>
      </c>
      <c r="DF41" s="7">
        <v>1721.5995939776476</v>
      </c>
      <c r="DG41" s="7">
        <v>1172.7100579776888</v>
      </c>
      <c r="DH41" s="7">
        <v>1047.4703582606599</v>
      </c>
      <c r="DI41" s="7">
        <v>1212.2790523997101</v>
      </c>
      <c r="DJ41" s="7">
        <v>1481.2419060294778</v>
      </c>
      <c r="DK41" s="7">
        <v>1506.7035256923118</v>
      </c>
      <c r="DL41" s="7">
        <v>1511.5356721754943</v>
      </c>
      <c r="DM41" s="7">
        <v>1168.6900999254576</v>
      </c>
      <c r="DN41" s="7">
        <v>1201.6521003439702</v>
      </c>
      <c r="DO41" s="7">
        <v>1423.2500901655148</v>
      </c>
      <c r="DP41" s="7">
        <v>1767.5404584943317</v>
      </c>
      <c r="DQ41" s="7">
        <v>2349.2584741782775</v>
      </c>
      <c r="DR41" s="7">
        <v>129.05383671685195</v>
      </c>
      <c r="DS41" s="7">
        <v>101.79730121747389</v>
      </c>
      <c r="DT41" s="7">
        <v>90.756764514786937</v>
      </c>
      <c r="DU41" s="7">
        <v>103.27378869469339</v>
      </c>
      <c r="DV41" s="7">
        <v>124.65557080347389</v>
      </c>
      <c r="DW41" s="7">
        <v>128.73691549809973</v>
      </c>
      <c r="DX41" s="7">
        <v>115.97458140867957</v>
      </c>
      <c r="DY41" s="7">
        <v>95.885455825758072</v>
      </c>
      <c r="DZ41" s="7">
        <v>94.519766373832681</v>
      </c>
      <c r="EA41" s="7">
        <v>131.49247094384464</v>
      </c>
    </row>
    <row r="42" spans="1:133" x14ac:dyDescent="0.25">
      <c r="A42" t="s">
        <v>33</v>
      </c>
      <c r="C42" s="37"/>
      <c r="D42" s="37"/>
      <c r="E42" s="41">
        <v>0</v>
      </c>
      <c r="F42" s="41">
        <v>1315.62</v>
      </c>
      <c r="G42" s="41">
        <v>10863.39</v>
      </c>
      <c r="H42" s="41">
        <v>131166.53999999998</v>
      </c>
      <c r="I42" s="41">
        <v>387036.02</v>
      </c>
      <c r="J42" s="41">
        <v>954427.99</v>
      </c>
      <c r="K42" s="41">
        <v>1422347.46</v>
      </c>
      <c r="L42" s="41">
        <v>1541935.33</v>
      </c>
      <c r="M42" s="41">
        <v>1724075.76</v>
      </c>
      <c r="N42" s="41">
        <v>2021006.24</v>
      </c>
      <c r="O42" s="41">
        <v>2345067.64</v>
      </c>
      <c r="P42" s="41">
        <v>2665179.0900000003</v>
      </c>
      <c r="Q42" s="41">
        <v>2980723.6900000004</v>
      </c>
      <c r="R42" s="41">
        <v>3131477.4300000006</v>
      </c>
      <c r="S42" s="41">
        <v>3331069.0200000005</v>
      </c>
      <c r="T42" s="41">
        <v>4201806.9000000004</v>
      </c>
      <c r="U42" s="41">
        <v>5473047.7200000007</v>
      </c>
      <c r="V42" s="41">
        <v>6865154.2600000007</v>
      </c>
      <c r="W42" s="41">
        <v>7768433.6700000009</v>
      </c>
      <c r="X42" s="42">
        <v>8046566.0200000005</v>
      </c>
      <c r="Y42" s="42">
        <v>8430171.9900000002</v>
      </c>
      <c r="Z42" s="42">
        <v>8973651.790000001</v>
      </c>
      <c r="AA42" s="42">
        <v>9526672.7300000004</v>
      </c>
      <c r="AB42" s="42">
        <v>10016175.68</v>
      </c>
      <c r="AC42" s="42">
        <v>10476907.279999999</v>
      </c>
      <c r="AD42" s="42">
        <v>10845217.629999999</v>
      </c>
      <c r="AE42" s="42">
        <v>11326489.399999999</v>
      </c>
      <c r="AF42" s="42">
        <v>13319448.119999999</v>
      </c>
      <c r="AG42" s="42">
        <v>16025105.289999999</v>
      </c>
      <c r="AH42" s="42">
        <v>18630918.66</v>
      </c>
      <c r="AI42" s="42">
        <v>20159549.379999999</v>
      </c>
      <c r="AJ42" s="42">
        <v>20538767.649999999</v>
      </c>
      <c r="AK42" s="42">
        <v>21025291.689999998</v>
      </c>
      <c r="AL42" s="42">
        <v>21687799.919999998</v>
      </c>
      <c r="AM42" s="42">
        <v>22350456.27</v>
      </c>
      <c r="AN42" s="42">
        <v>22942873.07</v>
      </c>
      <c r="AO42" s="42">
        <v>23494830.52</v>
      </c>
      <c r="AP42" s="42">
        <v>23930455.640000001</v>
      </c>
      <c r="AQ42" s="42">
        <v>24520866.27</v>
      </c>
      <c r="AR42" s="42">
        <v>27144259.460000001</v>
      </c>
      <c r="CB42" s="150"/>
      <c r="CC42" s="292"/>
      <c r="CD42" s="16" t="s">
        <v>14</v>
      </c>
      <c r="CE42" s="216">
        <v>-16394.798874143893</v>
      </c>
      <c r="CF42" s="216">
        <v>-16497.450105321208</v>
      </c>
      <c r="CG42" s="216">
        <v>-18296.502822160641</v>
      </c>
      <c r="CH42" s="216">
        <v>5628.7607270526396</v>
      </c>
      <c r="CI42" s="216">
        <v>-1074.8344153691887</v>
      </c>
      <c r="CJ42" s="216">
        <v>-946.80984222804955</v>
      </c>
      <c r="CK42" s="216">
        <v>-1002.4166445780238</v>
      </c>
      <c r="CL42" s="4"/>
      <c r="CM42" s="4"/>
      <c r="CN42" s="292"/>
      <c r="CO42" s="16" t="s">
        <v>14</v>
      </c>
      <c r="CP42" s="216">
        <v>-16705.032120320429</v>
      </c>
      <c r="CQ42" s="216">
        <v>-17117.985310024742</v>
      </c>
      <c r="CR42" s="216">
        <v>-19363.447616511254</v>
      </c>
      <c r="CS42" s="216">
        <v>4787.1209428182328</v>
      </c>
      <c r="CT42" s="216">
        <v>-1112.9153955267034</v>
      </c>
      <c r="CU42" s="216">
        <v>-964.18476645696001</v>
      </c>
      <c r="CV42" s="216">
        <v>-1006.6168027516251</v>
      </c>
      <c r="CW42" s="4"/>
      <c r="CX42" s="4"/>
      <c r="CY42" s="4"/>
      <c r="DA42" s="292"/>
      <c r="DB42" s="16" t="s">
        <v>13</v>
      </c>
      <c r="DC42" s="7">
        <v>-130349.51702498258</v>
      </c>
      <c r="DD42" s="7">
        <v>-155376.66092680668</v>
      </c>
      <c r="DE42" s="7">
        <v>-171.98622379862923</v>
      </c>
      <c r="DF42" s="7">
        <v>-1129.2595939777966</v>
      </c>
      <c r="DG42" s="7">
        <v>-540.30005797753984</v>
      </c>
      <c r="DH42" s="7">
        <v>-154.9403582613304</v>
      </c>
      <c r="DI42" s="7">
        <v>746.11094760088599</v>
      </c>
      <c r="DJ42" s="7">
        <v>1094.7480939707457</v>
      </c>
      <c r="DK42" s="7">
        <v>1394.8864743075392</v>
      </c>
      <c r="DL42" s="7">
        <v>743.67432782539981</v>
      </c>
      <c r="DM42" s="7">
        <v>32.359900073424797</v>
      </c>
      <c r="DN42" s="7">
        <v>-208.61210034300166</v>
      </c>
      <c r="DO42" s="7">
        <v>-400.54009016648342</v>
      </c>
      <c r="DP42" s="7">
        <v>-706.44045849470422</v>
      </c>
      <c r="DQ42" s="7">
        <v>-1530.608474177905</v>
      </c>
      <c r="DR42" s="7">
        <v>-129.05383671685195</v>
      </c>
      <c r="DS42" s="7">
        <v>-101.79730121747389</v>
      </c>
      <c r="DT42" s="7">
        <v>-90.756764514786937</v>
      </c>
      <c r="DU42" s="7">
        <v>-103.27378869469339</v>
      </c>
      <c r="DV42" s="7">
        <v>-124.65557080347389</v>
      </c>
      <c r="DW42" s="7">
        <v>-128.73691549809973</v>
      </c>
      <c r="DX42" s="7">
        <v>-115.97458140867957</v>
      </c>
      <c r="DY42" s="126">
        <v>-1512.095231775088</v>
      </c>
      <c r="DZ42" s="7">
        <v>-94.519766373832681</v>
      </c>
      <c r="EA42" s="7">
        <v>-131.49247094384464</v>
      </c>
    </row>
    <row r="43" spans="1:133" x14ac:dyDescent="0.25">
      <c r="A43" t="s">
        <v>34</v>
      </c>
      <c r="C43" s="37"/>
      <c r="D43" s="37"/>
      <c r="E43" s="41">
        <v>0</v>
      </c>
      <c r="F43" s="41">
        <v>0</v>
      </c>
      <c r="G43" s="41">
        <v>0</v>
      </c>
      <c r="H43" s="41">
        <v>4137.67</v>
      </c>
      <c r="I43" s="41">
        <v>17379.89</v>
      </c>
      <c r="J43" s="41">
        <v>31710.98</v>
      </c>
      <c r="K43" s="41">
        <v>53901.279999999999</v>
      </c>
      <c r="L43" s="41">
        <v>77392.58</v>
      </c>
      <c r="M43" s="41">
        <v>104809.43</v>
      </c>
      <c r="N43" s="41">
        <v>141632.76</v>
      </c>
      <c r="O43" s="41">
        <v>189180.89</v>
      </c>
      <c r="P43" s="41">
        <v>231631.52000000002</v>
      </c>
      <c r="Q43" s="41">
        <v>284317.06</v>
      </c>
      <c r="R43" s="41">
        <v>308249.02</v>
      </c>
      <c r="S43" s="41">
        <v>353276.86</v>
      </c>
      <c r="T43" s="41">
        <v>437936.68</v>
      </c>
      <c r="U43" s="41">
        <v>570057.93999999994</v>
      </c>
      <c r="V43" s="41">
        <v>694339.08</v>
      </c>
      <c r="W43" s="41">
        <v>837878.04999999993</v>
      </c>
      <c r="X43" s="42">
        <v>948910.29999999993</v>
      </c>
      <c r="Y43" s="42">
        <v>1055083.5899999999</v>
      </c>
      <c r="Z43" s="42">
        <v>1178710.0299999998</v>
      </c>
      <c r="AA43" s="42">
        <v>1324771.1099999999</v>
      </c>
      <c r="AB43" s="42">
        <v>1450947.7499999998</v>
      </c>
      <c r="AC43" s="42">
        <v>1608620.2299999997</v>
      </c>
      <c r="AD43" s="42">
        <v>1789739.7799999998</v>
      </c>
      <c r="AE43" s="42">
        <v>2044452.3199999998</v>
      </c>
      <c r="AF43" s="42">
        <v>2426232.96</v>
      </c>
      <c r="AG43" s="42">
        <v>2956688.29</v>
      </c>
      <c r="AH43" s="42">
        <v>3400127.59</v>
      </c>
      <c r="AI43" s="42">
        <v>3902289.12</v>
      </c>
      <c r="AJ43" s="42">
        <v>4245964.8900000006</v>
      </c>
      <c r="AK43" s="42">
        <v>4556973.95</v>
      </c>
      <c r="AL43" s="42">
        <v>4900967.08</v>
      </c>
      <c r="AM43" s="42">
        <v>5271737.41</v>
      </c>
      <c r="AN43" s="42">
        <v>5586511.8100000005</v>
      </c>
      <c r="AO43" s="42">
        <v>5965803.6600000001</v>
      </c>
      <c r="AP43" s="42">
        <v>6353214.2999999998</v>
      </c>
      <c r="AQ43" s="42">
        <v>6845511.75</v>
      </c>
      <c r="AR43" s="42">
        <v>7542708.96</v>
      </c>
      <c r="CB43" s="150"/>
      <c r="CC43" s="292"/>
      <c r="CD43" s="18" t="s">
        <v>17</v>
      </c>
      <c r="CE43" s="216">
        <v>-665385.1820132006</v>
      </c>
      <c r="CF43" s="216">
        <v>-534178.9621185218</v>
      </c>
      <c r="CG43" s="216">
        <v>-394661.64494068245</v>
      </c>
      <c r="CH43" s="216">
        <v>-294575.15421362984</v>
      </c>
      <c r="CI43" s="216">
        <v>-264876.62862899899</v>
      </c>
      <c r="CJ43" s="216">
        <v>-237317.57847122705</v>
      </c>
      <c r="CK43" s="216">
        <v>-209115.45511580509</v>
      </c>
      <c r="CL43" s="4"/>
      <c r="CM43" s="4"/>
      <c r="CN43" s="292"/>
      <c r="CO43" s="18" t="s">
        <v>17</v>
      </c>
      <c r="CP43" s="216">
        <v>-665695.41525937722</v>
      </c>
      <c r="CQ43" s="216">
        <v>-535109.73056940199</v>
      </c>
      <c r="CR43" s="216">
        <v>-396659.35818591324</v>
      </c>
      <c r="CS43" s="216">
        <v>-297414.50724309502</v>
      </c>
      <c r="CT43" s="216">
        <v>-267754.06263862172</v>
      </c>
      <c r="CU43" s="216">
        <v>-240212.38740507868</v>
      </c>
      <c r="CV43" s="216">
        <v>-212014.46420783031</v>
      </c>
      <c r="CW43" s="4"/>
      <c r="CX43" s="4"/>
      <c r="CY43" s="4"/>
      <c r="DA43" s="292"/>
      <c r="DB43" s="17" t="s">
        <v>8</v>
      </c>
      <c r="DC43" s="8">
        <v>-177.40149058971369</v>
      </c>
      <c r="DD43" s="8">
        <v>-199.32744354093134</v>
      </c>
      <c r="DE43" s="8">
        <v>-224.16361373968195</v>
      </c>
      <c r="DF43" s="8">
        <v>-187.97136871804545</v>
      </c>
      <c r="DG43" s="8">
        <v>-182.64022707120466</v>
      </c>
      <c r="DH43" s="8">
        <v>-166.75664099481352</v>
      </c>
      <c r="DI43" s="8">
        <v>-133.58968355873412</v>
      </c>
      <c r="DJ43" s="8">
        <v>-79.081609163004686</v>
      </c>
      <c r="DK43" s="8">
        <v>-96.4375903515933</v>
      </c>
      <c r="DL43" s="8">
        <v>-72.125006368987826</v>
      </c>
      <c r="DM43" s="8">
        <v>-43.927096953677818</v>
      </c>
      <c r="DN43" s="8">
        <v>-33.887191114480679</v>
      </c>
      <c r="DO43" s="8">
        <v>-36.357859831281786</v>
      </c>
      <c r="DP43" s="8">
        <v>-10.191777987043457</v>
      </c>
      <c r="DQ43" s="8">
        <v>4.681884219974255</v>
      </c>
      <c r="DR43" s="8">
        <v>13.075293756117951</v>
      </c>
      <c r="DS43" s="8">
        <v>13.129009153567369</v>
      </c>
      <c r="DT43" s="8">
        <v>23.277940363196844</v>
      </c>
      <c r="DU43" s="8">
        <v>40.883159406817875</v>
      </c>
      <c r="DV43" s="8">
        <v>63.719888565561348</v>
      </c>
      <c r="DW43" s="8">
        <v>88.81009636544762</v>
      </c>
      <c r="DX43" s="8">
        <v>107.94335668388864</v>
      </c>
      <c r="DY43" s="8">
        <v>137.50742611817807</v>
      </c>
      <c r="DZ43" s="8">
        <v>181.50047609901944</v>
      </c>
      <c r="EA43" s="8">
        <v>210.82155817846206</v>
      </c>
      <c r="EB43" s="166">
        <f>SUM('MEEIA 2 calcs'!BJ42:CH42)</f>
        <v>-835.31241035163509</v>
      </c>
      <c r="EC43" s="166">
        <f>SUM(DC43:EA43)-EB43</f>
        <v>76.803899278672134</v>
      </c>
    </row>
    <row r="44" spans="1:133" x14ac:dyDescent="0.25">
      <c r="A44" t="s">
        <v>35</v>
      </c>
      <c r="C44" s="37"/>
      <c r="D44" s="37"/>
      <c r="E44" s="41">
        <v>0</v>
      </c>
      <c r="F44" s="41">
        <v>0</v>
      </c>
      <c r="G44" s="41">
        <v>0</v>
      </c>
      <c r="H44" s="41">
        <v>6869.5</v>
      </c>
      <c r="I44" s="41">
        <v>31303.59</v>
      </c>
      <c r="J44" s="41">
        <v>64748.7</v>
      </c>
      <c r="K44" s="41">
        <v>121255.72</v>
      </c>
      <c r="L44" s="41">
        <v>169552.81</v>
      </c>
      <c r="M44" s="41">
        <v>225508.91</v>
      </c>
      <c r="N44" s="41">
        <v>301145.52</v>
      </c>
      <c r="O44" s="41">
        <v>398580.96</v>
      </c>
      <c r="P44" s="41">
        <v>490208.33</v>
      </c>
      <c r="Q44" s="41">
        <v>604857.14</v>
      </c>
      <c r="R44" s="41">
        <v>666314.65</v>
      </c>
      <c r="S44" s="41">
        <v>770470.61</v>
      </c>
      <c r="T44" s="41">
        <v>994805.05</v>
      </c>
      <c r="U44" s="41">
        <v>1330352.24</v>
      </c>
      <c r="V44" s="41">
        <v>1652784.7</v>
      </c>
      <c r="W44" s="41">
        <v>2007406.74</v>
      </c>
      <c r="X44" s="42">
        <v>2239872.39</v>
      </c>
      <c r="Y44" s="42">
        <v>2463589.64</v>
      </c>
      <c r="Z44" s="42">
        <v>2730371.64</v>
      </c>
      <c r="AA44" s="42">
        <v>3042506.19</v>
      </c>
      <c r="AB44" s="42">
        <v>3314030.7199999997</v>
      </c>
      <c r="AC44" s="42">
        <v>3633532.4899999998</v>
      </c>
      <c r="AD44" s="42">
        <v>3968022.1199999996</v>
      </c>
      <c r="AE44" s="42">
        <v>4418193.97</v>
      </c>
      <c r="AF44" s="42">
        <v>5292598.74</v>
      </c>
      <c r="AG44" s="42">
        <v>6473842.0099999998</v>
      </c>
      <c r="AH44" s="42">
        <v>7487104.5899999999</v>
      </c>
      <c r="AI44" s="42">
        <v>8491574.9000000004</v>
      </c>
      <c r="AJ44" s="42">
        <v>9047137.040000001</v>
      </c>
      <c r="AK44" s="42">
        <v>9551899.1300000008</v>
      </c>
      <c r="AL44" s="42">
        <v>10140818.360000001</v>
      </c>
      <c r="AM44" s="42">
        <v>10806286.970000001</v>
      </c>
      <c r="AN44" s="42">
        <v>11396408.860000001</v>
      </c>
      <c r="AO44" s="42">
        <v>12084453.48</v>
      </c>
      <c r="AP44" s="42">
        <v>12758882.860000001</v>
      </c>
      <c r="AQ44" s="42">
        <v>13617205.550000001</v>
      </c>
      <c r="AR44" s="42">
        <v>15282414.110000001</v>
      </c>
      <c r="CB44" s="150"/>
      <c r="CC44" s="40"/>
      <c r="CD44" s="11"/>
      <c r="CE44" s="2"/>
      <c r="CF44" s="2"/>
      <c r="CG44" s="2"/>
      <c r="CH44" s="2"/>
      <c r="CI44" s="2"/>
      <c r="CJ44" s="2"/>
      <c r="CK44" s="2"/>
      <c r="CL44" s="4"/>
      <c r="CM44" s="4"/>
      <c r="CN44" s="40"/>
      <c r="CO44" s="11"/>
      <c r="CP44" s="2"/>
      <c r="CQ44" s="2"/>
      <c r="CR44" s="2"/>
      <c r="CS44" s="2"/>
      <c r="CT44" s="2"/>
      <c r="CU44" s="2"/>
      <c r="CV44" s="2"/>
      <c r="CW44" s="4"/>
      <c r="CX44" s="4"/>
      <c r="CY44" s="4"/>
      <c r="DA44" s="292"/>
      <c r="DB44" s="16" t="s">
        <v>14</v>
      </c>
      <c r="DC44" s="7">
        <v>-130526.9185155723</v>
      </c>
      <c r="DD44" s="7">
        <v>-155575.98837034762</v>
      </c>
      <c r="DE44" s="7">
        <v>-396.1498375383112</v>
      </c>
      <c r="DF44" s="7">
        <v>-1317.230962695842</v>
      </c>
      <c r="DG44" s="7">
        <v>-722.9402850487445</v>
      </c>
      <c r="DH44" s="7">
        <v>-321.69699925614395</v>
      </c>
      <c r="DI44" s="7">
        <v>612.52126404215187</v>
      </c>
      <c r="DJ44" s="7">
        <v>1015.666484807741</v>
      </c>
      <c r="DK44" s="7">
        <v>1298.4488839559458</v>
      </c>
      <c r="DL44" s="7">
        <v>671.54932145641203</v>
      </c>
      <c r="DM44" s="7">
        <v>-11.567196880253022</v>
      </c>
      <c r="DN44" s="7">
        <v>-242.49929145748234</v>
      </c>
      <c r="DO44" s="7">
        <v>-436.89794999776518</v>
      </c>
      <c r="DP44" s="7">
        <v>-716.63223648174767</v>
      </c>
      <c r="DQ44" s="7">
        <v>-1525.9265899579307</v>
      </c>
      <c r="DR44" s="7">
        <v>-115.97854296073399</v>
      </c>
      <c r="DS44" s="7">
        <v>-88.66829206390652</v>
      </c>
      <c r="DT44" s="7">
        <v>-67.478824151590089</v>
      </c>
      <c r="DU44" s="7">
        <v>-62.39062928787552</v>
      </c>
      <c r="DV44" s="7">
        <v>-60.935682237912545</v>
      </c>
      <c r="DW44" s="7">
        <v>-39.926819132652113</v>
      </c>
      <c r="DX44" s="7">
        <v>-8.0312247247909312</v>
      </c>
      <c r="DY44" s="7">
        <v>-1374.5878056569099</v>
      </c>
      <c r="DZ44" s="7">
        <v>86.980709725186756</v>
      </c>
      <c r="EA44" s="7">
        <v>79.329087234617418</v>
      </c>
    </row>
    <row r="45" spans="1:133" x14ac:dyDescent="0.25">
      <c r="A45" t="s">
        <v>36</v>
      </c>
      <c r="C45" s="37"/>
      <c r="D45" s="37"/>
      <c r="E45" s="41">
        <v>0</v>
      </c>
      <c r="F45" s="41">
        <v>0</v>
      </c>
      <c r="G45" s="41">
        <v>0</v>
      </c>
      <c r="H45" s="41">
        <v>526.23</v>
      </c>
      <c r="I45" s="41">
        <v>2233.4700000000003</v>
      </c>
      <c r="J45" s="41">
        <v>4262.4400000000005</v>
      </c>
      <c r="K45" s="41">
        <v>8761.7000000000007</v>
      </c>
      <c r="L45" s="41">
        <v>13045.740000000002</v>
      </c>
      <c r="M45" s="41">
        <v>20273.660000000003</v>
      </c>
      <c r="N45" s="41">
        <v>37885.900000000009</v>
      </c>
      <c r="O45" s="41">
        <v>65178.16</v>
      </c>
      <c r="P45" s="41">
        <v>88883.11</v>
      </c>
      <c r="Q45" s="41">
        <v>117758.75</v>
      </c>
      <c r="R45" s="41">
        <v>128287.45</v>
      </c>
      <c r="S45" s="41">
        <v>156969.91999999998</v>
      </c>
      <c r="T45" s="41">
        <v>283745.70999999996</v>
      </c>
      <c r="U45" s="41">
        <v>460465.1</v>
      </c>
      <c r="V45" s="41">
        <v>676481.38</v>
      </c>
      <c r="W45" s="41">
        <v>878807.12</v>
      </c>
      <c r="X45" s="42">
        <v>979154.54</v>
      </c>
      <c r="Y45" s="42">
        <v>1074451.24</v>
      </c>
      <c r="Z45" s="42">
        <v>1186616.24</v>
      </c>
      <c r="AA45" s="42">
        <v>1315454.6599999999</v>
      </c>
      <c r="AB45" s="42">
        <v>1428559.95</v>
      </c>
      <c r="AC45" s="42">
        <v>1557915.5699999998</v>
      </c>
      <c r="AD45" s="42">
        <v>1686488.2399999998</v>
      </c>
      <c r="AE45" s="42">
        <v>1862900.9999999998</v>
      </c>
      <c r="AF45" s="42">
        <v>2278664.34</v>
      </c>
      <c r="AG45" s="42">
        <v>2813126</v>
      </c>
      <c r="AH45" s="42">
        <v>3289771.59</v>
      </c>
      <c r="AI45" s="42">
        <v>3697831.11</v>
      </c>
      <c r="AJ45" s="42">
        <v>3900717.4</v>
      </c>
      <c r="AK45" s="42">
        <v>4087079.7399999998</v>
      </c>
      <c r="AL45" s="42">
        <v>4305525.0999999996</v>
      </c>
      <c r="AM45" s="42">
        <v>4552393.01</v>
      </c>
      <c r="AN45" s="42">
        <v>4778787.0999999996</v>
      </c>
      <c r="AO45" s="42">
        <v>5045402.72</v>
      </c>
      <c r="AP45" s="42">
        <v>5300788.51</v>
      </c>
      <c r="AQ45" s="42">
        <v>5635365.4399999995</v>
      </c>
      <c r="AR45" s="42">
        <v>6411912.9499999993</v>
      </c>
      <c r="CB45" s="150"/>
      <c r="CC45" s="292" t="s">
        <v>23</v>
      </c>
      <c r="CD45" s="15"/>
      <c r="CE45" s="2"/>
      <c r="CF45" s="2"/>
      <c r="CG45" s="2"/>
      <c r="CH45" s="2"/>
      <c r="CI45" s="2"/>
      <c r="CJ45" s="2"/>
      <c r="CK45" s="2"/>
      <c r="CL45" s="4"/>
      <c r="CM45" s="4"/>
      <c r="CN45" s="292" t="s">
        <v>23</v>
      </c>
      <c r="CO45" s="15"/>
      <c r="CP45" s="2"/>
      <c r="CQ45" s="2"/>
      <c r="CR45" s="2"/>
      <c r="CS45" s="2"/>
      <c r="CT45" s="2"/>
      <c r="CU45" s="2"/>
      <c r="CV45" s="2"/>
      <c r="CW45" s="4"/>
      <c r="CX45" s="4"/>
      <c r="CY45" s="4"/>
      <c r="DA45" s="292"/>
      <c r="DB45" s="18" t="s">
        <v>16</v>
      </c>
      <c r="DC45" s="7">
        <v>-1064586.3450288717</v>
      </c>
      <c r="DD45" s="7">
        <v>-1160547.1133992192</v>
      </c>
      <c r="DE45" s="7">
        <v>-1158607.6432367575</v>
      </c>
      <c r="DF45" s="7">
        <v>-1055841.1741994533</v>
      </c>
      <c r="DG45" s="7">
        <v>-973731.64448450203</v>
      </c>
      <c r="DH45" s="7">
        <v>-892422.45148375817</v>
      </c>
      <c r="DI45" s="7">
        <v>-795077.630219716</v>
      </c>
      <c r="DJ45" s="7">
        <v>-680112.12373490829</v>
      </c>
      <c r="DK45" s="7">
        <v>-564336.67485095235</v>
      </c>
      <c r="DL45" s="7">
        <v>-447977.02552949591</v>
      </c>
      <c r="DM45" s="7">
        <v>-351460.70272637613</v>
      </c>
      <c r="DN45" s="7">
        <v>-265453.2120178336</v>
      </c>
      <c r="DO45" s="7">
        <v>-167542.92996783138</v>
      </c>
      <c r="DP45" s="7">
        <v>-52175.402204313126</v>
      </c>
      <c r="DQ45" s="7">
        <v>18994.981205728938</v>
      </c>
      <c r="DR45" s="7">
        <v>22809.012662768204</v>
      </c>
      <c r="DS45" s="7">
        <v>26252.954370704298</v>
      </c>
      <c r="DT45" s="7">
        <v>29436.125546552707</v>
      </c>
      <c r="DU45" s="7">
        <v>33058.524917264833</v>
      </c>
      <c r="DV45" s="7">
        <v>37241.839235026921</v>
      </c>
      <c r="DW45" s="7">
        <v>41652.72241589427</v>
      </c>
      <c r="DX45" s="7">
        <v>45690.591191169478</v>
      </c>
      <c r="DY45" s="7">
        <v>47688.863385512566</v>
      </c>
      <c r="DZ45" s="7">
        <v>50997.084095237755</v>
      </c>
      <c r="EA45" s="7">
        <v>54998.093182472374</v>
      </c>
    </row>
    <row r="46" spans="1:133" x14ac:dyDescent="0.25">
      <c r="A46" t="s">
        <v>37</v>
      </c>
      <c r="C46" s="37"/>
      <c r="D46" s="37"/>
      <c r="E46" s="41">
        <v>0</v>
      </c>
      <c r="F46" s="41">
        <v>0</v>
      </c>
      <c r="G46" s="41">
        <v>0</v>
      </c>
      <c r="H46" s="41">
        <v>0</v>
      </c>
      <c r="I46" s="41">
        <v>360.22</v>
      </c>
      <c r="J46" s="41">
        <v>1610.72</v>
      </c>
      <c r="K46" s="41">
        <v>3708.4399999999996</v>
      </c>
      <c r="L46" s="41">
        <v>5556.58</v>
      </c>
      <c r="M46" s="41">
        <v>7842.59</v>
      </c>
      <c r="N46" s="41">
        <v>10918.86</v>
      </c>
      <c r="O46" s="41">
        <v>16615.46</v>
      </c>
      <c r="P46" s="41">
        <v>22758.07</v>
      </c>
      <c r="Q46" s="41">
        <v>31593.03</v>
      </c>
      <c r="R46" s="41">
        <v>39281.5</v>
      </c>
      <c r="S46" s="41">
        <v>50126.66</v>
      </c>
      <c r="T46" s="41">
        <v>70160.39</v>
      </c>
      <c r="U46" s="41">
        <v>99498.43</v>
      </c>
      <c r="V46" s="41">
        <v>125723.48999999999</v>
      </c>
      <c r="W46" s="41">
        <v>151515.57</v>
      </c>
      <c r="X46" s="42">
        <v>170427.22</v>
      </c>
      <c r="Y46" s="42">
        <v>188562.65</v>
      </c>
      <c r="Z46" s="42">
        <v>208655.59</v>
      </c>
      <c r="AA46" s="42">
        <v>231472.88999999998</v>
      </c>
      <c r="AB46" s="42">
        <v>251997.65999999997</v>
      </c>
      <c r="AC46" s="42">
        <v>274863.21999999997</v>
      </c>
      <c r="AD46" s="42">
        <v>298818.81999999995</v>
      </c>
      <c r="AE46" s="42">
        <v>331875.56999999995</v>
      </c>
      <c r="AF46" s="42">
        <v>404071.67999999993</v>
      </c>
      <c r="AG46" s="42">
        <v>500160.08999999997</v>
      </c>
      <c r="AH46" s="42">
        <v>581014.66999999993</v>
      </c>
      <c r="AI46" s="42">
        <v>646771.12999999989</v>
      </c>
      <c r="AJ46" s="42">
        <v>682335.71999999986</v>
      </c>
      <c r="AK46" s="42">
        <v>715657.68999999983</v>
      </c>
      <c r="AL46" s="42">
        <v>756057.14999999979</v>
      </c>
      <c r="AM46" s="42">
        <v>803044.9099999998</v>
      </c>
      <c r="AN46" s="42">
        <v>850516.91999999981</v>
      </c>
      <c r="AO46" s="42">
        <v>903405.12999999977</v>
      </c>
      <c r="AP46" s="42">
        <v>953931.43999999971</v>
      </c>
      <c r="AQ46" s="42">
        <v>1023538.6499999997</v>
      </c>
      <c r="AR46" s="42">
        <v>1212863.4699999997</v>
      </c>
      <c r="CB46" s="150"/>
      <c r="CC46" s="292"/>
      <c r="CD46" s="15" t="s">
        <v>28</v>
      </c>
      <c r="CE46" s="216">
        <v>10374.580000000075</v>
      </c>
      <c r="CF46" s="216">
        <v>12057.450000001118</v>
      </c>
      <c r="CG46" s="216">
        <v>12824.789999999106</v>
      </c>
      <c r="CH46" s="216">
        <v>10330.179999999702</v>
      </c>
      <c r="CI46" s="216">
        <v>0</v>
      </c>
      <c r="CJ46" s="216">
        <v>0</v>
      </c>
      <c r="CK46" s="216">
        <v>0</v>
      </c>
      <c r="CL46" s="4"/>
      <c r="CM46" s="4"/>
      <c r="CN46" s="292"/>
      <c r="CO46" s="15" t="s">
        <v>28</v>
      </c>
      <c r="CP46" s="216">
        <v>10374.580000000075</v>
      </c>
      <c r="CQ46" s="216">
        <v>12057.450000001118</v>
      </c>
      <c r="CR46" s="216">
        <v>12824.789999999106</v>
      </c>
      <c r="CS46" s="216">
        <v>10330.179999999702</v>
      </c>
      <c r="CT46" s="216">
        <v>0</v>
      </c>
      <c r="CU46" s="216">
        <v>0</v>
      </c>
      <c r="CV46" s="216">
        <v>0</v>
      </c>
      <c r="CW46" s="4"/>
      <c r="CX46" s="4"/>
      <c r="CY46" s="4"/>
      <c r="DA46" s="40"/>
      <c r="DB46" s="11"/>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row>
    <row r="47" spans="1:133" x14ac:dyDescent="0.25">
      <c r="A47" t="s">
        <v>29</v>
      </c>
      <c r="C47" s="37"/>
      <c r="D47" s="37"/>
      <c r="E47" s="41">
        <v>0</v>
      </c>
      <c r="F47" s="41">
        <v>0</v>
      </c>
      <c r="G47" s="41">
        <v>0</v>
      </c>
      <c r="H47" s="41">
        <v>0</v>
      </c>
      <c r="I47" s="41">
        <v>0</v>
      </c>
      <c r="J47" s="41">
        <v>1868.8500000000001</v>
      </c>
      <c r="K47" s="41">
        <v>4053.29</v>
      </c>
      <c r="L47" s="41">
        <v>5059.2199999999993</v>
      </c>
      <c r="M47" s="41">
        <v>7508.869999999999</v>
      </c>
      <c r="N47" s="41">
        <v>12297.34</v>
      </c>
      <c r="O47" s="41">
        <v>18722.91</v>
      </c>
      <c r="P47" s="41">
        <v>25431.389999999996</v>
      </c>
      <c r="Q47" s="41">
        <v>32318.059999999998</v>
      </c>
      <c r="R47" s="41">
        <v>36911.199999999997</v>
      </c>
      <c r="S47" s="41">
        <v>42919.069999999992</v>
      </c>
      <c r="T47" s="41">
        <v>58636.82</v>
      </c>
      <c r="U47" s="41">
        <v>76159.05</v>
      </c>
      <c r="V47" s="41">
        <v>95963.299999999988</v>
      </c>
      <c r="W47" s="41">
        <v>116157.13999999998</v>
      </c>
      <c r="X47" s="42">
        <v>126888.96999999999</v>
      </c>
      <c r="Y47" s="42">
        <v>141420.74</v>
      </c>
      <c r="Z47" s="42">
        <v>160909.37999999995</v>
      </c>
      <c r="AA47" s="42">
        <v>181160.15999999997</v>
      </c>
      <c r="AB47" s="42">
        <v>201561.77999999997</v>
      </c>
      <c r="AC47" s="42">
        <v>224861.17999999996</v>
      </c>
      <c r="AD47" s="42">
        <v>245754.5</v>
      </c>
      <c r="AE47" s="42">
        <v>270978.73999999993</v>
      </c>
      <c r="AF47" s="42">
        <v>332977.51</v>
      </c>
      <c r="AG47" s="42">
        <v>413877.85</v>
      </c>
      <c r="AH47" s="42">
        <v>491349.19999999995</v>
      </c>
      <c r="AI47" s="42">
        <v>559548.25</v>
      </c>
      <c r="AJ47" s="42">
        <v>594952.58000000007</v>
      </c>
      <c r="AK47" s="42">
        <v>633938.96</v>
      </c>
      <c r="AL47" s="42">
        <v>682172.33</v>
      </c>
      <c r="AM47" s="42">
        <v>733968.09999999986</v>
      </c>
      <c r="AN47" s="42">
        <v>782012.6399999999</v>
      </c>
      <c r="AO47" s="42">
        <v>835173.21</v>
      </c>
      <c r="AP47" s="42">
        <v>883852.3</v>
      </c>
      <c r="AQ47" s="42">
        <v>942837.01</v>
      </c>
      <c r="AR47" s="42">
        <v>1071794.97</v>
      </c>
      <c r="CB47" s="151"/>
      <c r="CC47" s="292"/>
      <c r="CD47" s="16" t="s">
        <v>26</v>
      </c>
      <c r="CE47" s="216">
        <v>-22828.889630809208</v>
      </c>
      <c r="CF47" s="216">
        <v>-29924.142514541847</v>
      </c>
      <c r="CG47" s="216">
        <v>-28848.082586273878</v>
      </c>
      <c r="CH47" s="216">
        <v>-20936.748032217365</v>
      </c>
      <c r="CI47" s="216">
        <v>-9363.3583204824445</v>
      </c>
      <c r="CJ47" s="216">
        <v>-9437.0051141241493</v>
      </c>
      <c r="CK47" s="216">
        <v>-9234.9091119732129</v>
      </c>
      <c r="CL47" s="2"/>
      <c r="CM47" s="2"/>
      <c r="CN47" s="292"/>
      <c r="CO47" s="16" t="s">
        <v>26</v>
      </c>
      <c r="CP47" s="216">
        <v>-22705.686486155013</v>
      </c>
      <c r="CQ47" s="216">
        <v>-29648.694170827279</v>
      </c>
      <c r="CR47" s="216">
        <v>-28388.594686249391</v>
      </c>
      <c r="CS47" s="216">
        <v>-20595.01936131802</v>
      </c>
      <c r="CT47" s="216">
        <v>-9348.310124921727</v>
      </c>
      <c r="CU47" s="216">
        <v>-9429.8658266884941</v>
      </c>
      <c r="CV47" s="216">
        <v>-9234.0736114224255</v>
      </c>
      <c r="CW47" s="2"/>
      <c r="CX47" s="2"/>
      <c r="CY47" s="2"/>
      <c r="DA47" s="292" t="s">
        <v>22</v>
      </c>
      <c r="DB47" s="15"/>
      <c r="DC47" s="7"/>
      <c r="DD47" s="7"/>
      <c r="DE47" s="7"/>
      <c r="DF47" s="7"/>
      <c r="DG47" s="7"/>
      <c r="DH47" s="7"/>
      <c r="DI47" s="7"/>
      <c r="DJ47" s="7"/>
      <c r="DK47" s="7"/>
      <c r="DL47" s="7"/>
      <c r="DM47" s="7"/>
      <c r="DN47" s="7"/>
      <c r="DO47" s="7"/>
      <c r="DP47" s="7"/>
      <c r="DQ47" s="7"/>
      <c r="DR47" s="7"/>
      <c r="DS47" s="7"/>
      <c r="DT47" s="7"/>
      <c r="DU47" s="7"/>
      <c r="DV47" s="7"/>
      <c r="DW47" s="7"/>
      <c r="DX47" s="7"/>
      <c r="DY47" s="126">
        <v>-2892.28773686762</v>
      </c>
      <c r="DZ47" s="7"/>
      <c r="EA47" s="7"/>
    </row>
    <row r="48" spans="1:133" x14ac:dyDescent="0.25">
      <c r="A48" s="33" t="s">
        <v>31</v>
      </c>
      <c r="B48" s="33"/>
      <c r="C48" s="31"/>
      <c r="D48" s="31"/>
      <c r="E48" s="44">
        <f>SUM(E42:E47)</f>
        <v>0</v>
      </c>
      <c r="F48" s="44">
        <f t="shared" ref="F48:AR48" si="14">SUM(F42:F47)</f>
        <v>1315.62</v>
      </c>
      <c r="G48" s="44">
        <f t="shared" si="14"/>
        <v>10863.39</v>
      </c>
      <c r="H48" s="44">
        <f t="shared" si="14"/>
        <v>142699.94</v>
      </c>
      <c r="I48" s="44">
        <f t="shared" si="14"/>
        <v>438313.19</v>
      </c>
      <c r="J48" s="44">
        <f t="shared" si="14"/>
        <v>1058629.68</v>
      </c>
      <c r="K48" s="44">
        <f t="shared" si="14"/>
        <v>1614027.89</v>
      </c>
      <c r="L48" s="44">
        <f t="shared" si="14"/>
        <v>1812542.2600000002</v>
      </c>
      <c r="M48" s="44">
        <f t="shared" si="14"/>
        <v>2090019.22</v>
      </c>
      <c r="N48" s="44">
        <f t="shared" si="14"/>
        <v>2524886.6199999996</v>
      </c>
      <c r="O48" s="44">
        <f t="shared" si="14"/>
        <v>3033346.0200000005</v>
      </c>
      <c r="P48" s="44">
        <f t="shared" si="14"/>
        <v>3524091.5100000002</v>
      </c>
      <c r="Q48" s="44">
        <f t="shared" si="14"/>
        <v>4051567.7300000004</v>
      </c>
      <c r="R48" s="44">
        <f t="shared" si="14"/>
        <v>4310521.2500000009</v>
      </c>
      <c r="S48" s="44">
        <f t="shared" si="14"/>
        <v>4704832.1400000006</v>
      </c>
      <c r="T48" s="44">
        <f t="shared" si="14"/>
        <v>6047091.5499999998</v>
      </c>
      <c r="U48" s="44">
        <f t="shared" si="14"/>
        <v>8009580.4799999995</v>
      </c>
      <c r="V48" s="44">
        <f t="shared" si="14"/>
        <v>10110446.210000003</v>
      </c>
      <c r="W48" s="44">
        <f t="shared" si="14"/>
        <v>11760198.290000001</v>
      </c>
      <c r="X48" s="44">
        <f t="shared" si="14"/>
        <v>12511819.440000001</v>
      </c>
      <c r="Y48" s="44">
        <f t="shared" si="14"/>
        <v>13353279.850000001</v>
      </c>
      <c r="Z48" s="44">
        <f t="shared" si="14"/>
        <v>14438914.670000002</v>
      </c>
      <c r="AA48" s="44">
        <f t="shared" si="14"/>
        <v>15622037.74</v>
      </c>
      <c r="AB48" s="44">
        <f t="shared" si="14"/>
        <v>16663273.539999997</v>
      </c>
      <c r="AC48" s="44">
        <f t="shared" si="14"/>
        <v>17776699.969999999</v>
      </c>
      <c r="AD48" s="44">
        <f t="shared" si="14"/>
        <v>18834041.089999996</v>
      </c>
      <c r="AE48" s="44">
        <f t="shared" si="14"/>
        <v>20254890.999999996</v>
      </c>
      <c r="AF48" s="44">
        <f t="shared" si="14"/>
        <v>24053993.350000001</v>
      </c>
      <c r="AG48" s="44">
        <f t="shared" si="14"/>
        <v>29182799.529999997</v>
      </c>
      <c r="AH48" s="44">
        <f t="shared" si="14"/>
        <v>33880286.300000004</v>
      </c>
      <c r="AI48" s="44">
        <f t="shared" si="14"/>
        <v>37457563.890000001</v>
      </c>
      <c r="AJ48" s="44">
        <f t="shared" si="14"/>
        <v>39009875.279999994</v>
      </c>
      <c r="AK48" s="44">
        <f t="shared" si="14"/>
        <v>40570841.159999996</v>
      </c>
      <c r="AL48" s="44">
        <f t="shared" si="14"/>
        <v>42473339.939999998</v>
      </c>
      <c r="AM48" s="44">
        <f t="shared" si="14"/>
        <v>44517886.669999994</v>
      </c>
      <c r="AN48" s="44">
        <f t="shared" si="14"/>
        <v>46337110.400000006</v>
      </c>
      <c r="AO48" s="44">
        <f t="shared" si="14"/>
        <v>48329068.719999999</v>
      </c>
      <c r="AP48" s="44">
        <f t="shared" si="14"/>
        <v>50181125.049999997</v>
      </c>
      <c r="AQ48" s="44">
        <f t="shared" si="14"/>
        <v>52585324.669999994</v>
      </c>
      <c r="AR48" s="44">
        <f t="shared" si="14"/>
        <v>58665953.920000002</v>
      </c>
      <c r="CB48" s="150"/>
      <c r="CC48" s="292"/>
      <c r="CD48" s="16" t="s">
        <v>51</v>
      </c>
      <c r="CE48" s="216">
        <v>39890.089999999997</v>
      </c>
      <c r="CF48" s="216">
        <v>52432.800000000003</v>
      </c>
      <c r="CG48" s="216">
        <v>50635.33</v>
      </c>
      <c r="CH48" s="216">
        <v>23630.6</v>
      </c>
      <c r="CI48" s="216">
        <v>10235.24</v>
      </c>
      <c r="CJ48" s="216">
        <v>10302.52</v>
      </c>
      <c r="CK48" s="216">
        <v>10077.35</v>
      </c>
      <c r="CL48" s="4"/>
      <c r="CM48" s="4"/>
      <c r="CN48" s="292"/>
      <c r="CO48" s="16" t="s">
        <v>51</v>
      </c>
      <c r="CP48" s="216">
        <v>39890.089999999997</v>
      </c>
      <c r="CQ48" s="216">
        <v>52432.800000000003</v>
      </c>
      <c r="CR48" s="216">
        <v>50635.33</v>
      </c>
      <c r="CS48" s="216">
        <v>23630.6</v>
      </c>
      <c r="CT48" s="216">
        <v>10235.24</v>
      </c>
      <c r="CU48" s="216">
        <v>10302.52</v>
      </c>
      <c r="CV48" s="216">
        <v>10077.35</v>
      </c>
      <c r="CW48" s="4"/>
      <c r="CX48" s="4"/>
      <c r="CY48" s="4"/>
      <c r="DA48" s="292"/>
      <c r="DB48" s="15" t="s">
        <v>28</v>
      </c>
      <c r="DC48" s="20">
        <v>8127.0399999991059</v>
      </c>
      <c r="DD48" s="20">
        <v>8329.3000000007451</v>
      </c>
      <c r="DE48" s="20">
        <v>8800.269999999553</v>
      </c>
      <c r="DF48" s="20">
        <v>10333.070000000298</v>
      </c>
      <c r="DG48" s="20">
        <v>8760.0100000016391</v>
      </c>
      <c r="DH48" s="20">
        <v>11044.909999996424</v>
      </c>
      <c r="DI48" s="20">
        <v>31907.310000002384</v>
      </c>
      <c r="DJ48" s="20">
        <v>40946.179999999702</v>
      </c>
      <c r="DK48" s="20">
        <v>36410.359999999404</v>
      </c>
      <c r="DL48" s="20">
        <v>22318.39999999851</v>
      </c>
      <c r="DM48" s="20">
        <v>8944.2900000028312</v>
      </c>
      <c r="DN48" s="20">
        <v>9312.6499999985099</v>
      </c>
      <c r="DO48" s="20">
        <v>11751.719999998808</v>
      </c>
      <c r="DP48" s="20">
        <v>12005.310000002384</v>
      </c>
      <c r="DQ48" s="20">
        <v>10126.529999997467</v>
      </c>
      <c r="DR48" s="20">
        <v>0</v>
      </c>
      <c r="DS48" s="20">
        <v>0</v>
      </c>
      <c r="DT48" s="20">
        <v>0</v>
      </c>
      <c r="DU48" s="20">
        <v>0</v>
      </c>
      <c r="DV48" s="20">
        <v>0</v>
      </c>
      <c r="DW48" s="20">
        <v>0</v>
      </c>
      <c r="DX48" s="20">
        <v>0</v>
      </c>
      <c r="DY48" s="20">
        <v>0</v>
      </c>
      <c r="DZ48" s="20">
        <v>0</v>
      </c>
      <c r="EA48" s="20">
        <v>0</v>
      </c>
    </row>
    <row r="49" spans="1:133" x14ac:dyDescent="0.25">
      <c r="A49"/>
      <c r="C49" s="37"/>
      <c r="D49" s="37"/>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CB49" s="150"/>
      <c r="CC49" s="292"/>
      <c r="CD49" s="16" t="s">
        <v>52</v>
      </c>
      <c r="CE49" s="216">
        <v>17061.200369190788</v>
      </c>
      <c r="CF49" s="216">
        <v>22508.657485458156</v>
      </c>
      <c r="CG49" s="216">
        <v>21787.247413726123</v>
      </c>
      <c r="CH49" s="216">
        <v>2693.8519677826334</v>
      </c>
      <c r="CI49" s="216">
        <v>871.88167951755531</v>
      </c>
      <c r="CJ49" s="216">
        <v>865.51488587585118</v>
      </c>
      <c r="CK49" s="216">
        <v>842.44088802678743</v>
      </c>
      <c r="CL49" s="4"/>
      <c r="CM49" s="4"/>
      <c r="CN49" s="292"/>
      <c r="CO49" s="16" t="s">
        <v>52</v>
      </c>
      <c r="CP49" s="216">
        <v>17184.403513844984</v>
      </c>
      <c r="CQ49" s="216">
        <v>22784.105829172724</v>
      </c>
      <c r="CR49" s="216">
        <v>22246.735313750611</v>
      </c>
      <c r="CS49" s="216">
        <v>3035.5806386819786</v>
      </c>
      <c r="CT49" s="216">
        <v>886.92987507827274</v>
      </c>
      <c r="CU49" s="216">
        <v>872.65417331150638</v>
      </c>
      <c r="CV49" s="216">
        <v>843.27638857757483</v>
      </c>
      <c r="CW49" s="4" t="s">
        <v>117</v>
      </c>
      <c r="CX49" s="4" t="s">
        <v>118</v>
      </c>
      <c r="CY49" s="4" t="s">
        <v>119</v>
      </c>
      <c r="DA49" s="292"/>
      <c r="DB49" s="16" t="s">
        <v>26</v>
      </c>
      <c r="DC49" s="20">
        <v>306551.46210147406</v>
      </c>
      <c r="DD49" s="20">
        <v>328395.30665898882</v>
      </c>
      <c r="DE49" s="20">
        <v>129041.97894362173</v>
      </c>
      <c r="DF49" s="20">
        <v>-116248.37555983226</v>
      </c>
      <c r="DG49" s="20">
        <v>-104613.38045356744</v>
      </c>
      <c r="DH49" s="20">
        <v>-106758.31587632833</v>
      </c>
      <c r="DI49" s="20">
        <v>-119183.41184852651</v>
      </c>
      <c r="DJ49" s="20">
        <v>-138596.39079341319</v>
      </c>
      <c r="DK49" s="20">
        <v>-137793.28735156739</v>
      </c>
      <c r="DL49" s="20">
        <v>-140452.99254978076</v>
      </c>
      <c r="DM49" s="20">
        <v>-123659.88827741763</v>
      </c>
      <c r="DN49" s="20">
        <v>-109523.64277962862</v>
      </c>
      <c r="DO49" s="20">
        <v>-119570.42005814648</v>
      </c>
      <c r="DP49" s="20">
        <v>-127589.09913487616</v>
      </c>
      <c r="DQ49" s="20">
        <v>-90032.567630487814</v>
      </c>
      <c r="DR49" s="20">
        <v>-29850.366428408659</v>
      </c>
      <c r="DS49" s="20">
        <v>-27677.731835119779</v>
      </c>
      <c r="DT49" s="20">
        <v>-28367.49080792554</v>
      </c>
      <c r="DU49" s="20">
        <v>-31712.240190643679</v>
      </c>
      <c r="DV49" s="20">
        <v>-36266.351017925241</v>
      </c>
      <c r="DW49" s="20">
        <v>-35382.790747787352</v>
      </c>
      <c r="DX49" s="20">
        <v>-33777.721147319782</v>
      </c>
      <c r="DY49" s="20">
        <v>-29077.038685363284</v>
      </c>
      <c r="DZ49" s="20">
        <v>-27430.212146395083</v>
      </c>
      <c r="EA49" s="20">
        <v>-31670.308000207406</v>
      </c>
    </row>
    <row r="50" spans="1:133" x14ac:dyDescent="0.25">
      <c r="A50" s="36" t="s">
        <v>39</v>
      </c>
      <c r="B50" s="36"/>
      <c r="C50" s="37"/>
      <c r="D50" s="37"/>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CB50" s="150"/>
      <c r="CC50" s="292"/>
      <c r="CD50" s="16" t="s">
        <v>13</v>
      </c>
      <c r="CE50" s="216">
        <v>-6686.620369190714</v>
      </c>
      <c r="CF50" s="216">
        <v>-10451.207485457038</v>
      </c>
      <c r="CG50" s="216">
        <v>-8962.4574137270174</v>
      </c>
      <c r="CH50" s="216">
        <v>7636.3280322170685</v>
      </c>
      <c r="CI50" s="216">
        <v>-871.88167951755531</v>
      </c>
      <c r="CJ50" s="216">
        <v>-865.51488587585118</v>
      </c>
      <c r="CK50" s="216">
        <v>-842.44088802678743</v>
      </c>
      <c r="CL50" s="4"/>
      <c r="CM50" s="4"/>
      <c r="CN50" s="292"/>
      <c r="CO50" s="16" t="s">
        <v>13</v>
      </c>
      <c r="CP50" s="216">
        <v>-6809.823513844909</v>
      </c>
      <c r="CQ50" s="216">
        <v>-10726.655829171606</v>
      </c>
      <c r="CR50" s="216">
        <v>-9421.9453137515047</v>
      </c>
      <c r="CS50" s="216">
        <v>7294.5993613177234</v>
      </c>
      <c r="CT50" s="216">
        <v>-886.92987507827274</v>
      </c>
      <c r="CU50" s="216">
        <v>-872.65417331150638</v>
      </c>
      <c r="CV50" s="216">
        <v>-843.27638857757483</v>
      </c>
      <c r="CW50" s="217">
        <f>SUM(CP50:CV50)</f>
        <v>-22266.685732417649</v>
      </c>
      <c r="CX50" s="217">
        <f>SUM(CE50:CK50)</f>
        <v>-21043.794689577895</v>
      </c>
      <c r="CY50" s="217">
        <f>CW50-CX50</f>
        <v>-1222.8910428397539</v>
      </c>
      <c r="DA50" s="292"/>
      <c r="DB50" s="16" t="s">
        <v>51</v>
      </c>
      <c r="DC50" s="20">
        <v>-54088.43</v>
      </c>
      <c r="DD50" s="20">
        <v>-57968.47</v>
      </c>
      <c r="DE50" s="20">
        <v>-155185.29</v>
      </c>
      <c r="DF50" s="20">
        <v>144151.20000000001</v>
      </c>
      <c r="DG50" s="20">
        <v>129139.73</v>
      </c>
      <c r="DH50" s="20">
        <v>131496.01999999999</v>
      </c>
      <c r="DI50" s="20">
        <v>146683.67000000001</v>
      </c>
      <c r="DJ50" s="20">
        <v>170727.8</v>
      </c>
      <c r="DK50" s="20">
        <v>169792.6</v>
      </c>
      <c r="DL50" s="20">
        <v>173041.64</v>
      </c>
      <c r="DM50" s="20">
        <v>152089.43</v>
      </c>
      <c r="DN50" s="20">
        <v>135146.15</v>
      </c>
      <c r="DO50" s="20">
        <v>147703.67000000001</v>
      </c>
      <c r="DP50" s="20">
        <v>157813.82</v>
      </c>
      <c r="DQ50" s="20">
        <v>94457.73</v>
      </c>
      <c r="DR50" s="20">
        <v>30773.360000000001</v>
      </c>
      <c r="DS50" s="20">
        <v>28505.86</v>
      </c>
      <c r="DT50" s="20">
        <v>29204.54</v>
      </c>
      <c r="DU50" s="20">
        <v>32647.23</v>
      </c>
      <c r="DV50" s="20">
        <v>37342.58</v>
      </c>
      <c r="DW50" s="20">
        <v>36437.18</v>
      </c>
      <c r="DX50" s="20">
        <v>34781.339999999997</v>
      </c>
      <c r="DY50" s="20">
        <v>29940.03</v>
      </c>
      <c r="DZ50" s="20">
        <v>28253.98</v>
      </c>
      <c r="EA50" s="20">
        <v>32650.48</v>
      </c>
    </row>
    <row r="51" spans="1:133" x14ac:dyDescent="0.25">
      <c r="A51" s="38" t="s">
        <v>33</v>
      </c>
      <c r="B51" s="38"/>
      <c r="C51" s="37"/>
      <c r="D51" s="37"/>
      <c r="E51" s="45">
        <f>E42-D42</f>
        <v>0</v>
      </c>
      <c r="F51" s="45">
        <f>IF(F42="","",F42-E42)</f>
        <v>1315.62</v>
      </c>
      <c r="G51" s="45">
        <f>IF(G42="","",G42-F42)</f>
        <v>9547.77</v>
      </c>
      <c r="H51" s="45">
        <f t="shared" ref="H51:AR56" si="15">IF(H42="","",H42-G42)</f>
        <v>120303.14999999998</v>
      </c>
      <c r="I51" s="45">
        <f t="shared" si="15"/>
        <v>255869.48000000004</v>
      </c>
      <c r="J51" s="45">
        <f t="shared" si="15"/>
        <v>567391.97</v>
      </c>
      <c r="K51" s="45">
        <f t="shared" si="15"/>
        <v>467919.47</v>
      </c>
      <c r="L51" s="45">
        <f t="shared" si="15"/>
        <v>119587.87000000011</v>
      </c>
      <c r="M51" s="45">
        <f t="shared" si="15"/>
        <v>182140.42999999993</v>
      </c>
      <c r="N51" s="45">
        <f t="shared" si="15"/>
        <v>296930.48</v>
      </c>
      <c r="O51" s="45">
        <f t="shared" si="15"/>
        <v>324061.40000000014</v>
      </c>
      <c r="P51" s="45">
        <f t="shared" si="15"/>
        <v>320111.45000000019</v>
      </c>
      <c r="Q51" s="45">
        <f t="shared" si="15"/>
        <v>315544.60000000009</v>
      </c>
      <c r="R51" s="45">
        <f t="shared" si="15"/>
        <v>150753.74000000022</v>
      </c>
      <c r="S51" s="45">
        <f t="shared" si="15"/>
        <v>199591.58999999985</v>
      </c>
      <c r="T51" s="45">
        <f t="shared" si="15"/>
        <v>870737.87999999989</v>
      </c>
      <c r="U51" s="45">
        <f t="shared" si="15"/>
        <v>1271240.8200000003</v>
      </c>
      <c r="V51" s="45">
        <f t="shared" si="15"/>
        <v>1392106.54</v>
      </c>
      <c r="W51" s="45">
        <f t="shared" si="15"/>
        <v>903279.41000000015</v>
      </c>
      <c r="X51" s="45">
        <f t="shared" si="15"/>
        <v>278132.34999999963</v>
      </c>
      <c r="Y51" s="45">
        <f>IF(Y42="","",Y42-X42)</f>
        <v>383605.96999999974</v>
      </c>
      <c r="Z51" s="45">
        <f t="shared" si="15"/>
        <v>543479.80000000075</v>
      </c>
      <c r="AA51" s="45">
        <f t="shared" si="15"/>
        <v>553020.93999999948</v>
      </c>
      <c r="AB51" s="45">
        <f t="shared" si="15"/>
        <v>489502.94999999925</v>
      </c>
      <c r="AC51" s="45">
        <f t="shared" si="15"/>
        <v>460731.59999999963</v>
      </c>
      <c r="AD51" s="45">
        <f t="shared" si="15"/>
        <v>368310.34999999963</v>
      </c>
      <c r="AE51" s="45">
        <f t="shared" si="15"/>
        <v>481271.76999999955</v>
      </c>
      <c r="AF51" s="45">
        <f t="shared" si="15"/>
        <v>1992958.7200000007</v>
      </c>
      <c r="AG51" s="45">
        <f t="shared" si="15"/>
        <v>2705657.17</v>
      </c>
      <c r="AH51" s="45">
        <f t="shared" si="15"/>
        <v>2605813.370000001</v>
      </c>
      <c r="AI51" s="45">
        <f t="shared" si="15"/>
        <v>1528630.7199999988</v>
      </c>
      <c r="AJ51" s="45">
        <f t="shared" si="15"/>
        <v>379218.26999999955</v>
      </c>
      <c r="AK51" s="45">
        <f t="shared" si="15"/>
        <v>486524.03999999911</v>
      </c>
      <c r="AL51" s="45">
        <f t="shared" si="15"/>
        <v>662508.23000000045</v>
      </c>
      <c r="AM51" s="45">
        <f t="shared" si="15"/>
        <v>662656.35000000149</v>
      </c>
      <c r="AN51" s="45">
        <f t="shared" si="15"/>
        <v>592416.80000000075</v>
      </c>
      <c r="AO51" s="45">
        <f>IF(AO42="","",AO42-AN42)</f>
        <v>551957.44999999925</v>
      </c>
      <c r="AP51" s="45">
        <f>IF(AP42="","",AP42-AO42)</f>
        <v>435625.12000000104</v>
      </c>
      <c r="AQ51" s="45">
        <f t="shared" si="15"/>
        <v>590410.62999999896</v>
      </c>
      <c r="AR51" s="45">
        <f t="shared" si="15"/>
        <v>2623393.1900000013</v>
      </c>
      <c r="CB51" s="150"/>
      <c r="CC51" s="292"/>
      <c r="CD51" s="17" t="s">
        <v>8</v>
      </c>
      <c r="CE51" s="216">
        <v>-27.035384303313489</v>
      </c>
      <c r="CF51" s="216">
        <v>-36.855312051041274</v>
      </c>
      <c r="CG51" s="216">
        <v>-25.039728528201056</v>
      </c>
      <c r="CH51" s="216">
        <v>-23.894863251534023</v>
      </c>
      <c r="CI51" s="216">
        <v>-50.234736557447974</v>
      </c>
      <c r="CJ51" s="216">
        <v>-39.124245328254908</v>
      </c>
      <c r="CK51" s="216">
        <v>-54.60684331866792</v>
      </c>
      <c r="CL51" s="4"/>
      <c r="CM51" s="4"/>
      <c r="CN51" s="292"/>
      <c r="CO51" s="17" t="s">
        <v>8</v>
      </c>
      <c r="CP51" s="216">
        <v>-27.051114162137921</v>
      </c>
      <c r="CQ51" s="216">
        <v>-36.9418440996483</v>
      </c>
      <c r="CR51" s="216">
        <v>-25.207407490628555</v>
      </c>
      <c r="CS51" s="216">
        <v>-24.190746274209076</v>
      </c>
      <c r="CT51" s="216">
        <v>-50.931912768175017</v>
      </c>
      <c r="CU51" s="216">
        <v>-39.736328683212392</v>
      </c>
      <c r="CV51" s="216">
        <v>-55.576148746981119</v>
      </c>
      <c r="CW51" s="4"/>
      <c r="CX51" s="4"/>
      <c r="CY51" s="4"/>
      <c r="DA51" s="292"/>
      <c r="DB51" s="16" t="s">
        <v>52</v>
      </c>
      <c r="DC51" s="7">
        <v>252463.03210147406</v>
      </c>
      <c r="DD51" s="7">
        <v>270426.83665898885</v>
      </c>
      <c r="DE51" s="7">
        <v>-26143.311056378283</v>
      </c>
      <c r="DF51" s="7">
        <v>27902.824440167751</v>
      </c>
      <c r="DG51" s="7">
        <v>24526.349546432553</v>
      </c>
      <c r="DH51" s="7">
        <v>24737.704123671661</v>
      </c>
      <c r="DI51" s="7">
        <v>27500.258151473507</v>
      </c>
      <c r="DJ51" s="7">
        <v>32131.409206586803</v>
      </c>
      <c r="DK51" s="7">
        <v>31999.31264843262</v>
      </c>
      <c r="DL51" s="7">
        <v>32588.647450219258</v>
      </c>
      <c r="DM51" s="7">
        <v>28429.541722582362</v>
      </c>
      <c r="DN51" s="7">
        <v>25622.507220371379</v>
      </c>
      <c r="DO51" s="7">
        <v>28133.24994185353</v>
      </c>
      <c r="DP51" s="7">
        <v>30224.720865123847</v>
      </c>
      <c r="DQ51" s="7">
        <v>4425.1623695121816</v>
      </c>
      <c r="DR51" s="7">
        <v>922.99357159134161</v>
      </c>
      <c r="DS51" s="7">
        <v>828.12816488022145</v>
      </c>
      <c r="DT51" s="7">
        <v>837.04919207446073</v>
      </c>
      <c r="DU51" s="7">
        <v>934.98980935632062</v>
      </c>
      <c r="DV51" s="7">
        <v>1076.228982074761</v>
      </c>
      <c r="DW51" s="7">
        <v>1054.389252212648</v>
      </c>
      <c r="DX51" s="7">
        <v>1003.6188526802143</v>
      </c>
      <c r="DY51" s="7">
        <v>862.99131463671438</v>
      </c>
      <c r="DZ51" s="7">
        <v>823.76785360491704</v>
      </c>
      <c r="EA51" s="7">
        <v>980.17199979259385</v>
      </c>
    </row>
    <row r="52" spans="1:133" x14ac:dyDescent="0.25">
      <c r="A52" s="38" t="s">
        <v>34</v>
      </c>
      <c r="B52" s="38"/>
      <c r="C52" s="37"/>
      <c r="D52" s="37"/>
      <c r="E52" s="45">
        <f t="shared" ref="E52:E56" si="16">E43-D43</f>
        <v>0</v>
      </c>
      <c r="F52" s="45">
        <f t="shared" ref="F52:U56" si="17">IF(F43="","",F43-E43)</f>
        <v>0</v>
      </c>
      <c r="G52" s="45">
        <f t="shared" si="17"/>
        <v>0</v>
      </c>
      <c r="H52" s="45">
        <f t="shared" si="17"/>
        <v>4137.67</v>
      </c>
      <c r="I52" s="45">
        <f t="shared" si="17"/>
        <v>13242.22</v>
      </c>
      <c r="J52" s="45">
        <f t="shared" si="17"/>
        <v>14331.09</v>
      </c>
      <c r="K52" s="45">
        <f t="shared" si="17"/>
        <v>22190.3</v>
      </c>
      <c r="L52" s="45">
        <f t="shared" si="17"/>
        <v>23491.300000000003</v>
      </c>
      <c r="M52" s="45">
        <f t="shared" si="17"/>
        <v>27416.849999999991</v>
      </c>
      <c r="N52" s="45">
        <f t="shared" si="17"/>
        <v>36823.330000000016</v>
      </c>
      <c r="O52" s="45">
        <f t="shared" si="17"/>
        <v>47548.130000000005</v>
      </c>
      <c r="P52" s="45">
        <f t="shared" si="17"/>
        <v>42450.630000000005</v>
      </c>
      <c r="Q52" s="45">
        <f t="shared" si="17"/>
        <v>52685.539999999979</v>
      </c>
      <c r="R52" s="45">
        <f t="shared" si="17"/>
        <v>23931.960000000021</v>
      </c>
      <c r="S52" s="45">
        <f t="shared" si="17"/>
        <v>45027.839999999967</v>
      </c>
      <c r="T52" s="45">
        <f t="shared" si="17"/>
        <v>84659.82</v>
      </c>
      <c r="U52" s="45">
        <f t="shared" si="17"/>
        <v>132121.25999999995</v>
      </c>
      <c r="V52" s="45">
        <f t="shared" si="15"/>
        <v>124281.14000000001</v>
      </c>
      <c r="W52" s="45">
        <f t="shared" si="15"/>
        <v>143538.96999999997</v>
      </c>
      <c r="X52" s="45">
        <f t="shared" si="15"/>
        <v>111032.25</v>
      </c>
      <c r="Y52" s="45">
        <f t="shared" si="15"/>
        <v>106173.28999999992</v>
      </c>
      <c r="Z52" s="45">
        <f t="shared" si="15"/>
        <v>123626.43999999994</v>
      </c>
      <c r="AA52" s="45">
        <f t="shared" si="15"/>
        <v>146061.08000000007</v>
      </c>
      <c r="AB52" s="45">
        <f t="shared" si="15"/>
        <v>126176.6399999999</v>
      </c>
      <c r="AC52" s="45">
        <f t="shared" si="15"/>
        <v>157672.47999999998</v>
      </c>
      <c r="AD52" s="45">
        <f t="shared" si="15"/>
        <v>181119.55000000005</v>
      </c>
      <c r="AE52" s="45">
        <f t="shared" si="15"/>
        <v>254712.54000000004</v>
      </c>
      <c r="AF52" s="45">
        <f t="shared" si="15"/>
        <v>381780.64000000013</v>
      </c>
      <c r="AG52" s="45">
        <f t="shared" si="15"/>
        <v>530455.33000000007</v>
      </c>
      <c r="AH52" s="45">
        <f t="shared" si="15"/>
        <v>443439.29999999981</v>
      </c>
      <c r="AI52" s="45">
        <f t="shared" si="15"/>
        <v>502161.53000000026</v>
      </c>
      <c r="AJ52" s="45">
        <f t="shared" si="15"/>
        <v>343675.77000000048</v>
      </c>
      <c r="AK52" s="45">
        <f t="shared" si="15"/>
        <v>311009.05999999959</v>
      </c>
      <c r="AL52" s="45">
        <f t="shared" si="15"/>
        <v>343993.12999999989</v>
      </c>
      <c r="AM52" s="45">
        <f t="shared" si="15"/>
        <v>370770.33000000007</v>
      </c>
      <c r="AN52" s="45">
        <f t="shared" si="15"/>
        <v>314774.40000000037</v>
      </c>
      <c r="AO52" s="45">
        <f>IF(AO43="","",AO43-AN43)</f>
        <v>379291.84999999963</v>
      </c>
      <c r="AP52" s="45">
        <f t="shared" si="15"/>
        <v>387410.63999999966</v>
      </c>
      <c r="AQ52" s="45">
        <f t="shared" si="15"/>
        <v>492297.45000000019</v>
      </c>
      <c r="AR52" s="45">
        <f t="shared" si="15"/>
        <v>697197.21</v>
      </c>
      <c r="CB52" s="150"/>
      <c r="CC52" s="292"/>
      <c r="CD52" s="16" t="s">
        <v>14</v>
      </c>
      <c r="CE52" s="216">
        <v>-6713.6557534940275</v>
      </c>
      <c r="CF52" s="216">
        <v>-10488.062797508079</v>
      </c>
      <c r="CG52" s="216">
        <v>-8987.4971422552189</v>
      </c>
      <c r="CH52" s="216">
        <v>7612.4331689655346</v>
      </c>
      <c r="CI52" s="216">
        <v>-922.11641607500326</v>
      </c>
      <c r="CJ52" s="216">
        <v>-904.63913120410609</v>
      </c>
      <c r="CK52" s="216">
        <v>-897.0477313454553</v>
      </c>
      <c r="CL52" s="4"/>
      <c r="CM52" s="4"/>
      <c r="CN52" s="292"/>
      <c r="CO52" s="16" t="s">
        <v>14</v>
      </c>
      <c r="CP52" s="216">
        <v>-6836.8746280070472</v>
      </c>
      <c r="CQ52" s="216">
        <v>-10763.597673271255</v>
      </c>
      <c r="CR52" s="216">
        <v>-9447.1527212421333</v>
      </c>
      <c r="CS52" s="216">
        <v>7270.4086150435141</v>
      </c>
      <c r="CT52" s="216">
        <v>-937.86178784644778</v>
      </c>
      <c r="CU52" s="216">
        <v>-912.39050199471876</v>
      </c>
      <c r="CV52" s="216">
        <v>-898.8525373245559</v>
      </c>
      <c r="CW52" s="4"/>
      <c r="CX52" s="4"/>
      <c r="CY52" s="4"/>
      <c r="DA52" s="292"/>
      <c r="DB52" s="16" t="s">
        <v>13</v>
      </c>
      <c r="DC52" s="7">
        <v>-244335.99210147496</v>
      </c>
      <c r="DD52" s="7">
        <v>-262097.5366589881</v>
      </c>
      <c r="DE52" s="7">
        <v>34943.581056377836</v>
      </c>
      <c r="DF52" s="7">
        <v>-17569.754440167453</v>
      </c>
      <c r="DG52" s="7">
        <v>-15766.339546430914</v>
      </c>
      <c r="DH52" s="7">
        <v>-13692.794123675238</v>
      </c>
      <c r="DI52" s="7">
        <v>4407.0518485288776</v>
      </c>
      <c r="DJ52" s="7">
        <v>8814.7707934128994</v>
      </c>
      <c r="DK52" s="7">
        <v>4411.0473515667836</v>
      </c>
      <c r="DL52" s="7">
        <v>-10270.247450220748</v>
      </c>
      <c r="DM52" s="7">
        <v>-19485.251722579531</v>
      </c>
      <c r="DN52" s="7">
        <v>-16309.857220372869</v>
      </c>
      <c r="DO52" s="7">
        <v>-16381.529941854722</v>
      </c>
      <c r="DP52" s="7">
        <v>-18219.410865121463</v>
      </c>
      <c r="DQ52" s="7">
        <v>5701.3676304852852</v>
      </c>
      <c r="DR52" s="7">
        <v>-922.99357159134161</v>
      </c>
      <c r="DS52" s="7">
        <v>-828.12816488022145</v>
      </c>
      <c r="DT52" s="7">
        <v>-837.04919207446073</v>
      </c>
      <c r="DU52" s="7">
        <v>-934.98980935632062</v>
      </c>
      <c r="DV52" s="7">
        <v>-1076.228982074761</v>
      </c>
      <c r="DW52" s="7">
        <v>-1054.389252212648</v>
      </c>
      <c r="DX52" s="7">
        <v>-1003.6188526802143</v>
      </c>
      <c r="DY52" s="126">
        <v>-3755.2790515043343</v>
      </c>
      <c r="DZ52" s="7">
        <v>-823.76785360491704</v>
      </c>
      <c r="EA52" s="7">
        <v>-980.17199979259385</v>
      </c>
    </row>
    <row r="53" spans="1:133" x14ac:dyDescent="0.25">
      <c r="A53" s="38" t="s">
        <v>35</v>
      </c>
      <c r="B53" s="38"/>
      <c r="C53" s="37"/>
      <c r="D53" s="37"/>
      <c r="E53" s="45">
        <f t="shared" si="16"/>
        <v>0</v>
      </c>
      <c r="F53" s="45">
        <f t="shared" si="17"/>
        <v>0</v>
      </c>
      <c r="G53" s="45">
        <f t="shared" si="17"/>
        <v>0</v>
      </c>
      <c r="H53" s="45">
        <f t="shared" si="17"/>
        <v>6869.5</v>
      </c>
      <c r="I53" s="45">
        <f t="shared" si="17"/>
        <v>24434.09</v>
      </c>
      <c r="J53" s="45">
        <f t="shared" si="17"/>
        <v>33445.11</v>
      </c>
      <c r="K53" s="45">
        <f t="shared" si="17"/>
        <v>56507.020000000004</v>
      </c>
      <c r="L53" s="45">
        <f t="shared" si="17"/>
        <v>48297.09</v>
      </c>
      <c r="M53" s="45">
        <f t="shared" si="17"/>
        <v>55956.100000000006</v>
      </c>
      <c r="N53" s="45">
        <f t="shared" si="17"/>
        <v>75636.610000000015</v>
      </c>
      <c r="O53" s="45">
        <f t="shared" si="17"/>
        <v>97435.44</v>
      </c>
      <c r="P53" s="45">
        <f t="shared" si="17"/>
        <v>91627.37</v>
      </c>
      <c r="Q53" s="45">
        <f t="shared" si="17"/>
        <v>114648.81</v>
      </c>
      <c r="R53" s="45">
        <f t="shared" si="17"/>
        <v>61457.510000000009</v>
      </c>
      <c r="S53" s="45">
        <f t="shared" si="17"/>
        <v>104155.95999999996</v>
      </c>
      <c r="T53" s="45">
        <f t="shared" si="17"/>
        <v>224334.44000000006</v>
      </c>
      <c r="U53" s="45">
        <f t="shared" si="17"/>
        <v>335547.18999999994</v>
      </c>
      <c r="V53" s="45">
        <f t="shared" si="15"/>
        <v>322432.45999999996</v>
      </c>
      <c r="W53" s="45">
        <f t="shared" si="15"/>
        <v>354622.04000000004</v>
      </c>
      <c r="X53" s="45">
        <f t="shared" si="15"/>
        <v>232465.65000000014</v>
      </c>
      <c r="Y53" s="45">
        <f t="shared" si="15"/>
        <v>223717.25</v>
      </c>
      <c r="Z53" s="45">
        <f t="shared" si="15"/>
        <v>266782</v>
      </c>
      <c r="AA53" s="45">
        <f t="shared" si="15"/>
        <v>312134.54999999981</v>
      </c>
      <c r="AB53" s="45">
        <f t="shared" si="15"/>
        <v>271524.5299999998</v>
      </c>
      <c r="AC53" s="45">
        <f t="shared" si="15"/>
        <v>319501.77</v>
      </c>
      <c r="AD53" s="45">
        <f t="shared" si="15"/>
        <v>334489.62999999989</v>
      </c>
      <c r="AE53" s="45">
        <f t="shared" si="15"/>
        <v>450171.85000000009</v>
      </c>
      <c r="AF53" s="45">
        <f t="shared" si="15"/>
        <v>874404.77000000048</v>
      </c>
      <c r="AG53" s="45">
        <f t="shared" si="15"/>
        <v>1181243.2699999996</v>
      </c>
      <c r="AH53" s="45">
        <f t="shared" si="15"/>
        <v>1013262.5800000001</v>
      </c>
      <c r="AI53" s="45">
        <f t="shared" si="15"/>
        <v>1004470.3100000005</v>
      </c>
      <c r="AJ53" s="45">
        <f t="shared" si="15"/>
        <v>555562.1400000006</v>
      </c>
      <c r="AK53" s="45">
        <f t="shared" si="15"/>
        <v>504762.08999999985</v>
      </c>
      <c r="AL53" s="45">
        <f t="shared" si="15"/>
        <v>588919.23000000045</v>
      </c>
      <c r="AM53" s="45">
        <f t="shared" si="15"/>
        <v>665468.6099999994</v>
      </c>
      <c r="AN53" s="45">
        <f t="shared" si="15"/>
        <v>590121.8900000006</v>
      </c>
      <c r="AO53" s="45">
        <f t="shared" si="15"/>
        <v>688044.61999999918</v>
      </c>
      <c r="AP53" s="45">
        <f t="shared" si="15"/>
        <v>674429.38000000082</v>
      </c>
      <c r="AQ53" s="45">
        <f t="shared" si="15"/>
        <v>858322.68999999948</v>
      </c>
      <c r="AR53" s="45">
        <f t="shared" si="15"/>
        <v>1665208.5600000005</v>
      </c>
      <c r="CB53" s="150"/>
      <c r="CC53" s="292"/>
      <c r="CD53" s="18" t="s">
        <v>18</v>
      </c>
      <c r="CE53" s="216">
        <v>-211780.00788576331</v>
      </c>
      <c r="CF53" s="216">
        <v>-169835.27068327137</v>
      </c>
      <c r="CG53" s="216">
        <v>-128187.43782552659</v>
      </c>
      <c r="CH53" s="216">
        <v>-96944.404656561062</v>
      </c>
      <c r="CI53" s="216">
        <v>-87631.281072636062</v>
      </c>
      <c r="CJ53" s="216">
        <v>-78233.400203840167</v>
      </c>
      <c r="CK53" s="216">
        <v>-69053.097935185622</v>
      </c>
      <c r="CL53" s="4"/>
      <c r="CM53" s="4"/>
      <c r="CN53" s="292"/>
      <c r="CO53" s="18" t="s">
        <v>18</v>
      </c>
      <c r="CP53" s="216">
        <v>-211903.2267602763</v>
      </c>
      <c r="CQ53" s="216">
        <v>-170234.02443354757</v>
      </c>
      <c r="CR53" s="216">
        <v>-129045.84715478971</v>
      </c>
      <c r="CS53" s="216">
        <v>-98144.838539746197</v>
      </c>
      <c r="CT53" s="216">
        <v>-88847.460327592649</v>
      </c>
      <c r="CU53" s="216">
        <v>-79457.330829587372</v>
      </c>
      <c r="CV53" s="216">
        <v>-70278.833366911931</v>
      </c>
      <c r="CW53" s="4"/>
      <c r="CX53" s="4"/>
      <c r="CY53" s="4"/>
      <c r="DA53" s="292"/>
      <c r="DB53" s="17" t="s">
        <v>8</v>
      </c>
      <c r="DC53" s="8">
        <v>-249.8335681626495</v>
      </c>
      <c r="DD53" s="8">
        <v>-312.52686536122258</v>
      </c>
      <c r="DE53" s="8">
        <v>-375.39261386253241</v>
      </c>
      <c r="DF53" s="8">
        <v>-322.94428960940297</v>
      </c>
      <c r="DG53" s="8">
        <v>-319.03962289269901</v>
      </c>
      <c r="DH53" s="8">
        <v>-295.87659224900534</v>
      </c>
      <c r="DI53" s="8">
        <v>-240.70286352234578</v>
      </c>
      <c r="DJ53" s="8">
        <v>-145.71637810979612</v>
      </c>
      <c r="DK53" s="8">
        <v>-184.41410876220593</v>
      </c>
      <c r="DL53" s="8">
        <v>-147.56385820710088</v>
      </c>
      <c r="DM53" s="8">
        <v>-97.991570328601483</v>
      </c>
      <c r="DN53" s="8">
        <v>-84.928122998185174</v>
      </c>
      <c r="DO53" s="8">
        <v>-115.89715744741331</v>
      </c>
      <c r="DP53" s="8">
        <v>-77.071244265417434</v>
      </c>
      <c r="DQ53" s="8">
        <v>-72.580761182127048</v>
      </c>
      <c r="DR53" s="8">
        <v>-151.78000854561199</v>
      </c>
      <c r="DS53" s="8">
        <v>-118.62857897498122</v>
      </c>
      <c r="DT53" s="8">
        <v>-165.28342239516945</v>
      </c>
      <c r="DU53" s="8">
        <v>-219.53293065653057</v>
      </c>
      <c r="DV53" s="8">
        <v>-242.08978610457052</v>
      </c>
      <c r="DW53" s="8">
        <v>-226.72526894883333</v>
      </c>
      <c r="DX53" s="8">
        <v>-171.82418989044268</v>
      </c>
      <c r="DY53" s="8">
        <v>-134.59876281374724</v>
      </c>
      <c r="DZ53" s="8">
        <v>-68.755796671001278</v>
      </c>
      <c r="EA53" s="8">
        <v>47.529190250665458</v>
      </c>
      <c r="EB53" s="166">
        <f>SUM('MEEIA 2 calcs'!BJ52:CH52)</f>
        <v>-4602.331691325664</v>
      </c>
      <c r="EC53" s="166">
        <f>SUM(DC53:EA53)-EB53</f>
        <v>108.16251961473517</v>
      </c>
    </row>
    <row r="54" spans="1:133" x14ac:dyDescent="0.25">
      <c r="A54" s="38" t="s">
        <v>36</v>
      </c>
      <c r="B54" s="38"/>
      <c r="C54" s="37"/>
      <c r="D54" s="37"/>
      <c r="E54" s="45">
        <f t="shared" si="16"/>
        <v>0</v>
      </c>
      <c r="F54" s="45">
        <f t="shared" si="17"/>
        <v>0</v>
      </c>
      <c r="G54" s="45">
        <f t="shared" si="17"/>
        <v>0</v>
      </c>
      <c r="H54" s="45">
        <f t="shared" si="17"/>
        <v>526.23</v>
      </c>
      <c r="I54" s="45">
        <f t="shared" si="17"/>
        <v>1707.2400000000002</v>
      </c>
      <c r="J54" s="45">
        <f t="shared" si="17"/>
        <v>2028.9700000000003</v>
      </c>
      <c r="K54" s="45">
        <f t="shared" si="17"/>
        <v>4499.26</v>
      </c>
      <c r="L54" s="45">
        <f t="shared" si="17"/>
        <v>4284.0400000000009</v>
      </c>
      <c r="M54" s="45">
        <f t="shared" si="17"/>
        <v>7227.9200000000019</v>
      </c>
      <c r="N54" s="45">
        <f t="shared" si="17"/>
        <v>17612.240000000005</v>
      </c>
      <c r="O54" s="45">
        <f t="shared" si="17"/>
        <v>27292.259999999995</v>
      </c>
      <c r="P54" s="45">
        <f t="shared" si="17"/>
        <v>23704.949999999997</v>
      </c>
      <c r="Q54" s="45">
        <f t="shared" si="17"/>
        <v>28875.64</v>
      </c>
      <c r="R54" s="45">
        <f t="shared" si="17"/>
        <v>10528.699999999997</v>
      </c>
      <c r="S54" s="45">
        <f t="shared" si="17"/>
        <v>28682.469999999987</v>
      </c>
      <c r="T54" s="45">
        <f t="shared" si="17"/>
        <v>126775.78999999998</v>
      </c>
      <c r="U54" s="45">
        <f t="shared" si="17"/>
        <v>176719.39</v>
      </c>
      <c r="V54" s="45">
        <f t="shared" si="15"/>
        <v>216016.28000000003</v>
      </c>
      <c r="W54" s="45">
        <f t="shared" si="15"/>
        <v>202325.74</v>
      </c>
      <c r="X54" s="45">
        <f t="shared" si="15"/>
        <v>100347.42000000004</v>
      </c>
      <c r="Y54" s="45">
        <f t="shared" si="15"/>
        <v>95296.699999999953</v>
      </c>
      <c r="Z54" s="45">
        <f t="shared" si="15"/>
        <v>112165</v>
      </c>
      <c r="AA54" s="45">
        <f t="shared" si="15"/>
        <v>128838.41999999993</v>
      </c>
      <c r="AB54" s="45">
        <f t="shared" si="15"/>
        <v>113105.29000000004</v>
      </c>
      <c r="AC54" s="45">
        <f t="shared" si="15"/>
        <v>129355.61999999988</v>
      </c>
      <c r="AD54" s="45">
        <f t="shared" si="15"/>
        <v>128572.66999999993</v>
      </c>
      <c r="AE54" s="45">
        <f t="shared" si="15"/>
        <v>176412.76</v>
      </c>
      <c r="AF54" s="45">
        <f t="shared" si="15"/>
        <v>415763.34000000008</v>
      </c>
      <c r="AG54" s="45">
        <f t="shared" si="15"/>
        <v>534461.66000000015</v>
      </c>
      <c r="AH54" s="45">
        <f t="shared" si="15"/>
        <v>476645.58999999985</v>
      </c>
      <c r="AI54" s="45">
        <f t="shared" si="15"/>
        <v>408059.52</v>
      </c>
      <c r="AJ54" s="45">
        <f t="shared" si="15"/>
        <v>202886.29000000004</v>
      </c>
      <c r="AK54" s="45">
        <f t="shared" si="15"/>
        <v>186362.33999999985</v>
      </c>
      <c r="AL54" s="45">
        <f t="shared" si="15"/>
        <v>218445.35999999987</v>
      </c>
      <c r="AM54" s="45">
        <f t="shared" si="15"/>
        <v>246867.91000000015</v>
      </c>
      <c r="AN54" s="45">
        <f t="shared" si="15"/>
        <v>226394.08999999985</v>
      </c>
      <c r="AO54" s="45">
        <f t="shared" si="15"/>
        <v>266615.62000000011</v>
      </c>
      <c r="AP54" s="45">
        <f t="shared" si="15"/>
        <v>255385.79000000004</v>
      </c>
      <c r="AQ54" s="45">
        <f t="shared" si="15"/>
        <v>334576.9299999997</v>
      </c>
      <c r="AR54" s="45">
        <f t="shared" si="15"/>
        <v>776547.50999999978</v>
      </c>
      <c r="CB54" s="150"/>
      <c r="CC54" s="40"/>
      <c r="CD54" s="11"/>
      <c r="CE54" s="2"/>
      <c r="CF54" s="2"/>
      <c r="CG54" s="2"/>
      <c r="CH54" s="2"/>
      <c r="CI54" s="2"/>
      <c r="CJ54" s="2"/>
      <c r="CK54" s="2"/>
      <c r="CL54" s="4"/>
      <c r="CM54" s="4"/>
      <c r="CN54" s="40"/>
      <c r="CO54" s="11"/>
      <c r="CP54" s="2"/>
      <c r="CQ54" s="2"/>
      <c r="CR54" s="2"/>
      <c r="CS54" s="2"/>
      <c r="CT54" s="2"/>
      <c r="CU54" s="2"/>
      <c r="CV54" s="2"/>
      <c r="CW54" s="4"/>
      <c r="CX54" s="4"/>
      <c r="CY54" s="4"/>
      <c r="DA54" s="292"/>
      <c r="DB54" s="16" t="s">
        <v>14</v>
      </c>
      <c r="DC54" s="7">
        <v>-244585.82566963762</v>
      </c>
      <c r="DD54" s="7">
        <v>-262410.0635243493</v>
      </c>
      <c r="DE54" s="7">
        <v>34568.188442515304</v>
      </c>
      <c r="DF54" s="7">
        <v>-17892.698729776857</v>
      </c>
      <c r="DG54" s="7">
        <v>-16085.379169323613</v>
      </c>
      <c r="DH54" s="7">
        <v>-13988.670715924243</v>
      </c>
      <c r="DI54" s="7">
        <v>4166.3489850065316</v>
      </c>
      <c r="DJ54" s="7">
        <v>8669.0544153031024</v>
      </c>
      <c r="DK54" s="7">
        <v>4226.633242804578</v>
      </c>
      <c r="DL54" s="7">
        <v>-10417.811308427848</v>
      </c>
      <c r="DM54" s="7">
        <v>-19583.243292908133</v>
      </c>
      <c r="DN54" s="7">
        <v>-16394.785343371055</v>
      </c>
      <c r="DO54" s="7">
        <v>-16497.427099302135</v>
      </c>
      <c r="DP54" s="7">
        <v>-18296.482109386881</v>
      </c>
      <c r="DQ54" s="7">
        <v>5628.7868693031578</v>
      </c>
      <c r="DR54" s="7">
        <v>-1074.7735801369536</v>
      </c>
      <c r="DS54" s="7">
        <v>-946.75674385520267</v>
      </c>
      <c r="DT54" s="7">
        <v>-1002.3326144696302</v>
      </c>
      <c r="DU54" s="7">
        <v>-1154.5227400128513</v>
      </c>
      <c r="DV54" s="7">
        <v>-1318.3187681793315</v>
      </c>
      <c r="DW54" s="7">
        <v>-1281.1145211614812</v>
      </c>
      <c r="DX54" s="7">
        <v>-1175.4430425706571</v>
      </c>
      <c r="DY54" s="7">
        <v>-3889.8778143180816</v>
      </c>
      <c r="DZ54" s="7">
        <v>-892.52365027591827</v>
      </c>
      <c r="EA54" s="7">
        <v>-932.64280954192839</v>
      </c>
    </row>
    <row r="55" spans="1:133" x14ac:dyDescent="0.25">
      <c r="A55" s="38" t="s">
        <v>37</v>
      </c>
      <c r="B55" s="38"/>
      <c r="C55" s="37"/>
      <c r="D55" s="37"/>
      <c r="E55" s="45">
        <f t="shared" si="16"/>
        <v>0</v>
      </c>
      <c r="F55" s="45">
        <f t="shared" si="17"/>
        <v>0</v>
      </c>
      <c r="G55" s="45">
        <f t="shared" si="17"/>
        <v>0</v>
      </c>
      <c r="H55" s="45">
        <f t="shared" si="17"/>
        <v>0</v>
      </c>
      <c r="I55" s="45">
        <f t="shared" si="17"/>
        <v>360.22</v>
      </c>
      <c r="J55" s="45">
        <f t="shared" si="17"/>
        <v>1250.5</v>
      </c>
      <c r="K55" s="45">
        <f t="shared" si="17"/>
        <v>2097.7199999999993</v>
      </c>
      <c r="L55" s="45">
        <f t="shared" si="17"/>
        <v>1848.1400000000003</v>
      </c>
      <c r="M55" s="45">
        <f t="shared" si="17"/>
        <v>2286.0100000000002</v>
      </c>
      <c r="N55" s="45">
        <f t="shared" si="17"/>
        <v>3076.2700000000004</v>
      </c>
      <c r="O55" s="45">
        <f t="shared" si="17"/>
        <v>5696.5999999999985</v>
      </c>
      <c r="P55" s="45">
        <f t="shared" si="17"/>
        <v>6142.6100000000006</v>
      </c>
      <c r="Q55" s="45">
        <f t="shared" si="17"/>
        <v>8834.9599999999991</v>
      </c>
      <c r="R55" s="45">
        <f t="shared" si="17"/>
        <v>7688.4700000000012</v>
      </c>
      <c r="S55" s="45">
        <f t="shared" si="17"/>
        <v>10845.160000000003</v>
      </c>
      <c r="T55" s="45">
        <f t="shared" si="17"/>
        <v>20033.729999999996</v>
      </c>
      <c r="U55" s="45">
        <f t="shared" si="17"/>
        <v>29338.039999999994</v>
      </c>
      <c r="V55" s="45">
        <f t="shared" si="15"/>
        <v>26225.059999999998</v>
      </c>
      <c r="W55" s="45">
        <f t="shared" si="15"/>
        <v>25792.080000000016</v>
      </c>
      <c r="X55" s="45">
        <f t="shared" si="15"/>
        <v>18911.649999999994</v>
      </c>
      <c r="Y55" s="45">
        <f t="shared" si="15"/>
        <v>18135.429999999993</v>
      </c>
      <c r="Z55" s="45">
        <f t="shared" si="15"/>
        <v>20092.940000000002</v>
      </c>
      <c r="AA55" s="45">
        <f t="shared" si="15"/>
        <v>22817.299999999988</v>
      </c>
      <c r="AB55" s="45">
        <f t="shared" si="15"/>
        <v>20524.76999999999</v>
      </c>
      <c r="AC55" s="45">
        <f t="shared" si="15"/>
        <v>22865.559999999998</v>
      </c>
      <c r="AD55" s="45">
        <f t="shared" si="15"/>
        <v>23955.599999999977</v>
      </c>
      <c r="AE55" s="45">
        <f t="shared" si="15"/>
        <v>33056.75</v>
      </c>
      <c r="AF55" s="45">
        <f t="shared" si="15"/>
        <v>72196.109999999986</v>
      </c>
      <c r="AG55" s="45">
        <f t="shared" si="15"/>
        <v>96088.410000000033</v>
      </c>
      <c r="AH55" s="45">
        <f t="shared" si="15"/>
        <v>80854.579999999958</v>
      </c>
      <c r="AI55" s="45">
        <f t="shared" si="15"/>
        <v>65756.459999999963</v>
      </c>
      <c r="AJ55" s="45">
        <f t="shared" si="15"/>
        <v>35564.589999999967</v>
      </c>
      <c r="AK55" s="45">
        <f t="shared" si="15"/>
        <v>33321.969999999972</v>
      </c>
      <c r="AL55" s="45">
        <f t="shared" si="15"/>
        <v>40399.459999999963</v>
      </c>
      <c r="AM55" s="45">
        <f t="shared" si="15"/>
        <v>46987.760000000009</v>
      </c>
      <c r="AN55" s="45">
        <f t="shared" si="15"/>
        <v>47472.010000000009</v>
      </c>
      <c r="AO55" s="45">
        <f t="shared" si="15"/>
        <v>52888.209999999963</v>
      </c>
      <c r="AP55" s="45">
        <f t="shared" si="15"/>
        <v>50526.309999999939</v>
      </c>
      <c r="AQ55" s="45">
        <f t="shared" si="15"/>
        <v>69607.209999999963</v>
      </c>
      <c r="AR55" s="45">
        <f t="shared" si="15"/>
        <v>189324.82000000007</v>
      </c>
      <c r="CB55" s="150"/>
      <c r="CC55" s="292" t="s">
        <v>24</v>
      </c>
      <c r="CD55" s="15"/>
      <c r="CE55" s="2"/>
      <c r="CF55" s="2"/>
      <c r="CG55" s="2"/>
      <c r="CH55" s="2"/>
      <c r="CI55" s="2"/>
      <c r="CJ55" s="2"/>
      <c r="CK55" s="2"/>
      <c r="CL55" s="4"/>
      <c r="CM55" s="4"/>
      <c r="CN55" s="292" t="s">
        <v>24</v>
      </c>
      <c r="CO55" s="15"/>
      <c r="CP55" s="2"/>
      <c r="CQ55" s="2"/>
      <c r="CR55" s="2"/>
      <c r="CS55" s="2"/>
      <c r="CT55" s="2"/>
      <c r="CU55" s="2"/>
      <c r="CV55" s="2"/>
      <c r="CW55" s="4"/>
      <c r="CX55" s="4"/>
      <c r="CY55" s="4"/>
      <c r="DA55" s="292"/>
      <c r="DB55" s="18" t="s">
        <v>17</v>
      </c>
      <c r="DC55" s="7">
        <v>-1499251.2425440596</v>
      </c>
      <c r="DD55" s="7">
        <v>-1819629.776068409</v>
      </c>
      <c r="DE55" s="7">
        <v>-1940246.8776258938</v>
      </c>
      <c r="DF55" s="7">
        <v>-1813988.3763556706</v>
      </c>
      <c r="DG55" s="7">
        <v>-1700934.0255249944</v>
      </c>
      <c r="DH55" s="7">
        <v>-1583426.6762409187</v>
      </c>
      <c r="DI55" s="7">
        <v>-1432576.6572559122</v>
      </c>
      <c r="DJ55" s="7">
        <v>-1253179.8028406091</v>
      </c>
      <c r="DK55" s="7">
        <v>-1079160.5695978045</v>
      </c>
      <c r="DL55" s="7">
        <v>-916536.74090623227</v>
      </c>
      <c r="DM55" s="7">
        <v>-784030.5541991404</v>
      </c>
      <c r="DN55" s="7">
        <v>-665279.18954251148</v>
      </c>
      <c r="DO55" s="7">
        <v>-534072.94664181361</v>
      </c>
      <c r="DP55" s="7">
        <v>-394555.60875120049</v>
      </c>
      <c r="DQ55" s="7">
        <v>-294469.0918818973</v>
      </c>
      <c r="DR55" s="7">
        <v>-264770.50546203426</v>
      </c>
      <c r="DS55" s="7">
        <v>-237211.40220588946</v>
      </c>
      <c r="DT55" s="7">
        <v>-209009.19482035909</v>
      </c>
      <c r="DU55" s="7">
        <v>-177516.48756037193</v>
      </c>
      <c r="DV55" s="7">
        <v>-141492.22632855125</v>
      </c>
      <c r="DW55" s="7">
        <v>-106336.16084971273</v>
      </c>
      <c r="DX55" s="7">
        <v>-72730.263892283401</v>
      </c>
      <c r="DY55" s="7">
        <v>-46680.111706601485</v>
      </c>
      <c r="DZ55" s="7">
        <v>-19318.655356877403</v>
      </c>
      <c r="EA55" s="7">
        <v>12399.181833580667</v>
      </c>
    </row>
    <row r="56" spans="1:133" x14ac:dyDescent="0.25">
      <c r="A56" s="38" t="s">
        <v>29</v>
      </c>
      <c r="B56" s="38"/>
      <c r="C56" s="37"/>
      <c r="D56" s="37"/>
      <c r="E56" s="45">
        <f t="shared" si="16"/>
        <v>0</v>
      </c>
      <c r="F56" s="45">
        <f t="shared" si="17"/>
        <v>0</v>
      </c>
      <c r="G56" s="45">
        <f t="shared" si="17"/>
        <v>0</v>
      </c>
      <c r="H56" s="45">
        <f t="shared" si="17"/>
        <v>0</v>
      </c>
      <c r="I56" s="45">
        <f t="shared" si="17"/>
        <v>0</v>
      </c>
      <c r="J56" s="45">
        <f t="shared" si="17"/>
        <v>1868.8500000000001</v>
      </c>
      <c r="K56" s="45">
        <f t="shared" si="17"/>
        <v>2184.4399999999996</v>
      </c>
      <c r="L56" s="45">
        <f t="shared" si="17"/>
        <v>1005.9299999999994</v>
      </c>
      <c r="M56" s="45">
        <f t="shared" si="17"/>
        <v>2449.6499999999996</v>
      </c>
      <c r="N56" s="45">
        <f t="shared" si="17"/>
        <v>4788.4700000000012</v>
      </c>
      <c r="O56" s="45">
        <f t="shared" si="17"/>
        <v>6425.57</v>
      </c>
      <c r="P56" s="45">
        <f t="shared" si="17"/>
        <v>6708.4799999999959</v>
      </c>
      <c r="Q56" s="45">
        <f t="shared" si="17"/>
        <v>6886.6700000000019</v>
      </c>
      <c r="R56" s="45">
        <f t="shared" si="17"/>
        <v>4593.1399999999994</v>
      </c>
      <c r="S56" s="45">
        <f t="shared" si="17"/>
        <v>6007.8699999999953</v>
      </c>
      <c r="T56" s="45">
        <f t="shared" si="17"/>
        <v>15717.750000000007</v>
      </c>
      <c r="U56" s="45">
        <f t="shared" si="17"/>
        <v>17522.230000000003</v>
      </c>
      <c r="V56" s="45">
        <f t="shared" si="15"/>
        <v>19804.249999999985</v>
      </c>
      <c r="W56" s="45">
        <f t="shared" si="15"/>
        <v>20193.839999999997</v>
      </c>
      <c r="X56" s="45">
        <f t="shared" si="15"/>
        <v>10731.830000000002</v>
      </c>
      <c r="Y56" s="45">
        <f t="shared" si="15"/>
        <v>14531.770000000004</v>
      </c>
      <c r="Z56" s="45">
        <f t="shared" si="15"/>
        <v>19488.639999999956</v>
      </c>
      <c r="AA56" s="45">
        <f t="shared" si="15"/>
        <v>20250.780000000028</v>
      </c>
      <c r="AB56" s="45">
        <f t="shared" si="15"/>
        <v>20401.619999999995</v>
      </c>
      <c r="AC56" s="45">
        <f t="shared" si="15"/>
        <v>23299.399999999994</v>
      </c>
      <c r="AD56" s="45">
        <f t="shared" si="15"/>
        <v>20893.320000000036</v>
      </c>
      <c r="AE56" s="45">
        <f t="shared" si="15"/>
        <v>25224.239999999932</v>
      </c>
      <c r="AF56" s="45">
        <f t="shared" si="15"/>
        <v>61998.770000000077</v>
      </c>
      <c r="AG56" s="45">
        <f t="shared" si="15"/>
        <v>80900.339999999967</v>
      </c>
      <c r="AH56" s="45">
        <f t="shared" si="15"/>
        <v>77471.349999999977</v>
      </c>
      <c r="AI56" s="45">
        <f t="shared" si="15"/>
        <v>68199.050000000047</v>
      </c>
      <c r="AJ56" s="45">
        <f t="shared" si="15"/>
        <v>35404.330000000075</v>
      </c>
      <c r="AK56" s="45">
        <f t="shared" si="15"/>
        <v>38986.379999999888</v>
      </c>
      <c r="AL56" s="45">
        <f t="shared" si="15"/>
        <v>48233.369999999995</v>
      </c>
      <c r="AM56" s="45">
        <f t="shared" si="15"/>
        <v>51795.769999999902</v>
      </c>
      <c r="AN56" s="45">
        <f t="shared" si="15"/>
        <v>48044.540000000037</v>
      </c>
      <c r="AO56" s="45">
        <f t="shared" si="15"/>
        <v>53160.570000000065</v>
      </c>
      <c r="AP56" s="45">
        <f t="shared" si="15"/>
        <v>48679.090000000084</v>
      </c>
      <c r="AQ56" s="45">
        <f t="shared" si="15"/>
        <v>58984.709999999963</v>
      </c>
      <c r="AR56" s="45">
        <f t="shared" si="15"/>
        <v>128957.95999999996</v>
      </c>
      <c r="CC56" s="292"/>
      <c r="CD56" s="15" t="s">
        <v>28</v>
      </c>
      <c r="CE56" s="216">
        <v>-54.189999999944121</v>
      </c>
      <c r="CF56" s="216">
        <v>-56.580000000074506</v>
      </c>
      <c r="CG56" s="216">
        <v>-61.179999999701977</v>
      </c>
      <c r="CH56" s="216">
        <v>-51.470000000204891</v>
      </c>
      <c r="CI56" s="216">
        <v>0</v>
      </c>
      <c r="CJ56" s="216">
        <v>0</v>
      </c>
      <c r="CK56" s="216">
        <v>0</v>
      </c>
      <c r="CN56" s="292"/>
      <c r="CO56" s="15" t="s">
        <v>28</v>
      </c>
      <c r="CP56" s="216">
        <v>-54.189999999944121</v>
      </c>
      <c r="CQ56" s="216">
        <v>-56.580000000074506</v>
      </c>
      <c r="CR56" s="216">
        <v>-61.179999999701977</v>
      </c>
      <c r="CS56" s="216">
        <v>-51.470000000204891</v>
      </c>
      <c r="CT56" s="216">
        <v>0</v>
      </c>
      <c r="CU56" s="216">
        <v>0</v>
      </c>
      <c r="CV56" s="216">
        <v>0</v>
      </c>
      <c r="DA56" s="40"/>
      <c r="DB56" s="11"/>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row>
    <row r="57" spans="1:133" x14ac:dyDescent="0.25">
      <c r="A57" s="35" t="s">
        <v>31</v>
      </c>
      <c r="B57" s="35"/>
      <c r="C57" s="37"/>
      <c r="D57" s="37"/>
      <c r="E57" s="44">
        <f>SUM(E51:E56)</f>
        <v>0</v>
      </c>
      <c r="F57" s="44">
        <f t="shared" ref="F57:AR57" si="18">SUM(F51:F56)</f>
        <v>1315.62</v>
      </c>
      <c r="G57" s="44">
        <f t="shared" si="18"/>
        <v>9547.77</v>
      </c>
      <c r="H57" s="44">
        <f t="shared" si="18"/>
        <v>131836.54999999999</v>
      </c>
      <c r="I57" s="44">
        <f t="shared" si="18"/>
        <v>295613.25</v>
      </c>
      <c r="J57" s="44">
        <f t="shared" si="18"/>
        <v>620316.48999999987</v>
      </c>
      <c r="K57" s="44">
        <f t="shared" si="18"/>
        <v>555398.20999999985</v>
      </c>
      <c r="L57" s="44">
        <f t="shared" si="18"/>
        <v>198514.37000000011</v>
      </c>
      <c r="M57" s="44">
        <f t="shared" si="18"/>
        <v>277476.9599999999</v>
      </c>
      <c r="N57" s="44">
        <f t="shared" si="18"/>
        <v>434867.4</v>
      </c>
      <c r="O57" s="44">
        <f t="shared" si="18"/>
        <v>508459.40000000014</v>
      </c>
      <c r="P57" s="44">
        <f t="shared" si="18"/>
        <v>490745.49000000017</v>
      </c>
      <c r="Q57" s="44">
        <f t="shared" si="18"/>
        <v>527476.22000000009</v>
      </c>
      <c r="R57" s="44">
        <f t="shared" si="18"/>
        <v>258953.52000000025</v>
      </c>
      <c r="S57" s="44">
        <f t="shared" si="18"/>
        <v>394310.88999999978</v>
      </c>
      <c r="T57" s="44">
        <f t="shared" si="18"/>
        <v>1342259.4100000001</v>
      </c>
      <c r="U57" s="44">
        <f t="shared" si="18"/>
        <v>1962488.9300000002</v>
      </c>
      <c r="V57" s="44">
        <f t="shared" si="18"/>
        <v>2100865.73</v>
      </c>
      <c r="W57" s="44">
        <f t="shared" si="18"/>
        <v>1649752.0800000003</v>
      </c>
      <c r="X57" s="44">
        <f t="shared" si="18"/>
        <v>751621.14999999979</v>
      </c>
      <c r="Y57" s="44">
        <f t="shared" si="18"/>
        <v>841460.40999999968</v>
      </c>
      <c r="Z57" s="44">
        <f t="shared" si="18"/>
        <v>1085634.8200000005</v>
      </c>
      <c r="AA57" s="44">
        <f t="shared" si="18"/>
        <v>1183123.0699999994</v>
      </c>
      <c r="AB57" s="44">
        <f t="shared" si="18"/>
        <v>1041235.799999999</v>
      </c>
      <c r="AC57" s="44">
        <f t="shared" si="18"/>
        <v>1113426.4299999995</v>
      </c>
      <c r="AD57" s="44">
        <f t="shared" si="18"/>
        <v>1057341.1199999994</v>
      </c>
      <c r="AE57" s="44">
        <f t="shared" si="18"/>
        <v>1420849.9099999997</v>
      </c>
      <c r="AF57" s="44">
        <f t="shared" si="18"/>
        <v>3799102.3500000015</v>
      </c>
      <c r="AG57" s="44">
        <f t="shared" si="18"/>
        <v>5128806.18</v>
      </c>
      <c r="AH57" s="44">
        <f t="shared" si="18"/>
        <v>4697486.7700000005</v>
      </c>
      <c r="AI57" s="44">
        <f t="shared" si="18"/>
        <v>3577277.59</v>
      </c>
      <c r="AJ57" s="44">
        <f t="shared" si="18"/>
        <v>1552311.3900000006</v>
      </c>
      <c r="AK57" s="44">
        <f t="shared" si="18"/>
        <v>1560965.8799999983</v>
      </c>
      <c r="AL57" s="44">
        <f t="shared" si="18"/>
        <v>1902498.7800000007</v>
      </c>
      <c r="AM57" s="44">
        <f t="shared" si="18"/>
        <v>2044546.7300000009</v>
      </c>
      <c r="AN57" s="44">
        <f t="shared" si="18"/>
        <v>1819223.7300000016</v>
      </c>
      <c r="AO57" s="44">
        <f t="shared" si="18"/>
        <v>1991958.3199999982</v>
      </c>
      <c r="AP57" s="44">
        <f t="shared" si="18"/>
        <v>1852056.3300000017</v>
      </c>
      <c r="AQ57" s="44">
        <f t="shared" si="18"/>
        <v>2404199.6199999982</v>
      </c>
      <c r="AR57" s="44">
        <f t="shared" si="18"/>
        <v>6080629.2500000019</v>
      </c>
      <c r="CC57" s="292"/>
      <c r="CD57" s="16" t="s">
        <v>26</v>
      </c>
      <c r="CE57" s="216">
        <v>1134.0675425845006</v>
      </c>
      <c r="CF57" s="216">
        <v>1713.7681476555249</v>
      </c>
      <c r="CG57" s="216">
        <v>1528.2002495401016</v>
      </c>
      <c r="CH57" s="216">
        <v>880.06349454617578</v>
      </c>
      <c r="CI57" s="216">
        <v>-2097.7749559192816</v>
      </c>
      <c r="CJ57" s="216">
        <v>-9941.5602511884663</v>
      </c>
      <c r="CK57" s="216">
        <v>-1916.6757761009615</v>
      </c>
      <c r="CN57" s="292"/>
      <c r="CO57" s="16" t="s">
        <v>26</v>
      </c>
      <c r="CP57" s="216">
        <v>1176.9028001128138</v>
      </c>
      <c r="CQ57" s="216">
        <v>1792.9575585199016</v>
      </c>
      <c r="CR57" s="216">
        <v>1692.6183076773953</v>
      </c>
      <c r="CS57" s="216">
        <v>1002.7219086393443</v>
      </c>
      <c r="CT57" s="216">
        <v>-2092.2487403040109</v>
      </c>
      <c r="CU57" s="216">
        <v>-9938.8643100484314</v>
      </c>
      <c r="CV57" s="216">
        <v>-1916.4119977784555</v>
      </c>
      <c r="DA57" s="292" t="s">
        <v>23</v>
      </c>
      <c r="DB57" s="15"/>
      <c r="DC57" s="7"/>
      <c r="DD57" s="7"/>
      <c r="DE57" s="7"/>
      <c r="DF57" s="7"/>
      <c r="DG57" s="7"/>
      <c r="DH57" s="7"/>
      <c r="DI57" s="7"/>
      <c r="DJ57" s="7"/>
      <c r="DK57" s="7"/>
      <c r="DL57" s="7"/>
      <c r="DM57" s="7"/>
      <c r="DN57" s="7"/>
      <c r="DO57" s="7"/>
      <c r="DP57" s="7"/>
      <c r="DQ57" s="7"/>
      <c r="DR57" s="7"/>
      <c r="DS57" s="7"/>
      <c r="DT57" s="7"/>
      <c r="DU57" s="7"/>
      <c r="DV57" s="7"/>
      <c r="DW57" s="7"/>
      <c r="DX57" s="7"/>
      <c r="DY57" s="126">
        <v>-1222.8910428397539</v>
      </c>
      <c r="DZ57" s="7"/>
      <c r="EA57" s="7"/>
    </row>
    <row r="58" spans="1:133" x14ac:dyDescent="0.25">
      <c r="CB58" s="183"/>
      <c r="CC58" s="292"/>
      <c r="CD58" s="16" t="s">
        <v>51</v>
      </c>
      <c r="CE58" s="216">
        <v>-837.34</v>
      </c>
      <c r="CF58" s="216">
        <v>-1174.03</v>
      </c>
      <c r="CG58" s="216">
        <v>-1093.94</v>
      </c>
      <c r="CH58" s="216">
        <v>-595.17999999999995</v>
      </c>
      <c r="CI58" s="216">
        <v>2111.9699999999998</v>
      </c>
      <c r="CJ58" s="216">
        <v>9939.4599999999991</v>
      </c>
      <c r="CK58" s="216">
        <v>1923.43</v>
      </c>
      <c r="CL58" s="1"/>
      <c r="CM58" s="1"/>
      <c r="CN58" s="292"/>
      <c r="CO58" s="16" t="s">
        <v>51</v>
      </c>
      <c r="CP58" s="216">
        <v>-837.34</v>
      </c>
      <c r="CQ58" s="216">
        <v>-1174.03</v>
      </c>
      <c r="CR58" s="216">
        <v>-1093.94</v>
      </c>
      <c r="CS58" s="216">
        <v>-595.17999999999995</v>
      </c>
      <c r="CT58" s="216">
        <v>2111.9699999999998</v>
      </c>
      <c r="CU58" s="216">
        <v>9939.4599999999991</v>
      </c>
      <c r="CV58" s="216">
        <v>1923.43</v>
      </c>
      <c r="CW58" s="1"/>
      <c r="CX58" s="1"/>
      <c r="CY58" s="1"/>
      <c r="DA58" s="292"/>
      <c r="DB58" s="15" t="s">
        <v>28</v>
      </c>
      <c r="DC58" s="20">
        <v>9586.9900000002235</v>
      </c>
      <c r="DD58" s="20">
        <v>12497.580000000075</v>
      </c>
      <c r="DE58" s="20">
        <v>10043.310000000522</v>
      </c>
      <c r="DF58" s="20">
        <v>10496.050000000745</v>
      </c>
      <c r="DG58" s="20">
        <v>9775.9599999990314</v>
      </c>
      <c r="DH58" s="20">
        <v>13527.650000000373</v>
      </c>
      <c r="DI58" s="20">
        <v>36494.849999999627</v>
      </c>
      <c r="DJ58" s="20">
        <v>47679.970000000671</v>
      </c>
      <c r="DK58" s="20">
        <v>45288.439999999478</v>
      </c>
      <c r="DL58" s="20">
        <v>29486.400000000373</v>
      </c>
      <c r="DM58" s="20">
        <v>11833.289999999106</v>
      </c>
      <c r="DN58" s="20">
        <v>10374.580000000075</v>
      </c>
      <c r="DO58" s="20">
        <v>12057.450000001118</v>
      </c>
      <c r="DP58" s="20">
        <v>12824.789999999106</v>
      </c>
      <c r="DQ58" s="20">
        <v>10330.179999999702</v>
      </c>
      <c r="DR58" s="20">
        <v>0</v>
      </c>
      <c r="DS58" s="20">
        <v>0</v>
      </c>
      <c r="DT58" s="20">
        <v>0</v>
      </c>
      <c r="DU58" s="20">
        <v>0</v>
      </c>
      <c r="DV58" s="20">
        <v>0</v>
      </c>
      <c r="DW58" s="20">
        <v>0</v>
      </c>
      <c r="DX58" s="20">
        <v>0</v>
      </c>
      <c r="DY58" s="20">
        <v>0</v>
      </c>
      <c r="DZ58" s="20">
        <v>0</v>
      </c>
      <c r="EA58" s="20">
        <v>0</v>
      </c>
    </row>
    <row r="59" spans="1:133" x14ac:dyDescent="0.25">
      <c r="CC59" s="292"/>
      <c r="CD59" s="16" t="s">
        <v>52</v>
      </c>
      <c r="CE59" s="216">
        <v>296.72754258450061</v>
      </c>
      <c r="CF59" s="216">
        <v>539.73814765552493</v>
      </c>
      <c r="CG59" s="216">
        <v>434.26024954010154</v>
      </c>
      <c r="CH59" s="216">
        <v>284.88349454617583</v>
      </c>
      <c r="CI59" s="216">
        <v>14.195044080718162</v>
      </c>
      <c r="CJ59" s="216">
        <v>-2.1002511884671549</v>
      </c>
      <c r="CK59" s="216">
        <v>6.7542238990386068</v>
      </c>
      <c r="CN59" s="292"/>
      <c r="CO59" s="16" t="s">
        <v>52</v>
      </c>
      <c r="CP59" s="216">
        <v>339.56280011281376</v>
      </c>
      <c r="CQ59" s="216">
        <v>618.92755851990159</v>
      </c>
      <c r="CR59" s="216">
        <v>598.6783076773952</v>
      </c>
      <c r="CS59" s="216">
        <v>407.54190863934434</v>
      </c>
      <c r="CT59" s="216">
        <v>19.72125969598892</v>
      </c>
      <c r="CU59" s="216">
        <v>0.59568995156769233</v>
      </c>
      <c r="CV59" s="216">
        <v>7.0180022215445206</v>
      </c>
      <c r="CW59" s="4" t="s">
        <v>117</v>
      </c>
      <c r="CX59" s="4" t="s">
        <v>118</v>
      </c>
      <c r="CY59" s="4" t="s">
        <v>119</v>
      </c>
      <c r="DA59" s="292"/>
      <c r="DB59" s="16" t="s">
        <v>26</v>
      </c>
      <c r="DC59" s="20">
        <v>132518.9610920955</v>
      </c>
      <c r="DD59" s="20">
        <v>130056.06716620013</v>
      </c>
      <c r="DE59" s="20">
        <v>73469.336246691571</v>
      </c>
      <c r="DF59" s="20">
        <v>-22612.659176541922</v>
      </c>
      <c r="DG59" s="20">
        <v>-24415.905916675132</v>
      </c>
      <c r="DH59" s="20">
        <v>-26227.136477870259</v>
      </c>
      <c r="DI59" s="20">
        <v>-23636.693041994658</v>
      </c>
      <c r="DJ59" s="20">
        <v>-32709.066060894642</v>
      </c>
      <c r="DK59" s="20">
        <v>-30007.954013018152</v>
      </c>
      <c r="DL59" s="20">
        <v>-30398.556259296256</v>
      </c>
      <c r="DM59" s="20">
        <v>-26335.111362820855</v>
      </c>
      <c r="DN59" s="20">
        <v>-22828.889630809208</v>
      </c>
      <c r="DO59" s="20">
        <v>-29924.142514541847</v>
      </c>
      <c r="DP59" s="20">
        <v>-28848.082586273878</v>
      </c>
      <c r="DQ59" s="20">
        <v>-20936.748032217365</v>
      </c>
      <c r="DR59" s="20">
        <v>-9363.3583204824445</v>
      </c>
      <c r="DS59" s="20">
        <v>-9437.0051141241493</v>
      </c>
      <c r="DT59" s="20">
        <v>-9234.9091119732129</v>
      </c>
      <c r="DU59" s="20">
        <v>-10506.965502226194</v>
      </c>
      <c r="DV59" s="20">
        <v>-10928.084351774703</v>
      </c>
      <c r="DW59" s="20">
        <v>-10838.193004551051</v>
      </c>
      <c r="DX59" s="20">
        <v>-10559.893442002107</v>
      </c>
      <c r="DY59" s="20">
        <v>-9362.8553505780201</v>
      </c>
      <c r="DZ59" s="20">
        <v>-9452.1264699535604</v>
      </c>
      <c r="EA59" s="20">
        <v>-9797.8820407188032</v>
      </c>
    </row>
    <row r="60" spans="1:133" x14ac:dyDescent="0.25">
      <c r="CC60" s="292"/>
      <c r="CD60" s="16" t="s">
        <v>13</v>
      </c>
      <c r="CE60" s="216">
        <v>-350.91754258444473</v>
      </c>
      <c r="CF60" s="216">
        <v>-596.31814765559943</v>
      </c>
      <c r="CG60" s="216">
        <v>-495.44024953980352</v>
      </c>
      <c r="CH60" s="216">
        <v>-336.35349454638072</v>
      </c>
      <c r="CI60" s="216">
        <v>-14.195044080718162</v>
      </c>
      <c r="CJ60" s="216">
        <v>2.1002511884671549</v>
      </c>
      <c r="CK60" s="216">
        <v>-6.7542238990386068</v>
      </c>
      <c r="CN60" s="292"/>
      <c r="CO60" s="16" t="s">
        <v>13</v>
      </c>
      <c r="CP60" s="216">
        <v>-393.75280011275788</v>
      </c>
      <c r="CQ60" s="216">
        <v>-675.5075585199761</v>
      </c>
      <c r="CR60" s="216">
        <v>-659.85830767709717</v>
      </c>
      <c r="CS60" s="216">
        <v>-459.01190863954923</v>
      </c>
      <c r="CT60" s="216">
        <v>-19.72125969598892</v>
      </c>
      <c r="CU60" s="216">
        <v>-0.59568995156769233</v>
      </c>
      <c r="CV60" s="216">
        <v>-7.0180022215445206</v>
      </c>
      <c r="CW60" s="217">
        <f>SUM(CP60:CV60)</f>
        <v>-2215.4655268184815</v>
      </c>
      <c r="CX60" s="217">
        <f>SUM(CE60:CK60)</f>
        <v>-1797.8784511175181</v>
      </c>
      <c r="CY60" s="217">
        <f>CW60-CX60</f>
        <v>-417.5870757009634</v>
      </c>
      <c r="DA60" s="292"/>
      <c r="DB60" s="16" t="s">
        <v>51</v>
      </c>
      <c r="DC60" s="20">
        <v>-37492.33</v>
      </c>
      <c r="DD60" s="20">
        <v>-36812.410000000003</v>
      </c>
      <c r="DE60" s="20">
        <v>-123157.44</v>
      </c>
      <c r="DF60" s="20">
        <v>40007.54</v>
      </c>
      <c r="DG60" s="20">
        <v>42694.89</v>
      </c>
      <c r="DH60" s="20">
        <v>45615.15</v>
      </c>
      <c r="DI60" s="20">
        <v>41162.83</v>
      </c>
      <c r="DJ60" s="20">
        <v>56959.49</v>
      </c>
      <c r="DK60" s="20">
        <v>52295.71</v>
      </c>
      <c r="DL60" s="20">
        <v>52959.66</v>
      </c>
      <c r="DM60" s="20">
        <v>45730.01</v>
      </c>
      <c r="DN60" s="20">
        <v>39890.089999999997</v>
      </c>
      <c r="DO60" s="20">
        <v>52432.800000000003</v>
      </c>
      <c r="DP60" s="20">
        <v>50635.33</v>
      </c>
      <c r="DQ60" s="20">
        <v>23630.6</v>
      </c>
      <c r="DR60" s="20">
        <v>10235.24</v>
      </c>
      <c r="DS60" s="20">
        <v>10302.52</v>
      </c>
      <c r="DT60" s="20">
        <v>10077.35</v>
      </c>
      <c r="DU60" s="20">
        <v>11463.99</v>
      </c>
      <c r="DV60" s="20">
        <v>11928.19</v>
      </c>
      <c r="DW60" s="20">
        <v>11832.42</v>
      </c>
      <c r="DX60" s="20">
        <v>11526.06</v>
      </c>
      <c r="DY60" s="20">
        <v>10219.18</v>
      </c>
      <c r="DZ60" s="20">
        <v>10320.07</v>
      </c>
      <c r="EA60" s="20">
        <v>10712.45</v>
      </c>
    </row>
    <row r="61" spans="1:133" x14ac:dyDescent="0.25">
      <c r="CC61" s="292"/>
      <c r="CD61" s="17" t="s">
        <v>8</v>
      </c>
      <c r="CE61" s="216">
        <v>-3.7052753332339194</v>
      </c>
      <c r="CF61" s="216">
        <v>-6.6842426801800059</v>
      </c>
      <c r="CG61" s="216">
        <v>-6.3284809879377741</v>
      </c>
      <c r="CH61" s="216">
        <v>-8.2170381712741474</v>
      </c>
      <c r="CI61" s="216">
        <v>-17.918502372297308</v>
      </c>
      <c r="CJ61" s="216">
        <v>-10.665449438586032</v>
      </c>
      <c r="CK61" s="216">
        <v>-15.361564936007662</v>
      </c>
      <c r="CN61" s="292"/>
      <c r="CO61" s="17" t="s">
        <v>8</v>
      </c>
      <c r="CP61" s="216">
        <v>-3.7107442890427991</v>
      </c>
      <c r="CQ61" s="216">
        <v>-6.7107297282586211</v>
      </c>
      <c r="CR61" s="216">
        <v>-6.3844509790378297</v>
      </c>
      <c r="CS61" s="216">
        <v>-8.3179199847490732</v>
      </c>
      <c r="CT61" s="216">
        <v>-18.156432627671325</v>
      </c>
      <c r="CU61" s="216">
        <v>-10.874469276319472</v>
      </c>
      <c r="CV61" s="216">
        <v>-15.692555199496416</v>
      </c>
      <c r="DA61" s="292"/>
      <c r="DB61" s="16" t="s">
        <v>52</v>
      </c>
      <c r="DC61" s="7">
        <v>95026.6310920955</v>
      </c>
      <c r="DD61" s="7">
        <v>93243.657166200122</v>
      </c>
      <c r="DE61" s="7">
        <v>-49688.103753308431</v>
      </c>
      <c r="DF61" s="7">
        <v>17394.880823458079</v>
      </c>
      <c r="DG61" s="7">
        <v>18278.984083324867</v>
      </c>
      <c r="DH61" s="7">
        <v>19388.013522129742</v>
      </c>
      <c r="DI61" s="7">
        <v>17526.136958005343</v>
      </c>
      <c r="DJ61" s="7">
        <v>24250.423939105356</v>
      </c>
      <c r="DK61" s="7">
        <v>22287.755986981847</v>
      </c>
      <c r="DL61" s="7">
        <v>22561.103740703747</v>
      </c>
      <c r="DM61" s="7">
        <v>19394.898637179147</v>
      </c>
      <c r="DN61" s="7">
        <v>17061.200369190788</v>
      </c>
      <c r="DO61" s="7">
        <v>22508.657485458156</v>
      </c>
      <c r="DP61" s="7">
        <v>21787.247413726123</v>
      </c>
      <c r="DQ61" s="7">
        <v>2693.8519677826334</v>
      </c>
      <c r="DR61" s="7">
        <v>871.88167951755531</v>
      </c>
      <c r="DS61" s="7">
        <v>865.51488587585118</v>
      </c>
      <c r="DT61" s="7">
        <v>842.44088802678743</v>
      </c>
      <c r="DU61" s="7">
        <v>957.02449777380571</v>
      </c>
      <c r="DV61" s="7">
        <v>1000.105648225297</v>
      </c>
      <c r="DW61" s="7">
        <v>994.22699544894931</v>
      </c>
      <c r="DX61" s="7">
        <v>966.1665579978926</v>
      </c>
      <c r="DY61" s="7">
        <v>856.32464942198021</v>
      </c>
      <c r="DZ61" s="7">
        <v>867.94353004643926</v>
      </c>
      <c r="EA61" s="7">
        <v>914.56795928119755</v>
      </c>
    </row>
    <row r="62" spans="1:133" x14ac:dyDescent="0.25">
      <c r="CC62" s="292"/>
      <c r="CD62" s="16" t="s">
        <v>14</v>
      </c>
      <c r="CE62" s="216">
        <v>-354.62281791767867</v>
      </c>
      <c r="CF62" s="216">
        <v>-603.00239033577941</v>
      </c>
      <c r="CG62" s="216">
        <v>-501.7687305277413</v>
      </c>
      <c r="CH62" s="216">
        <v>-344.57053271765488</v>
      </c>
      <c r="CI62" s="216">
        <v>-32.113546453015474</v>
      </c>
      <c r="CJ62" s="216">
        <v>-8.5651982501188773</v>
      </c>
      <c r="CK62" s="216">
        <v>-22.115788835046267</v>
      </c>
      <c r="CN62" s="292"/>
      <c r="CO62" s="16" t="s">
        <v>14</v>
      </c>
      <c r="CP62" s="216">
        <v>-397.46354440180068</v>
      </c>
      <c r="CQ62" s="216">
        <v>-682.21828824823467</v>
      </c>
      <c r="CR62" s="216">
        <v>-666.24275865613504</v>
      </c>
      <c r="CS62" s="216">
        <v>-467.32982862429833</v>
      </c>
      <c r="CT62" s="216">
        <v>-37.877692323660241</v>
      </c>
      <c r="CU62" s="216">
        <v>-11.470159227887164</v>
      </c>
      <c r="CV62" s="216">
        <v>-22.710557421040939</v>
      </c>
      <c r="DA62" s="292"/>
      <c r="DB62" s="16" t="s">
        <v>13</v>
      </c>
      <c r="DC62" s="7">
        <v>-85439.641092095277</v>
      </c>
      <c r="DD62" s="7">
        <v>-80746.077166200048</v>
      </c>
      <c r="DE62" s="7">
        <v>59731.413753308952</v>
      </c>
      <c r="DF62" s="7">
        <v>-6898.8308234573342</v>
      </c>
      <c r="DG62" s="7">
        <v>-8503.0240833258358</v>
      </c>
      <c r="DH62" s="7">
        <v>-5860.3635221293698</v>
      </c>
      <c r="DI62" s="7">
        <v>18968.713041994284</v>
      </c>
      <c r="DJ62" s="7">
        <v>23429.546060895314</v>
      </c>
      <c r="DK62" s="7">
        <v>23000.684013017632</v>
      </c>
      <c r="DL62" s="7">
        <v>6925.2962592966251</v>
      </c>
      <c r="DM62" s="7">
        <v>-7561.6086371800411</v>
      </c>
      <c r="DN62" s="7">
        <v>-6686.620369190714</v>
      </c>
      <c r="DO62" s="7">
        <v>-10451.207485457038</v>
      </c>
      <c r="DP62" s="7">
        <v>-8962.4574137270174</v>
      </c>
      <c r="DQ62" s="7">
        <v>7636.3280322170685</v>
      </c>
      <c r="DR62" s="7">
        <v>-871.88167951755531</v>
      </c>
      <c r="DS62" s="7">
        <v>-865.51488587585118</v>
      </c>
      <c r="DT62" s="7">
        <v>-842.44088802678743</v>
      </c>
      <c r="DU62" s="7">
        <v>-957.02449777380571</v>
      </c>
      <c r="DV62" s="7">
        <v>-1000.105648225297</v>
      </c>
      <c r="DW62" s="7">
        <v>-994.22699544894931</v>
      </c>
      <c r="DX62" s="7">
        <v>-966.1665579978926</v>
      </c>
      <c r="DY62" s="126">
        <v>-2079.2156922617341</v>
      </c>
      <c r="DZ62" s="7">
        <v>-867.94353004643926</v>
      </c>
      <c r="EA62" s="7">
        <v>-914.56795928119755</v>
      </c>
    </row>
    <row r="63" spans="1:133" x14ac:dyDescent="0.25">
      <c r="CC63" s="292"/>
      <c r="CD63" s="18" t="s">
        <v>19</v>
      </c>
      <c r="CE63" s="216">
        <v>-29025.044752000424</v>
      </c>
      <c r="CF63" s="216">
        <v>-30802.077142336202</v>
      </c>
      <c r="CG63" s="216">
        <v>-32397.785872863944</v>
      </c>
      <c r="CH63" s="216">
        <v>-33337.536405581595</v>
      </c>
      <c r="CI63" s="216">
        <v>-31257.67995203461</v>
      </c>
      <c r="CJ63" s="216">
        <v>-21326.78515028473</v>
      </c>
      <c r="CK63" s="216">
        <v>-19425.470939119776</v>
      </c>
      <c r="CN63" s="292"/>
      <c r="CO63" s="18" t="s">
        <v>19</v>
      </c>
      <c r="CP63" s="216">
        <v>-29067.885478484546</v>
      </c>
      <c r="CQ63" s="216">
        <v>-30924.133766732783</v>
      </c>
      <c r="CR63" s="216">
        <v>-32684.316525388916</v>
      </c>
      <c r="CS63" s="216">
        <v>-33746.826354013217</v>
      </c>
      <c r="CT63" s="216">
        <v>-31672.734046336878</v>
      </c>
      <c r="CU63" s="216">
        <v>-21744.744205564766</v>
      </c>
      <c r="CV63" s="216">
        <v>-19844.024762985806</v>
      </c>
      <c r="DA63" s="292"/>
      <c r="DB63" s="17" t="s">
        <v>8</v>
      </c>
      <c r="DC63" s="8">
        <v>-80.659068788228211</v>
      </c>
      <c r="DD63" s="8">
        <v>-103.34324554279476</v>
      </c>
      <c r="DE63" s="8">
        <v>-128.71070923117023</v>
      </c>
      <c r="DF63" s="8">
        <v>-112.56042368544114</v>
      </c>
      <c r="DG63" s="8">
        <v>-112.19823111456544</v>
      </c>
      <c r="DH63" s="8">
        <v>-104.36516886812977</v>
      </c>
      <c r="DI63" s="8">
        <v>-83.754672571940219</v>
      </c>
      <c r="DJ63" s="8">
        <v>-48.619869025091965</v>
      </c>
      <c r="DK63" s="8">
        <v>-58.596921518767203</v>
      </c>
      <c r="DL63" s="8">
        <v>-45.573108301713177</v>
      </c>
      <c r="DM63" s="8">
        <v>-30.611451906474628</v>
      </c>
      <c r="DN63" s="8">
        <v>-27.03101587698421</v>
      </c>
      <c r="DO63" s="8">
        <v>-36.847884530038144</v>
      </c>
      <c r="DP63" s="8">
        <v>-25.03304138421181</v>
      </c>
      <c r="DQ63" s="8">
        <v>-23.886423194425817</v>
      </c>
      <c r="DR63" s="8">
        <v>-50.215095829351725</v>
      </c>
      <c r="DS63" s="8">
        <v>-39.107102454543032</v>
      </c>
      <c r="DT63" s="8">
        <v>-54.579714096830166</v>
      </c>
      <c r="DU63" s="8">
        <v>-72.450610917973222</v>
      </c>
      <c r="DV63" s="8">
        <v>-81.678345336540247</v>
      </c>
      <c r="DW63" s="8">
        <v>-78.843971983874752</v>
      </c>
      <c r="DX63" s="8">
        <v>-62.561425300714255</v>
      </c>
      <c r="DY63" s="8">
        <v>-53.038544283503292</v>
      </c>
      <c r="DZ63" s="8">
        <v>-31.939064677146799</v>
      </c>
      <c r="EA63" s="8">
        <v>3.1700055689382158</v>
      </c>
      <c r="EB63" s="166">
        <f>SUM('MEEIA 2 calcs'!BJ62:CH62)</f>
        <v>-1577.9555047564365</v>
      </c>
      <c r="EC63" s="166">
        <f>SUM(DC63:EA63)-EB63</f>
        <v>34.920399904920714</v>
      </c>
    </row>
    <row r="64" spans="1:133" x14ac:dyDescent="0.25">
      <c r="DA64" s="292"/>
      <c r="DB64" s="16" t="s">
        <v>14</v>
      </c>
      <c r="DC64" s="7">
        <v>-85520.300160883504</v>
      </c>
      <c r="DD64" s="7">
        <v>-80849.420411742845</v>
      </c>
      <c r="DE64" s="7">
        <v>59602.703044077782</v>
      </c>
      <c r="DF64" s="7">
        <v>-7011.3912471427757</v>
      </c>
      <c r="DG64" s="7">
        <v>-8615.2223144404015</v>
      </c>
      <c r="DH64" s="7">
        <v>-5964.7286909974991</v>
      </c>
      <c r="DI64" s="7">
        <v>18884.958369422344</v>
      </c>
      <c r="DJ64" s="7">
        <v>23380.926191870221</v>
      </c>
      <c r="DK64" s="7">
        <v>22942.087091498863</v>
      </c>
      <c r="DL64" s="7">
        <v>6879.7231509949115</v>
      </c>
      <c r="DM64" s="7">
        <v>-7592.2200890865161</v>
      </c>
      <c r="DN64" s="7">
        <v>-6713.6513850676984</v>
      </c>
      <c r="DO64" s="7">
        <v>-10488.055369987076</v>
      </c>
      <c r="DP64" s="7">
        <v>-8987.4904551112286</v>
      </c>
      <c r="DQ64" s="7">
        <v>7612.4416090226423</v>
      </c>
      <c r="DR64" s="7">
        <v>-922.09677534690707</v>
      </c>
      <c r="DS64" s="7">
        <v>-904.62198833039417</v>
      </c>
      <c r="DT64" s="7">
        <v>-897.02060212361755</v>
      </c>
      <c r="DU64" s="7">
        <v>-1029.475108691779</v>
      </c>
      <c r="DV64" s="7">
        <v>-1081.7839935618372</v>
      </c>
      <c r="DW64" s="7">
        <v>-1073.0709674328241</v>
      </c>
      <c r="DX64" s="7">
        <v>-1028.7279832986069</v>
      </c>
      <c r="DY64" s="7">
        <v>-2132.2542365452373</v>
      </c>
      <c r="DZ64" s="7">
        <v>-899.88259472358607</v>
      </c>
      <c r="EA64" s="7">
        <v>-911.39795371225932</v>
      </c>
    </row>
    <row r="65" spans="81:133" x14ac:dyDescent="0.25">
      <c r="DA65" s="292"/>
      <c r="DB65" s="18" t="s">
        <v>18</v>
      </c>
      <c r="DC65" s="7">
        <v>-484035.07179815753</v>
      </c>
      <c r="DD65" s="7">
        <v>-601696.90220990032</v>
      </c>
      <c r="DE65" s="7">
        <v>-665251.63916582253</v>
      </c>
      <c r="DF65" s="7">
        <v>-632255.4904129653</v>
      </c>
      <c r="DG65" s="7">
        <v>-598175.8227274057</v>
      </c>
      <c r="DH65" s="7">
        <v>-558525.40141840326</v>
      </c>
      <c r="DI65" s="7">
        <v>-498477.61304898094</v>
      </c>
      <c r="DJ65" s="7">
        <v>-418137.19685711071</v>
      </c>
      <c r="DK65" s="7">
        <v>-342899.39976561186</v>
      </c>
      <c r="DL65" s="7">
        <v>-283060.01661461696</v>
      </c>
      <c r="DM65" s="7">
        <v>-244922.22670370346</v>
      </c>
      <c r="DN65" s="7">
        <v>-211745.78808877117</v>
      </c>
      <c r="DO65" s="7">
        <v>-169801.04345875824</v>
      </c>
      <c r="DP65" s="7">
        <v>-128153.20391386947</v>
      </c>
      <c r="DQ65" s="7">
        <v>-96910.162304846832</v>
      </c>
      <c r="DR65" s="7">
        <v>-87597.019080193742</v>
      </c>
      <c r="DS65" s="7">
        <v>-78199.121068524139</v>
      </c>
      <c r="DT65" s="7">
        <v>-69018.791670647755</v>
      </c>
      <c r="DU65" s="7">
        <v>-58584.276779339532</v>
      </c>
      <c r="DV65" s="7">
        <v>-47737.870772901369</v>
      </c>
      <c r="DW65" s="7">
        <v>-36978.521740334196</v>
      </c>
      <c r="DX65" s="7">
        <v>-26481.189723632804</v>
      </c>
      <c r="DY65" s="7">
        <v>-18394.263960178039</v>
      </c>
      <c r="DZ65" s="7">
        <v>-8974.0765549016251</v>
      </c>
      <c r="EA65" s="7">
        <v>826.97549138611612</v>
      </c>
    </row>
    <row r="66" spans="81:133" x14ac:dyDescent="0.25">
      <c r="DA66" s="40"/>
      <c r="DB66" s="11"/>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row>
    <row r="67" spans="81:133" x14ac:dyDescent="0.25">
      <c r="CC67" s="27"/>
      <c r="CD67" s="27" t="s">
        <v>32</v>
      </c>
      <c r="CN67" s="27"/>
      <c r="CO67" s="27" t="s">
        <v>32</v>
      </c>
      <c r="DA67" s="292" t="s">
        <v>24</v>
      </c>
      <c r="DB67" s="15"/>
      <c r="DC67" s="7"/>
      <c r="DD67" s="7"/>
      <c r="DE67" s="7"/>
      <c r="DF67" s="7"/>
      <c r="DG67" s="7"/>
      <c r="DH67" s="7"/>
      <c r="DI67" s="7"/>
      <c r="DJ67" s="7"/>
      <c r="DK67" s="7"/>
      <c r="DL67" s="7"/>
      <c r="DM67" s="7"/>
      <c r="DN67" s="7"/>
      <c r="DO67" s="7"/>
      <c r="DP67" s="7"/>
      <c r="DQ67" s="7"/>
      <c r="DR67" s="7"/>
      <c r="DS67" s="7"/>
      <c r="DT67" s="7"/>
      <c r="DU67" s="7"/>
      <c r="DV67" s="7"/>
      <c r="DW67" s="7"/>
      <c r="DX67" s="7"/>
      <c r="DY67" s="126">
        <v>-417.5870757009634</v>
      </c>
      <c r="DZ67" s="7"/>
      <c r="EA67" s="7"/>
    </row>
    <row r="68" spans="81:133" x14ac:dyDescent="0.25">
      <c r="CD68" t="s">
        <v>33</v>
      </c>
      <c r="CE68" s="43">
        <v>849229853</v>
      </c>
      <c r="CF68" s="43">
        <v>1063566547</v>
      </c>
      <c r="CG68" s="43">
        <v>1372451320</v>
      </c>
      <c r="CH68" s="43">
        <v>1445914846</v>
      </c>
      <c r="CI68" s="43">
        <v>1156058653</v>
      </c>
      <c r="CJ68" s="43">
        <v>900363528</v>
      </c>
      <c r="CK68" s="43">
        <v>837159184</v>
      </c>
      <c r="CO68" t="s">
        <v>33</v>
      </c>
      <c r="CP68" s="43">
        <v>616534565.60039997</v>
      </c>
      <c r="CQ68" s="43">
        <v>621003419.78059995</v>
      </c>
      <c r="CR68" s="43">
        <v>656971283.38569999</v>
      </c>
      <c r="CS68" s="43">
        <v>646272651.48329997</v>
      </c>
      <c r="CT68" s="43">
        <v>615981334.59430003</v>
      </c>
      <c r="CU68" s="43">
        <v>577077250.67460001</v>
      </c>
      <c r="CV68" s="43">
        <v>787949883.91209996</v>
      </c>
      <c r="DA68" s="292"/>
      <c r="DB68" s="15" t="s">
        <v>28</v>
      </c>
      <c r="DC68" s="20">
        <v>0</v>
      </c>
      <c r="DD68" s="20">
        <v>0</v>
      </c>
      <c r="DE68" s="20">
        <v>0</v>
      </c>
      <c r="DF68" s="20">
        <v>0</v>
      </c>
      <c r="DG68" s="20">
        <v>0</v>
      </c>
      <c r="DH68" s="20">
        <v>0</v>
      </c>
      <c r="DI68" s="20">
        <v>0</v>
      </c>
      <c r="DJ68" s="20">
        <v>0</v>
      </c>
      <c r="DK68" s="20">
        <v>-101.14999999990687</v>
      </c>
      <c r="DL68" s="20">
        <v>-108.16000000014901</v>
      </c>
      <c r="DM68" s="20">
        <v>-67.520000000018626</v>
      </c>
      <c r="DN68" s="20">
        <v>-54.189999999944121</v>
      </c>
      <c r="DO68" s="20">
        <v>-56.580000000074506</v>
      </c>
      <c r="DP68" s="20">
        <v>-61.179999999701977</v>
      </c>
      <c r="DQ68" s="20">
        <v>-51.470000000204891</v>
      </c>
      <c r="DR68" s="20">
        <v>0</v>
      </c>
      <c r="DS68" s="20">
        <v>0</v>
      </c>
      <c r="DT68" s="20">
        <v>0</v>
      </c>
      <c r="DU68" s="20">
        <v>0</v>
      </c>
      <c r="DV68" s="20">
        <v>0</v>
      </c>
      <c r="DW68" s="20">
        <v>0</v>
      </c>
      <c r="DX68" s="20">
        <v>0</v>
      </c>
      <c r="DY68" s="20">
        <v>0</v>
      </c>
      <c r="DZ68" s="20">
        <v>0</v>
      </c>
      <c r="EA68" s="20">
        <v>0</v>
      </c>
    </row>
    <row r="69" spans="81:133" x14ac:dyDescent="0.25">
      <c r="CD69" t="s">
        <v>34</v>
      </c>
      <c r="CE69" s="43">
        <v>219607166</v>
      </c>
      <c r="CF69" s="43">
        <v>250466096</v>
      </c>
      <c r="CG69" s="43">
        <v>295383726</v>
      </c>
      <c r="CH69" s="43">
        <v>301077290</v>
      </c>
      <c r="CI69" s="43">
        <v>261058604</v>
      </c>
      <c r="CJ69" s="43">
        <v>230949228</v>
      </c>
      <c r="CK69" s="43">
        <v>223998788</v>
      </c>
      <c r="CO69" t="s">
        <v>34</v>
      </c>
      <c r="CP69" s="43">
        <v>219607159</v>
      </c>
      <c r="CQ69" s="43">
        <v>250528302</v>
      </c>
      <c r="CR69" s="43">
        <v>295412831</v>
      </c>
      <c r="CS69" s="43">
        <v>301068791</v>
      </c>
      <c r="CT69" s="43">
        <v>261058604</v>
      </c>
      <c r="CU69" s="43">
        <v>230949228</v>
      </c>
      <c r="CV69" s="43">
        <v>223998788</v>
      </c>
      <c r="DA69" s="292"/>
      <c r="DB69" s="16" t="s">
        <v>26</v>
      </c>
      <c r="DC69" s="20">
        <v>46424.397026326449</v>
      </c>
      <c r="DD69" s="20">
        <v>42444.211387439616</v>
      </c>
      <c r="DE69" s="20">
        <v>37845.94077531778</v>
      </c>
      <c r="DF69" s="20">
        <v>-731.33700161567504</v>
      </c>
      <c r="DG69" s="20">
        <v>1437.7999422217736</v>
      </c>
      <c r="DH69" s="20">
        <v>1448.8425667251033</v>
      </c>
      <c r="DI69" s="20">
        <v>1380.7821512277105</v>
      </c>
      <c r="DJ69" s="20">
        <v>1767.2604926793401</v>
      </c>
      <c r="DK69" s="20">
        <v>1691.5909448949833</v>
      </c>
      <c r="DL69" s="20">
        <v>1824.9961214654177</v>
      </c>
      <c r="DM69" s="20">
        <v>1633.3060195728406</v>
      </c>
      <c r="DN69" s="20">
        <v>1134.0675425845006</v>
      </c>
      <c r="DO69" s="20">
        <v>1713.7681476555249</v>
      </c>
      <c r="DP69" s="20">
        <v>1528.2002495401016</v>
      </c>
      <c r="DQ69" s="20">
        <v>880.06349454617578</v>
      </c>
      <c r="DR69" s="20">
        <v>-2097.7749559192816</v>
      </c>
      <c r="DS69" s="20">
        <v>-9941.5602511884663</v>
      </c>
      <c r="DT69" s="20">
        <v>-1916.6757761009615</v>
      </c>
      <c r="DU69" s="20">
        <v>-2336.6180031047011</v>
      </c>
      <c r="DV69" s="20">
        <v>-2679.3289962978324</v>
      </c>
      <c r="DW69" s="20">
        <v>-2648.8730550887763</v>
      </c>
      <c r="DX69" s="20">
        <v>-2762.0412565834886</v>
      </c>
      <c r="DY69" s="20">
        <v>-2372.9708277142608</v>
      </c>
      <c r="DZ69" s="20">
        <v>-2369.0270963874896</v>
      </c>
      <c r="EA69" s="20">
        <v>-2320.8511941080565</v>
      </c>
    </row>
    <row r="70" spans="81:133" x14ac:dyDescent="0.25">
      <c r="CD70" t="s">
        <v>35</v>
      </c>
      <c r="CE70" s="43">
        <v>505304455</v>
      </c>
      <c r="CF70" s="43">
        <v>555282313.60000002</v>
      </c>
      <c r="CG70" s="43">
        <v>590675076</v>
      </c>
      <c r="CH70" s="43">
        <v>582248455</v>
      </c>
      <c r="CI70" s="43">
        <v>534070902</v>
      </c>
      <c r="CJ70" s="43">
        <v>506459043</v>
      </c>
      <c r="CK70" s="43">
        <v>516003997</v>
      </c>
      <c r="CO70" t="s">
        <v>35</v>
      </c>
      <c r="CP70" s="43">
        <v>505304455</v>
      </c>
      <c r="CQ70" s="43">
        <v>552284069</v>
      </c>
      <c r="CR70" s="43">
        <v>590858313</v>
      </c>
      <c r="CS70" s="43">
        <v>582248455</v>
      </c>
      <c r="CT70" s="43">
        <v>534070902</v>
      </c>
      <c r="CU70" s="43">
        <v>506459043</v>
      </c>
      <c r="CV70" s="43">
        <v>516003997</v>
      </c>
      <c r="DA70" s="292"/>
      <c r="DB70" s="16" t="s">
        <v>51</v>
      </c>
      <c r="DC70" s="20">
        <v>-29994.51</v>
      </c>
      <c r="DD70" s="20">
        <v>-27431.4</v>
      </c>
      <c r="DE70" s="20">
        <v>-37690.370000000003</v>
      </c>
      <c r="DF70" s="20">
        <v>999.06</v>
      </c>
      <c r="DG70" s="20">
        <v>-1068.3499999999999</v>
      </c>
      <c r="DH70" s="20">
        <v>-1085.3800000000001</v>
      </c>
      <c r="DI70" s="20">
        <v>-1047.53</v>
      </c>
      <c r="DJ70" s="20">
        <v>-1336.85</v>
      </c>
      <c r="DK70" s="20">
        <v>-1272.6199999999999</v>
      </c>
      <c r="DL70" s="20">
        <v>-1376.1</v>
      </c>
      <c r="DM70" s="20">
        <v>-1261.3</v>
      </c>
      <c r="DN70" s="20">
        <v>-837.34</v>
      </c>
      <c r="DO70" s="20">
        <v>-1174.03</v>
      </c>
      <c r="DP70" s="20">
        <v>-1093.94</v>
      </c>
      <c r="DQ70" s="20">
        <v>-595.17999999999995</v>
      </c>
      <c r="DR70" s="20">
        <v>2111.9699999999998</v>
      </c>
      <c r="DS70" s="20">
        <v>9939.4599999999991</v>
      </c>
      <c r="DT70" s="20">
        <v>1923.43</v>
      </c>
      <c r="DU70" s="20">
        <v>2344.67</v>
      </c>
      <c r="DV70" s="20">
        <v>2689.87</v>
      </c>
      <c r="DW70" s="20">
        <v>2659.72</v>
      </c>
      <c r="DX70" s="20">
        <v>2772.83</v>
      </c>
      <c r="DY70" s="20">
        <v>2382.11</v>
      </c>
      <c r="DZ70" s="20">
        <v>2379.37</v>
      </c>
      <c r="EA70" s="20">
        <v>2335.83</v>
      </c>
    </row>
    <row r="71" spans="81:133" x14ac:dyDescent="0.25">
      <c r="CD71" t="s">
        <v>36</v>
      </c>
      <c r="CE71" s="43">
        <v>200697530</v>
      </c>
      <c r="CF71" s="43">
        <v>269908616.5</v>
      </c>
      <c r="CG71" s="43">
        <v>254759231</v>
      </c>
      <c r="CH71" s="43">
        <v>236605471</v>
      </c>
      <c r="CI71" s="43">
        <v>220600472</v>
      </c>
      <c r="CJ71" s="43">
        <v>227017145</v>
      </c>
      <c r="CK71" s="43">
        <v>225997805</v>
      </c>
      <c r="CO71" t="s">
        <v>36</v>
      </c>
      <c r="CP71" s="43">
        <v>200697530</v>
      </c>
      <c r="CQ71" s="43">
        <v>263803028</v>
      </c>
      <c r="CR71" s="43">
        <v>254759231</v>
      </c>
      <c r="CS71" s="43">
        <v>236605471</v>
      </c>
      <c r="CT71" s="43">
        <v>220600472</v>
      </c>
      <c r="CU71" s="43">
        <v>227017145</v>
      </c>
      <c r="CV71" s="43">
        <v>225997805</v>
      </c>
      <c r="DA71" s="292"/>
      <c r="DB71" s="16" t="s">
        <v>52</v>
      </c>
      <c r="DC71" s="7">
        <v>16429.887026326451</v>
      </c>
      <c r="DD71" s="7">
        <v>15012.811387439615</v>
      </c>
      <c r="DE71" s="7">
        <v>155.57077531777759</v>
      </c>
      <c r="DF71" s="7">
        <v>267.72299838432491</v>
      </c>
      <c r="DG71" s="7">
        <v>369.44994222177365</v>
      </c>
      <c r="DH71" s="7">
        <v>363.46256672510322</v>
      </c>
      <c r="DI71" s="7">
        <v>333.25215122771056</v>
      </c>
      <c r="DJ71" s="7">
        <v>430.41049267934022</v>
      </c>
      <c r="DK71" s="7">
        <v>418.9709448949834</v>
      </c>
      <c r="DL71" s="7">
        <v>448.89612146541776</v>
      </c>
      <c r="DM71" s="7">
        <v>372.00601957284061</v>
      </c>
      <c r="DN71" s="7">
        <v>296.72754258450061</v>
      </c>
      <c r="DO71" s="7">
        <v>539.73814765552493</v>
      </c>
      <c r="DP71" s="7">
        <v>434.26024954010154</v>
      </c>
      <c r="DQ71" s="7">
        <v>284.88349454617583</v>
      </c>
      <c r="DR71" s="7">
        <v>14.195044080718162</v>
      </c>
      <c r="DS71" s="7">
        <v>-2.1002511884671549</v>
      </c>
      <c r="DT71" s="7">
        <v>6.7542238990386068</v>
      </c>
      <c r="DU71" s="7">
        <v>8.0519968952989984</v>
      </c>
      <c r="DV71" s="7">
        <v>10.541003702167473</v>
      </c>
      <c r="DW71" s="7">
        <v>10.846944911223545</v>
      </c>
      <c r="DX71" s="7">
        <v>10.788743416511352</v>
      </c>
      <c r="DY71" s="7">
        <v>9.1391722857392779</v>
      </c>
      <c r="DZ71" s="7">
        <v>10.342903612510327</v>
      </c>
      <c r="EA71" s="7">
        <v>14.978805891943466</v>
      </c>
    </row>
    <row r="72" spans="81:133" x14ac:dyDescent="0.25">
      <c r="CD72" t="s">
        <v>37</v>
      </c>
      <c r="CE72" s="43">
        <v>69778498</v>
      </c>
      <c r="CF72" s="43">
        <v>120928612.40000001</v>
      </c>
      <c r="CG72" s="43">
        <v>91160220</v>
      </c>
      <c r="CH72" s="43">
        <v>84926008</v>
      </c>
      <c r="CI72" s="43">
        <v>81012090</v>
      </c>
      <c r="CJ72" s="43">
        <v>85726323</v>
      </c>
      <c r="CK72" s="43">
        <v>71350428</v>
      </c>
      <c r="CO72" t="s">
        <v>37</v>
      </c>
      <c r="CP72" s="43">
        <v>69778498</v>
      </c>
      <c r="CQ72" s="43">
        <v>110311543</v>
      </c>
      <c r="CR72" s="43">
        <v>91160220</v>
      </c>
      <c r="CS72" s="43">
        <v>84926008</v>
      </c>
      <c r="CT72" s="43">
        <v>81012090</v>
      </c>
      <c r="CU72" s="43">
        <v>85726323</v>
      </c>
      <c r="CV72" s="43">
        <v>71350428</v>
      </c>
      <c r="DA72" s="292"/>
      <c r="DB72" s="16" t="s">
        <v>13</v>
      </c>
      <c r="DC72" s="7">
        <v>-16429.887026326451</v>
      </c>
      <c r="DD72" s="7">
        <v>-15012.811387439615</v>
      </c>
      <c r="DE72" s="7">
        <v>-155.57077531777759</v>
      </c>
      <c r="DF72" s="7">
        <v>-267.72299838432491</v>
      </c>
      <c r="DG72" s="7">
        <v>-369.44994222177365</v>
      </c>
      <c r="DH72" s="7">
        <v>-363.46256672510322</v>
      </c>
      <c r="DI72" s="7">
        <v>-333.25215122771056</v>
      </c>
      <c r="DJ72" s="7">
        <v>-430.41049267934022</v>
      </c>
      <c r="DK72" s="7">
        <v>-520.12094489489027</v>
      </c>
      <c r="DL72" s="7">
        <v>-557.05612146556678</v>
      </c>
      <c r="DM72" s="7">
        <v>-439.52601957285924</v>
      </c>
      <c r="DN72" s="7">
        <v>-350.91754258444473</v>
      </c>
      <c r="DO72" s="7">
        <v>-596.31814765559943</v>
      </c>
      <c r="DP72" s="7">
        <v>-495.44024953980352</v>
      </c>
      <c r="DQ72" s="7">
        <v>-336.35349454638072</v>
      </c>
      <c r="DR72" s="7">
        <v>-14.195044080718162</v>
      </c>
      <c r="DS72" s="7">
        <v>2.1002511884671549</v>
      </c>
      <c r="DT72" s="7">
        <v>-6.7542238990386068</v>
      </c>
      <c r="DU72" s="7">
        <v>-8.0519968952989984</v>
      </c>
      <c r="DV72" s="7">
        <v>-10.541003702167473</v>
      </c>
      <c r="DW72" s="7">
        <v>-10.846944911223545</v>
      </c>
      <c r="DX72" s="7">
        <v>-10.788743416511352</v>
      </c>
      <c r="DY72" s="126">
        <v>-426.72624798670267</v>
      </c>
      <c r="DZ72" s="7">
        <v>-10.342903612510327</v>
      </c>
      <c r="EA72" s="7">
        <v>-14.978805891943466</v>
      </c>
    </row>
    <row r="73" spans="81:133" x14ac:dyDescent="0.25">
      <c r="CC73" s="33"/>
      <c r="CD73" s="33" t="s">
        <v>31</v>
      </c>
      <c r="CE73" s="34">
        <v>1844617502</v>
      </c>
      <c r="CF73" s="34">
        <v>2260152185.5</v>
      </c>
      <c r="CG73" s="34">
        <v>2604429573</v>
      </c>
      <c r="CH73" s="34">
        <v>2650772070</v>
      </c>
      <c r="CI73" s="34">
        <v>2252800721</v>
      </c>
      <c r="CJ73" s="34">
        <v>1950515267</v>
      </c>
      <c r="CK73" s="34">
        <v>1874510202</v>
      </c>
      <c r="CN73" s="33"/>
      <c r="CO73" s="33" t="s">
        <v>31</v>
      </c>
      <c r="CP73" s="34">
        <v>1611922207.6004</v>
      </c>
      <c r="CQ73" s="34">
        <v>1797930361.7806001</v>
      </c>
      <c r="CR73" s="34">
        <v>1889161878.3857</v>
      </c>
      <c r="CS73" s="34">
        <v>1851121376.4833</v>
      </c>
      <c r="CT73" s="34">
        <v>1712723402.5943</v>
      </c>
      <c r="CU73" s="34">
        <v>1627228989.6746001</v>
      </c>
      <c r="CV73" s="34">
        <v>1825300901.9120998</v>
      </c>
      <c r="DA73" s="292"/>
      <c r="DB73" s="17" t="s">
        <v>8</v>
      </c>
      <c r="DC73" s="8">
        <v>10.533268969552775</v>
      </c>
      <c r="DD73" s="8">
        <v>3.5672243491871143</v>
      </c>
      <c r="DE73" s="8">
        <v>-3.3045326405885134</v>
      </c>
      <c r="DF73" s="8">
        <v>-2.911024309865446</v>
      </c>
      <c r="DG73" s="8">
        <v>-3.3372826999905723</v>
      </c>
      <c r="DH73" s="8">
        <v>-3.5960699843044797</v>
      </c>
      <c r="DI73" s="8">
        <v>-3.466127398272032</v>
      </c>
      <c r="DJ73" s="8">
        <v>-2.6044961406548688</v>
      </c>
      <c r="DK73" s="8">
        <v>-4.1347525096621425</v>
      </c>
      <c r="DL73" s="8">
        <v>-4.2074935627473264</v>
      </c>
      <c r="DM73" s="8">
        <v>-3.4792588585674582</v>
      </c>
      <c r="DN73" s="8">
        <v>-3.7058458060919803</v>
      </c>
      <c r="DO73" s="8">
        <v>-6.6852126402561458</v>
      </c>
      <c r="DP73" s="8">
        <v>-6.3293542621688728</v>
      </c>
      <c r="DQ73" s="8">
        <v>-8.2181403584550186</v>
      </c>
      <c r="DR73" s="8">
        <v>-17.921067255265893</v>
      </c>
      <c r="DS73" s="8">
        <v>-10.667688126714124</v>
      </c>
      <c r="DT73" s="8">
        <v>-15.365107741483181</v>
      </c>
      <c r="DU73" s="8">
        <v>-21.165335265749118</v>
      </c>
      <c r="DV73" s="8">
        <v>-24.740557008740662</v>
      </c>
      <c r="DW73" s="8">
        <v>-25.236780195409754</v>
      </c>
      <c r="DX73" s="8">
        <v>-21.488508157836353</v>
      </c>
      <c r="DY73" s="8">
        <v>-20.648188849955428</v>
      </c>
      <c r="DZ73" s="8">
        <v>-17.115668731069857</v>
      </c>
      <c r="EA73" s="8">
        <v>-9.5746870906235895</v>
      </c>
      <c r="EB73" s="166">
        <f>SUM('MEEIA 2 calcs'!BJ72:CH72)</f>
        <v>-221.24243074279778</v>
      </c>
      <c r="EC73" s="166">
        <f>SUM(DC73:EA73)-EB73</f>
        <v>-4.5602555329351731</v>
      </c>
    </row>
    <row r="74" spans="81:133" x14ac:dyDescent="0.25">
      <c r="DA74" s="292"/>
      <c r="DB74" s="16" t="s">
        <v>14</v>
      </c>
      <c r="DC74" s="7">
        <v>-16419.353757356897</v>
      </c>
      <c r="DD74" s="7">
        <v>-15009.244163090429</v>
      </c>
      <c r="DE74" s="7">
        <v>-158.87530795836611</v>
      </c>
      <c r="DF74" s="7">
        <v>-270.63402269419038</v>
      </c>
      <c r="DG74" s="7">
        <v>-372.78722492176422</v>
      </c>
      <c r="DH74" s="7">
        <v>-367.05863670940772</v>
      </c>
      <c r="DI74" s="7">
        <v>-336.71827862598258</v>
      </c>
      <c r="DJ74" s="7">
        <v>-433.0149888199951</v>
      </c>
      <c r="DK74" s="7">
        <v>-524.25569740455239</v>
      </c>
      <c r="DL74" s="7">
        <v>-561.26361502831412</v>
      </c>
      <c r="DM74" s="7">
        <v>-443.00527843142669</v>
      </c>
      <c r="DN74" s="7">
        <v>-354.62338839053672</v>
      </c>
      <c r="DO74" s="7">
        <v>-603.0033602958556</v>
      </c>
      <c r="DP74" s="7">
        <v>-501.76960380197238</v>
      </c>
      <c r="DQ74" s="7">
        <v>-344.57163490483572</v>
      </c>
      <c r="DR74" s="7">
        <v>-32.116111335984058</v>
      </c>
      <c r="DS74" s="7">
        <v>-8.5674369382469688</v>
      </c>
      <c r="DT74" s="7">
        <v>-22.119331640521786</v>
      </c>
      <c r="DU74" s="7">
        <v>-29.217332161048116</v>
      </c>
      <c r="DV74" s="7">
        <v>-35.281560710908138</v>
      </c>
      <c r="DW74" s="7">
        <v>-36.083725106633295</v>
      </c>
      <c r="DX74" s="7">
        <v>-32.277251574347702</v>
      </c>
      <c r="DY74" s="7">
        <v>-447.37443683665811</v>
      </c>
      <c r="DZ74" s="7">
        <v>-27.458572343580183</v>
      </c>
      <c r="EA74" s="7">
        <v>-24.553492982567057</v>
      </c>
    </row>
    <row r="75" spans="81:133" x14ac:dyDescent="0.25">
      <c r="DA75" s="292"/>
      <c r="DB75" s="18" t="s">
        <v>19</v>
      </c>
      <c r="DC75" s="7">
        <v>63210.147086286204</v>
      </c>
      <c r="DD75" s="7">
        <v>20769.502923195774</v>
      </c>
      <c r="DE75" s="7">
        <v>-17079.742384762598</v>
      </c>
      <c r="DF75" s="7">
        <v>-16351.316407456789</v>
      </c>
      <c r="DG75" s="7">
        <v>-17792.453632378554</v>
      </c>
      <c r="DH75" s="7">
        <v>-19244.892269087963</v>
      </c>
      <c r="DI75" s="7">
        <v>-20629.140547713945</v>
      </c>
      <c r="DJ75" s="7">
        <v>-22399.005536533939</v>
      </c>
      <c r="DK75" s="7">
        <v>-24195.881233938493</v>
      </c>
      <c r="DL75" s="7">
        <v>-26133.244848966806</v>
      </c>
      <c r="DM75" s="7">
        <v>-27837.550127398234</v>
      </c>
      <c r="DN75" s="7">
        <v>-29029.513515788771</v>
      </c>
      <c r="DO75" s="7">
        <v>-30806.546876084627</v>
      </c>
      <c r="DP75" s="7">
        <v>-32402.256479886601</v>
      </c>
      <c r="DQ75" s="7">
        <v>-33342.008114791439</v>
      </c>
      <c r="DR75" s="7">
        <v>-31262.154226127423</v>
      </c>
      <c r="DS75" s="7">
        <v>-21331.26166306567</v>
      </c>
      <c r="DT75" s="7">
        <v>-19429.950994706192</v>
      </c>
      <c r="DU75" s="7">
        <v>-17114.49832686724</v>
      </c>
      <c r="DV75" s="7">
        <v>-14459.909887578149</v>
      </c>
      <c r="DW75" s="7">
        <v>-11836.273612684783</v>
      </c>
      <c r="DX75" s="7">
        <v>-9095.7208642591304</v>
      </c>
      <c r="DY75" s="7">
        <v>-7160.9853010957886</v>
      </c>
      <c r="DZ75" s="7">
        <v>-4809.073873439369</v>
      </c>
      <c r="EA75" s="7">
        <v>-2497.7973664219362</v>
      </c>
    </row>
    <row r="76" spans="81:133" x14ac:dyDescent="0.25">
      <c r="DA76" s="40"/>
      <c r="DB76" s="11"/>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row>
    <row r="77" spans="81:133" x14ac:dyDescent="0.25">
      <c r="DA77" s="293" t="s">
        <v>65</v>
      </c>
      <c r="DB77" s="84"/>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row>
    <row r="78" spans="81:133" x14ac:dyDescent="0.25">
      <c r="DA78" s="293"/>
      <c r="DB78" s="84" t="s">
        <v>66</v>
      </c>
      <c r="DC78" s="22">
        <v>0.28999999999999998</v>
      </c>
      <c r="DD78" s="22">
        <v>0.18</v>
      </c>
      <c r="DE78" s="22">
        <v>-383.51</v>
      </c>
      <c r="DF78" s="22">
        <v>-838.54</v>
      </c>
      <c r="DG78" s="22">
        <v>-901.74</v>
      </c>
      <c r="DH78" s="22">
        <v>-918.67</v>
      </c>
      <c r="DI78" s="22">
        <v>-989.05</v>
      </c>
      <c r="DJ78" s="22">
        <v>-1207.8800000000001</v>
      </c>
      <c r="DK78" s="22">
        <v>-1173.18</v>
      </c>
      <c r="DL78" s="22">
        <v>-1200.93</v>
      </c>
      <c r="DM78" s="22">
        <v>-1051.26</v>
      </c>
      <c r="DN78" s="22">
        <v>-899.18</v>
      </c>
      <c r="DO78" s="22">
        <v>-1032.83</v>
      </c>
      <c r="DP78" s="22">
        <v>-970.5</v>
      </c>
      <c r="DQ78" s="12"/>
      <c r="DR78" s="12"/>
      <c r="DS78" s="12"/>
      <c r="DT78" s="12"/>
      <c r="DU78" s="12"/>
      <c r="DV78" s="12"/>
      <c r="DW78" s="12"/>
      <c r="DX78" s="12"/>
      <c r="DY78" s="12"/>
      <c r="DZ78" s="12"/>
      <c r="EA78" s="12"/>
    </row>
    <row r="79" spans="81:133" x14ac:dyDescent="0.25">
      <c r="DA79" s="293"/>
      <c r="DB79" s="84" t="s">
        <v>67</v>
      </c>
      <c r="DC79" s="8">
        <v>-0.28999999999999998</v>
      </c>
      <c r="DD79" s="8">
        <v>-0.18</v>
      </c>
      <c r="DE79" s="8">
        <v>383.51</v>
      </c>
      <c r="DF79" s="8">
        <v>838.54</v>
      </c>
      <c r="DG79" s="8">
        <v>901.74</v>
      </c>
      <c r="DH79" s="8">
        <v>918.67</v>
      </c>
      <c r="DI79" s="8">
        <v>989.05</v>
      </c>
      <c r="DJ79" s="8">
        <v>1207.8800000000001</v>
      </c>
      <c r="DK79" s="8">
        <v>1173.18</v>
      </c>
      <c r="DL79" s="8">
        <v>1200.93</v>
      </c>
      <c r="DM79" s="8">
        <v>1051.26</v>
      </c>
      <c r="DN79" s="8">
        <v>899.18</v>
      </c>
      <c r="DO79" s="8">
        <v>1032.83</v>
      </c>
      <c r="DP79" s="8">
        <v>970.5</v>
      </c>
      <c r="DQ79" s="12" t="s">
        <v>129</v>
      </c>
      <c r="DR79" s="12" t="s">
        <v>129</v>
      </c>
      <c r="DS79" s="12" t="s">
        <v>129</v>
      </c>
      <c r="DT79" s="12" t="s">
        <v>129</v>
      </c>
      <c r="DU79" s="12" t="s">
        <v>129</v>
      </c>
      <c r="DV79" s="12" t="s">
        <v>129</v>
      </c>
      <c r="DW79" s="12" t="s">
        <v>129</v>
      </c>
      <c r="DX79" s="12" t="s">
        <v>129</v>
      </c>
      <c r="DY79" s="12" t="s">
        <v>129</v>
      </c>
      <c r="DZ79" s="12" t="s">
        <v>129</v>
      </c>
      <c r="EA79" s="12" t="s">
        <v>129</v>
      </c>
    </row>
    <row r="80" spans="81:133" x14ac:dyDescent="0.25">
      <c r="DA80" s="293"/>
      <c r="DB80" s="85" t="s">
        <v>8</v>
      </c>
      <c r="DC80" s="8">
        <v>0.34249703269703941</v>
      </c>
      <c r="DD80" s="8">
        <v>0.35303789326219431</v>
      </c>
      <c r="DE80" s="8">
        <v>0.47198254857895977</v>
      </c>
      <c r="DF80" s="8">
        <v>0.58368965357991454</v>
      </c>
      <c r="DG80" s="8">
        <v>0.78424287331953069</v>
      </c>
      <c r="DH80" s="8">
        <v>0.953118181420754</v>
      </c>
      <c r="DI80" s="8">
        <v>1.0233859436175838</v>
      </c>
      <c r="DJ80" s="8">
        <v>0.84877238789285869</v>
      </c>
      <c r="DK80" s="8">
        <v>1.4481242080934591</v>
      </c>
      <c r="DL80" s="8">
        <v>1.5579589441054462</v>
      </c>
      <c r="DM80" s="8">
        <v>1.3409911257311007</v>
      </c>
      <c r="DN80" s="8">
        <v>1.4846526629887264</v>
      </c>
      <c r="DO80" s="8">
        <v>2.7484952764193231</v>
      </c>
      <c r="DP80" s="8">
        <v>2.6641360681875614</v>
      </c>
      <c r="DQ80" s="12" t="s">
        <v>129</v>
      </c>
      <c r="DR80" s="12" t="s">
        <v>129</v>
      </c>
      <c r="DS80" s="12" t="s">
        <v>129</v>
      </c>
      <c r="DT80" s="12" t="s">
        <v>129</v>
      </c>
      <c r="DU80" s="12" t="s">
        <v>129</v>
      </c>
      <c r="DV80" s="12" t="s">
        <v>129</v>
      </c>
      <c r="DW80" s="12" t="s">
        <v>129</v>
      </c>
      <c r="DX80" s="12" t="s">
        <v>129</v>
      </c>
      <c r="DY80" s="12" t="s">
        <v>129</v>
      </c>
      <c r="DZ80" s="12" t="s">
        <v>129</v>
      </c>
      <c r="EA80" s="12" t="s">
        <v>129</v>
      </c>
    </row>
    <row r="81" spans="80:134" x14ac:dyDescent="0.25">
      <c r="DA81" s="293"/>
      <c r="DB81" s="85" t="s">
        <v>6</v>
      </c>
      <c r="DC81" s="8">
        <v>-12388.935306785015</v>
      </c>
      <c r="DD81" s="8">
        <v>-12388.582268891752</v>
      </c>
      <c r="DE81" s="8">
        <v>-12388.110286343173</v>
      </c>
      <c r="DF81" s="8">
        <v>-12387.526596689593</v>
      </c>
      <c r="DG81" s="8">
        <v>-12386.742353816273</v>
      </c>
      <c r="DH81" s="8">
        <v>-12385.789235634853</v>
      </c>
      <c r="DI81" s="8">
        <v>-12384.765849691235</v>
      </c>
      <c r="DJ81" s="8">
        <v>-12383.917077303342</v>
      </c>
      <c r="DK81" s="8">
        <v>-12382.468953095249</v>
      </c>
      <c r="DL81" s="8">
        <v>-12380.910994151143</v>
      </c>
      <c r="DM81" s="8">
        <v>-12379.570003025412</v>
      </c>
      <c r="DN81" s="8">
        <v>-12378.085350362424</v>
      </c>
      <c r="DO81" s="8">
        <v>-12375.336855086005</v>
      </c>
      <c r="DP81" s="8">
        <v>-12372.672719017817</v>
      </c>
      <c r="DQ81" s="12" t="s">
        <v>129</v>
      </c>
      <c r="DR81" s="12" t="s">
        <v>129</v>
      </c>
      <c r="DS81" s="12" t="s">
        <v>129</v>
      </c>
      <c r="DT81" s="12" t="s">
        <v>129</v>
      </c>
      <c r="DU81" s="12" t="s">
        <v>129</v>
      </c>
      <c r="DV81" s="12" t="s">
        <v>129</v>
      </c>
      <c r="DW81" s="12" t="s">
        <v>129</v>
      </c>
      <c r="DX81" s="12" t="s">
        <v>129</v>
      </c>
      <c r="DY81" s="12" t="s">
        <v>129</v>
      </c>
      <c r="DZ81" s="12" t="s">
        <v>129</v>
      </c>
      <c r="EA81" s="12" t="s">
        <v>129</v>
      </c>
      <c r="EB81" s="45">
        <f>'MEEIA 2 calcs'!BW80</f>
        <v>-12372.527353923275</v>
      </c>
      <c r="EC81" s="166">
        <f>DP81-EB81</f>
        <v>-0.14536509454228508</v>
      </c>
      <c r="ED81" s="47" t="s">
        <v>131</v>
      </c>
    </row>
    <row r="82" spans="80:134" x14ac:dyDescent="0.25">
      <c r="DA82" s="293"/>
      <c r="DB82" s="84" t="s">
        <v>69</v>
      </c>
      <c r="DC82" s="8">
        <v>5.2497032697039425E-2</v>
      </c>
      <c r="DD82" s="8">
        <v>0.17303789326219432</v>
      </c>
      <c r="DE82" s="8">
        <v>383.98198254857897</v>
      </c>
      <c r="DF82" s="8">
        <v>839.12368965357985</v>
      </c>
      <c r="DG82" s="8">
        <v>902.52424287331951</v>
      </c>
      <c r="DH82" s="8">
        <v>919.62311818142075</v>
      </c>
      <c r="DI82" s="8">
        <v>990.0733859436175</v>
      </c>
      <c r="DJ82" s="8">
        <v>1208.7287723878931</v>
      </c>
      <c r="DK82" s="8">
        <v>1174.6281242080936</v>
      </c>
      <c r="DL82" s="8">
        <v>1202.4879589441055</v>
      </c>
      <c r="DM82" s="8">
        <v>1052.6009911257311</v>
      </c>
      <c r="DN82" s="8">
        <v>900.66465266298871</v>
      </c>
      <c r="DO82" s="8">
        <v>1035.5784952764193</v>
      </c>
      <c r="DP82" s="8">
        <v>973.16413606818753</v>
      </c>
      <c r="DQ82" s="12" t="s">
        <v>129</v>
      </c>
      <c r="DR82" s="12" t="s">
        <v>129</v>
      </c>
      <c r="DS82" s="12" t="s">
        <v>129</v>
      </c>
      <c r="DT82" s="12" t="s">
        <v>129</v>
      </c>
      <c r="DU82" s="12" t="s">
        <v>129</v>
      </c>
      <c r="DV82" s="12" t="s">
        <v>129</v>
      </c>
      <c r="DW82" s="12" t="s">
        <v>129</v>
      </c>
      <c r="DX82" s="12" t="s">
        <v>129</v>
      </c>
      <c r="DY82" s="12" t="s">
        <v>129</v>
      </c>
      <c r="DZ82" s="12" t="s">
        <v>129</v>
      </c>
      <c r="EA82" s="12" t="s">
        <v>129</v>
      </c>
    </row>
    <row r="83" spans="80:134" x14ac:dyDescent="0.25">
      <c r="DA83" s="293"/>
      <c r="DB83" s="86" t="s">
        <v>70</v>
      </c>
      <c r="DC83" s="8">
        <v>2055.3246932149332</v>
      </c>
      <c r="DD83" s="8">
        <v>2055.4977311081952</v>
      </c>
      <c r="DE83" s="8">
        <v>2439.479713656774</v>
      </c>
      <c r="DF83" s="8">
        <v>3278.6034033103538</v>
      </c>
      <c r="DG83" s="8">
        <v>4181.1276461836733</v>
      </c>
      <c r="DH83" s="8">
        <v>5100.7507643650943</v>
      </c>
      <c r="DI83" s="8">
        <v>6090.824150308712</v>
      </c>
      <c r="DJ83" s="8">
        <v>7299.5529226966046</v>
      </c>
      <c r="DK83" s="8">
        <v>8474.1810469046977</v>
      </c>
      <c r="DL83" s="8">
        <v>9676.6690058488039</v>
      </c>
      <c r="DM83" s="8">
        <v>10729.269996974535</v>
      </c>
      <c r="DN83" s="8">
        <v>11629.934649637524</v>
      </c>
      <c r="DO83" s="8">
        <v>12665.513144913943</v>
      </c>
      <c r="DP83" s="8">
        <v>13638.67728098213</v>
      </c>
      <c r="DQ83" s="12" t="s">
        <v>129</v>
      </c>
      <c r="DR83" s="12" t="s">
        <v>129</v>
      </c>
      <c r="DS83" s="12" t="s">
        <v>129</v>
      </c>
      <c r="DT83" s="12" t="s">
        <v>129</v>
      </c>
      <c r="DU83" s="12" t="s">
        <v>129</v>
      </c>
      <c r="DV83" s="12" t="s">
        <v>129</v>
      </c>
      <c r="DW83" s="12" t="s">
        <v>129</v>
      </c>
      <c r="DX83" s="12" t="s">
        <v>129</v>
      </c>
      <c r="DY83" s="12" t="s">
        <v>129</v>
      </c>
      <c r="DZ83" s="12" t="s">
        <v>129</v>
      </c>
      <c r="EA83" s="12" t="s">
        <v>129</v>
      </c>
    </row>
    <row r="84" spans="80:134" x14ac:dyDescent="0.25">
      <c r="CB84" s="183"/>
      <c r="CC84" s="1"/>
      <c r="CD84" s="1"/>
      <c r="CE84" s="1"/>
      <c r="CF84" s="1"/>
      <c r="CG84" s="1"/>
      <c r="CH84" s="1"/>
      <c r="CI84" s="1"/>
      <c r="CJ84" s="1"/>
      <c r="CK84" s="1"/>
      <c r="CL84" s="1"/>
      <c r="CM84" s="1"/>
      <c r="CN84" s="1"/>
      <c r="CO84" s="1"/>
      <c r="CP84" s="1"/>
      <c r="CQ84" s="1"/>
      <c r="CR84" s="1"/>
      <c r="CS84" s="1"/>
      <c r="CT84" s="1"/>
      <c r="CU84" s="1"/>
      <c r="CV84" s="1"/>
      <c r="CW84" s="1"/>
      <c r="CX84" s="1"/>
      <c r="CY84" s="1"/>
      <c r="DA84" s="40"/>
      <c r="DB84" s="11"/>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row>
    <row r="85" spans="80:134" x14ac:dyDescent="0.25">
      <c r="CB85" s="183"/>
      <c r="CC85" s="1"/>
      <c r="CD85" s="1"/>
      <c r="CE85" s="1"/>
      <c r="CF85" s="1"/>
      <c r="CG85" s="1"/>
      <c r="CH85" s="1"/>
      <c r="CI85" s="1"/>
      <c r="CJ85" s="1"/>
      <c r="CK85" s="1"/>
      <c r="CL85" s="1"/>
      <c r="CM85" s="1"/>
      <c r="CN85" s="1"/>
      <c r="CO85" s="1"/>
      <c r="CP85" s="1"/>
      <c r="CQ85" s="1"/>
      <c r="CR85" s="1"/>
      <c r="CS85" s="1"/>
      <c r="CT85" s="1"/>
      <c r="CU85" s="1"/>
      <c r="CV85" s="1"/>
      <c r="CW85" s="1"/>
      <c r="CX85" s="1"/>
      <c r="CY85" s="1"/>
      <c r="DA85" s="294" t="s">
        <v>79</v>
      </c>
      <c r="DB85" s="52"/>
      <c r="DC85" s="67"/>
      <c r="DD85" s="67"/>
      <c r="DE85" s="67"/>
      <c r="DF85" s="67"/>
      <c r="DG85" s="67"/>
      <c r="DH85" s="67"/>
      <c r="DI85" s="67"/>
      <c r="DJ85" s="67"/>
      <c r="DK85" s="67"/>
      <c r="DL85" s="67"/>
      <c r="DM85" s="67"/>
      <c r="DN85" s="67"/>
      <c r="DO85" s="67"/>
      <c r="DP85" s="67"/>
      <c r="DQ85" s="13"/>
      <c r="DR85" s="13"/>
      <c r="DS85" s="13"/>
      <c r="DT85" s="13"/>
      <c r="DU85" s="13"/>
      <c r="DV85" s="13"/>
      <c r="DW85" s="13"/>
      <c r="DX85" s="13"/>
      <c r="DY85" s="13"/>
      <c r="DZ85" s="13"/>
      <c r="EA85" s="13"/>
    </row>
    <row r="86" spans="80:134" x14ac:dyDescent="0.25">
      <c r="CB86" s="183"/>
      <c r="CC86" s="1"/>
      <c r="CD86" s="1"/>
      <c r="CE86" s="1"/>
      <c r="CF86" s="1"/>
      <c r="CG86" s="1"/>
      <c r="CH86" s="1"/>
      <c r="CI86" s="1"/>
      <c r="CJ86" s="1"/>
      <c r="CK86" s="1"/>
      <c r="CL86" s="1"/>
      <c r="CM86" s="1"/>
      <c r="CN86" s="1"/>
      <c r="CO86" s="1"/>
      <c r="CP86" s="1"/>
      <c r="CQ86" s="1"/>
      <c r="CR86" s="1"/>
      <c r="CS86" s="1"/>
      <c r="CT86" s="1"/>
      <c r="CU86" s="1"/>
      <c r="CV86" s="1"/>
      <c r="CW86" s="1"/>
      <c r="CX86" s="1"/>
      <c r="CY86" s="1"/>
      <c r="DA86" s="294"/>
      <c r="DB86" s="52" t="s">
        <v>50</v>
      </c>
      <c r="DC86" s="60"/>
      <c r="DD86" s="60"/>
      <c r="DE86" s="60"/>
      <c r="DF86" s="60"/>
      <c r="DG86" s="60"/>
      <c r="DH86" s="60"/>
      <c r="DI86" s="60"/>
      <c r="DJ86" s="60"/>
      <c r="DK86" s="60"/>
      <c r="DL86" s="60"/>
      <c r="DM86" s="60"/>
      <c r="DN86" s="60"/>
      <c r="DO86" s="60"/>
      <c r="DP86" s="60"/>
      <c r="DQ86" s="212"/>
      <c r="DR86" s="212"/>
      <c r="DS86" s="212"/>
      <c r="DT86" s="212"/>
      <c r="DU86" s="212"/>
      <c r="DV86" s="212"/>
      <c r="DW86" s="212"/>
      <c r="DX86" s="212"/>
      <c r="DY86" s="212"/>
      <c r="DZ86" s="212"/>
      <c r="EA86" s="212"/>
    </row>
    <row r="87" spans="80:134" x14ac:dyDescent="0.25">
      <c r="CB87" s="183"/>
      <c r="CC87" s="1"/>
      <c r="CD87" s="1"/>
      <c r="CE87" s="1"/>
      <c r="CF87" s="1"/>
      <c r="CG87" s="1"/>
      <c r="CH87" s="1"/>
      <c r="CI87" s="1"/>
      <c r="CJ87" s="1"/>
      <c r="CK87" s="1"/>
      <c r="CL87" s="1"/>
      <c r="CM87" s="1"/>
      <c r="CN87" s="1"/>
      <c r="CO87" s="1"/>
      <c r="CP87" s="1"/>
      <c r="CQ87" s="1"/>
      <c r="CR87" s="1"/>
      <c r="CS87" s="1"/>
      <c r="CT87" s="1"/>
      <c r="CU87" s="1"/>
      <c r="CV87" s="1"/>
      <c r="CW87" s="1"/>
      <c r="CX87" s="1"/>
      <c r="CY87" s="1"/>
      <c r="DA87" s="294"/>
      <c r="DB87" s="52" t="s">
        <v>45</v>
      </c>
      <c r="DC87" s="22"/>
      <c r="DD87" s="22"/>
      <c r="DE87" s="22"/>
      <c r="DF87" s="22"/>
      <c r="DG87" s="22"/>
      <c r="DH87" s="22"/>
      <c r="DI87" s="22"/>
      <c r="DJ87" s="22"/>
      <c r="DK87" s="22"/>
      <c r="DL87" s="22"/>
      <c r="DM87" s="22"/>
      <c r="DN87" s="22"/>
      <c r="DO87" s="22"/>
      <c r="DP87" s="22"/>
      <c r="DQ87" s="12"/>
      <c r="DR87" s="12"/>
      <c r="DS87" s="12"/>
      <c r="DT87" s="12"/>
      <c r="DU87" s="12"/>
      <c r="DV87" s="12"/>
      <c r="DW87" s="12"/>
      <c r="DX87" s="12"/>
      <c r="DY87" s="12"/>
      <c r="DZ87" s="12"/>
      <c r="EA87" s="12"/>
    </row>
    <row r="88" spans="80:134" x14ac:dyDescent="0.25">
      <c r="CB88" s="183"/>
      <c r="CC88" s="1"/>
      <c r="CD88" s="1"/>
      <c r="CE88" s="1"/>
      <c r="CF88" s="1"/>
      <c r="CG88" s="1"/>
      <c r="CH88" s="1"/>
      <c r="CI88" s="1"/>
      <c r="CJ88" s="1"/>
      <c r="CK88" s="1"/>
      <c r="CL88" s="1"/>
      <c r="CM88" s="1"/>
      <c r="CN88" s="1"/>
      <c r="CO88" s="1"/>
      <c r="CP88" s="1"/>
      <c r="CQ88" s="1"/>
      <c r="CR88" s="1"/>
      <c r="CS88" s="1"/>
      <c r="CT88" s="1"/>
      <c r="CU88" s="1"/>
      <c r="CV88" s="1"/>
      <c r="CW88" s="1"/>
      <c r="CX88" s="1"/>
      <c r="CY88" s="1"/>
      <c r="DA88" s="294"/>
      <c r="DB88" s="52" t="s">
        <v>46</v>
      </c>
      <c r="DC88" s="8"/>
      <c r="DD88" s="8"/>
      <c r="DE88" s="8"/>
      <c r="DF88" s="8"/>
      <c r="DG88" s="8"/>
      <c r="DH88" s="8"/>
      <c r="DI88" s="8"/>
      <c r="DJ88" s="8"/>
      <c r="DK88" s="8"/>
      <c r="DL88" s="8"/>
      <c r="DM88" s="8"/>
      <c r="DN88" s="8"/>
      <c r="DO88" s="8"/>
      <c r="DP88" s="8"/>
      <c r="DQ88" s="12"/>
      <c r="DR88" s="12"/>
      <c r="DS88" s="12"/>
      <c r="DT88" s="12"/>
      <c r="DU88" s="12"/>
      <c r="DV88" s="12"/>
      <c r="DW88" s="12"/>
      <c r="DX88" s="12"/>
      <c r="DY88" s="12"/>
      <c r="DZ88" s="12"/>
      <c r="EA88" s="12"/>
    </row>
    <row r="89" spans="80:134" x14ac:dyDescent="0.25">
      <c r="CB89" s="183"/>
      <c r="CC89" s="1"/>
      <c r="CD89" s="1"/>
      <c r="CE89" s="1"/>
      <c r="CF89" s="1"/>
      <c r="CG89" s="1"/>
      <c r="CH89" s="1"/>
      <c r="CI89" s="1"/>
      <c r="CJ89" s="1"/>
      <c r="CK89" s="1"/>
      <c r="CL89" s="1"/>
      <c r="CM89" s="1"/>
      <c r="CN89" s="1"/>
      <c r="CO89" s="1"/>
      <c r="CP89" s="1"/>
      <c r="CQ89" s="1"/>
      <c r="CR89" s="1"/>
      <c r="CS89" s="1"/>
      <c r="CT89" s="1"/>
      <c r="CU89" s="1"/>
      <c r="CV89" s="1"/>
      <c r="CW89" s="1"/>
      <c r="CX89" s="1"/>
      <c r="CY89" s="1"/>
      <c r="DA89" s="294"/>
      <c r="DB89" s="52" t="s">
        <v>4</v>
      </c>
      <c r="DC89" s="61"/>
      <c r="DD89" s="61"/>
      <c r="DE89" s="61"/>
      <c r="DF89" s="61"/>
      <c r="DG89" s="61"/>
      <c r="DH89" s="61"/>
      <c r="DI89" s="61"/>
      <c r="DJ89" s="61"/>
      <c r="DK89" s="61"/>
      <c r="DL89" s="61"/>
      <c r="DM89" s="61"/>
      <c r="DN89" s="61"/>
      <c r="DO89" s="61"/>
      <c r="DP89" s="61"/>
      <c r="DQ89" s="213"/>
      <c r="DR89" s="213"/>
      <c r="DS89" s="213"/>
      <c r="DT89" s="213"/>
      <c r="DU89" s="213"/>
      <c r="DV89" s="213"/>
      <c r="DW89" s="213"/>
      <c r="DX89" s="213"/>
      <c r="DY89" s="213"/>
      <c r="DZ89" s="213"/>
      <c r="EA89" s="213"/>
    </row>
    <row r="90" spans="80:134" x14ac:dyDescent="0.25">
      <c r="CB90" s="183"/>
      <c r="CC90" s="1"/>
      <c r="CD90" s="1"/>
      <c r="CE90" s="1"/>
      <c r="CF90" s="1"/>
      <c r="CG90" s="1"/>
      <c r="CH90" s="1"/>
      <c r="CI90" s="1"/>
      <c r="CJ90" s="1"/>
      <c r="CK90" s="1"/>
      <c r="CL90" s="1"/>
      <c r="CM90" s="1"/>
      <c r="CN90" s="1"/>
      <c r="CO90" s="1"/>
      <c r="CP90" s="1"/>
      <c r="CQ90" s="1"/>
      <c r="CR90" s="1"/>
      <c r="CS90" s="1"/>
      <c r="CT90" s="1"/>
      <c r="CU90" s="1"/>
      <c r="CV90" s="1"/>
      <c r="CW90" s="1"/>
      <c r="CX90" s="1"/>
      <c r="CY90" s="1"/>
      <c r="DA90" s="294"/>
      <c r="DB90" s="52" t="s">
        <v>49</v>
      </c>
      <c r="DC90" s="8"/>
      <c r="DD90" s="8"/>
      <c r="DE90" s="8"/>
      <c r="DF90" s="8"/>
      <c r="DG90" s="8"/>
      <c r="DH90" s="8"/>
      <c r="DI90" s="8"/>
      <c r="DJ90" s="8"/>
      <c r="DK90" s="8"/>
      <c r="DL90" s="8"/>
      <c r="DM90" s="8"/>
      <c r="DN90" s="8"/>
      <c r="DO90" s="8"/>
      <c r="DP90" s="8"/>
      <c r="DQ90" s="12"/>
      <c r="DR90" s="12"/>
      <c r="DS90" s="12"/>
      <c r="DT90" s="12"/>
      <c r="DU90" s="12"/>
      <c r="DV90" s="12"/>
      <c r="DW90" s="12"/>
      <c r="DX90" s="12"/>
      <c r="DY90" s="12"/>
      <c r="DZ90" s="12"/>
      <c r="EA90" s="12"/>
    </row>
    <row r="91" spans="80:134" x14ac:dyDescent="0.25">
      <c r="CB91" s="183"/>
      <c r="CC91" s="1"/>
      <c r="CD91" s="1"/>
      <c r="CE91" s="1"/>
      <c r="CF91" s="1"/>
      <c r="CG91" s="1"/>
      <c r="CH91" s="1"/>
      <c r="CI91" s="1"/>
      <c r="CJ91" s="1"/>
      <c r="CK91" s="1"/>
      <c r="CL91" s="1"/>
      <c r="CM91" s="1"/>
      <c r="CN91" s="1"/>
      <c r="CO91" s="1"/>
      <c r="CP91" s="1"/>
      <c r="CQ91" s="1"/>
      <c r="CR91" s="1"/>
      <c r="CS91" s="1"/>
      <c r="CT91" s="1"/>
      <c r="CU91" s="1"/>
      <c r="CV91" s="1"/>
      <c r="CW91" s="1"/>
      <c r="CX91" s="1"/>
      <c r="CY91" s="1"/>
      <c r="DA91" s="294"/>
      <c r="DB91" s="53" t="s">
        <v>6</v>
      </c>
      <c r="DC91" s="8"/>
      <c r="DD91" s="8"/>
      <c r="DE91" s="8"/>
      <c r="DF91" s="8"/>
      <c r="DG91" s="8"/>
      <c r="DH91" s="8"/>
      <c r="DI91" s="8"/>
      <c r="DJ91" s="8"/>
      <c r="DK91" s="8"/>
      <c r="DL91" s="8"/>
      <c r="DM91" s="8"/>
      <c r="DN91" s="8"/>
      <c r="DO91" s="8"/>
      <c r="DP91" s="8"/>
      <c r="DQ91" s="12"/>
      <c r="DR91" s="12"/>
      <c r="DS91" s="12"/>
      <c r="DT91" s="12"/>
      <c r="DU91" s="12"/>
      <c r="DV91" s="12"/>
      <c r="DW91" s="12"/>
      <c r="DX91" s="12"/>
      <c r="DY91" s="12"/>
      <c r="DZ91" s="12"/>
      <c r="EA91" s="12"/>
    </row>
    <row r="92" spans="80:134" x14ac:dyDescent="0.25">
      <c r="CB92" s="183"/>
      <c r="CC92" s="1"/>
      <c r="CD92" s="1"/>
      <c r="CE92" s="1"/>
      <c r="CF92" s="1"/>
      <c r="CG92" s="1"/>
      <c r="CH92" s="1"/>
      <c r="CI92" s="1"/>
      <c r="CJ92" s="1"/>
      <c r="CK92" s="1"/>
      <c r="CL92" s="1"/>
      <c r="CM92" s="1"/>
      <c r="CN92" s="1"/>
      <c r="CO92" s="1"/>
      <c r="CP92" s="1"/>
      <c r="CQ92" s="1"/>
      <c r="CR92" s="1"/>
      <c r="CS92" s="1"/>
      <c r="CT92" s="1"/>
      <c r="CU92" s="1"/>
      <c r="CV92" s="1"/>
      <c r="CW92" s="1"/>
      <c r="CX92" s="1"/>
      <c r="CY92" s="1"/>
      <c r="DA92" s="294"/>
      <c r="DB92" s="70" t="s">
        <v>58</v>
      </c>
      <c r="DC92" s="8"/>
      <c r="DD92" s="8"/>
      <c r="DE92" s="8"/>
      <c r="DF92" s="8"/>
      <c r="DG92" s="8"/>
      <c r="DH92" s="8"/>
      <c r="DI92" s="8"/>
      <c r="DJ92" s="8"/>
      <c r="DK92" s="8"/>
      <c r="DL92" s="8"/>
      <c r="DM92" s="8"/>
      <c r="DN92" s="8"/>
      <c r="DO92" s="8"/>
      <c r="DP92" s="8"/>
      <c r="DQ92" s="12"/>
      <c r="DR92" s="12"/>
      <c r="DS92" s="12"/>
      <c r="DT92" s="12"/>
      <c r="DU92" s="12"/>
      <c r="DV92" s="12"/>
      <c r="DW92" s="12"/>
      <c r="DX92" s="12"/>
      <c r="DY92" s="12"/>
      <c r="DZ92" s="12"/>
      <c r="EA92" s="12"/>
    </row>
    <row r="93" spans="80:134" x14ac:dyDescent="0.25">
      <c r="CB93" s="183"/>
      <c r="CC93" s="1"/>
      <c r="CD93" s="1"/>
      <c r="CE93" s="1"/>
      <c r="CF93" s="1"/>
      <c r="CG93" s="1"/>
      <c r="CH93" s="1"/>
      <c r="CI93" s="1"/>
      <c r="CJ93" s="1"/>
      <c r="CK93" s="1"/>
      <c r="CL93" s="1"/>
      <c r="CM93" s="1"/>
      <c r="CN93" s="1"/>
      <c r="CO93" s="1"/>
      <c r="CP93" s="1"/>
      <c r="CQ93" s="1"/>
      <c r="CR93" s="1"/>
      <c r="CS93" s="1"/>
      <c r="CT93" s="1"/>
      <c r="CU93" s="1"/>
      <c r="CV93" s="1"/>
      <c r="CW93" s="1"/>
      <c r="CX93" s="1"/>
      <c r="CY93" s="1"/>
      <c r="DA93" s="294"/>
      <c r="DB93" s="52" t="s">
        <v>48</v>
      </c>
      <c r="DC93" s="8"/>
      <c r="DD93" s="8"/>
      <c r="DE93" s="8"/>
      <c r="DF93" s="8"/>
      <c r="DG93" s="8"/>
      <c r="DH93" s="8"/>
      <c r="DI93" s="8"/>
      <c r="DJ93" s="8"/>
      <c r="DK93" s="8"/>
      <c r="DL93" s="8"/>
      <c r="DM93" s="8"/>
      <c r="DN93" s="8"/>
      <c r="DO93" s="8"/>
      <c r="DP93" s="8"/>
      <c r="DQ93" s="12"/>
      <c r="DR93" s="12"/>
      <c r="DS93" s="12"/>
      <c r="DT93" s="12"/>
      <c r="DU93" s="12"/>
      <c r="DV93" s="12"/>
      <c r="DW93" s="12"/>
      <c r="DX93" s="12"/>
      <c r="DY93" s="12"/>
      <c r="DZ93" s="12"/>
      <c r="EA93" s="12"/>
    </row>
    <row r="94" spans="80:134" x14ac:dyDescent="0.25">
      <c r="CB94" s="183"/>
      <c r="CC94" s="1"/>
      <c r="CD94" s="1"/>
      <c r="CE94" s="1"/>
      <c r="CF94" s="1"/>
      <c r="CG94" s="1"/>
      <c r="CH94" s="1"/>
      <c r="CI94" s="1"/>
      <c r="CJ94" s="1"/>
      <c r="CK94" s="1"/>
      <c r="CL94" s="1"/>
      <c r="CM94" s="1"/>
      <c r="CN94" s="1"/>
      <c r="CO94" s="1"/>
      <c r="CP94" s="1"/>
      <c r="CQ94" s="1"/>
      <c r="CR94" s="1"/>
      <c r="CS94" s="1"/>
      <c r="CT94" s="1"/>
      <c r="CU94" s="1"/>
      <c r="CV94" s="1"/>
      <c r="CW94" s="1"/>
      <c r="CX94" s="1"/>
      <c r="CY94" s="1"/>
      <c r="DA94" s="294"/>
      <c r="DB94" s="54" t="s">
        <v>47</v>
      </c>
      <c r="DC94" s="8"/>
      <c r="DD94" s="8"/>
      <c r="DE94" s="8"/>
      <c r="DF94" s="8"/>
      <c r="DG94" s="8"/>
      <c r="DH94" s="8"/>
      <c r="DI94" s="8"/>
      <c r="DJ94" s="8"/>
      <c r="DK94" s="8"/>
      <c r="DL94" s="8"/>
      <c r="DM94" s="8"/>
      <c r="DN94" s="8"/>
      <c r="DO94" s="8"/>
      <c r="DP94" s="8"/>
      <c r="DQ94" s="12"/>
      <c r="DR94" s="12"/>
      <c r="DS94" s="12"/>
      <c r="DT94" s="12"/>
      <c r="DU94" s="12"/>
      <c r="DV94" s="12"/>
      <c r="DW94" s="12"/>
      <c r="DX94" s="12"/>
      <c r="DY94" s="12"/>
      <c r="DZ94" s="12"/>
      <c r="EA94" s="12"/>
    </row>
    <row r="95" spans="80:134" x14ac:dyDescent="0.25">
      <c r="CB95" s="183"/>
      <c r="CC95" s="1"/>
      <c r="CD95" s="1"/>
      <c r="CE95" s="1"/>
      <c r="CF95" s="1"/>
      <c r="CG95" s="1"/>
      <c r="CH95" s="1"/>
      <c r="CI95" s="1"/>
      <c r="CJ95" s="1"/>
      <c r="CK95" s="1"/>
      <c r="CL95" s="1"/>
      <c r="CM95" s="1"/>
      <c r="CN95" s="1"/>
      <c r="CO95" s="1"/>
      <c r="CP95" s="1"/>
      <c r="CQ95" s="1"/>
      <c r="CR95" s="1"/>
      <c r="CS95" s="1"/>
      <c r="CT95" s="1"/>
      <c r="CU95" s="1"/>
      <c r="CV95" s="1"/>
      <c r="CW95" s="1"/>
      <c r="CX95" s="1"/>
      <c r="CY95" s="1"/>
      <c r="DA95" s="40"/>
      <c r="DB95" s="11"/>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row>
    <row r="96" spans="80:134" x14ac:dyDescent="0.25">
      <c r="CB96" s="183"/>
      <c r="CC96" s="1"/>
      <c r="CD96" s="1"/>
      <c r="CE96" s="1"/>
      <c r="CF96" s="1"/>
      <c r="CG96" s="1"/>
      <c r="CH96" s="1"/>
      <c r="CI96" s="1"/>
      <c r="CJ96" s="1"/>
      <c r="CK96" s="1"/>
      <c r="CL96" s="1"/>
      <c r="CM96" s="1"/>
      <c r="CN96" s="1"/>
      <c r="CO96" s="1"/>
      <c r="CP96" s="1"/>
      <c r="CQ96" s="1"/>
      <c r="CR96" s="1"/>
      <c r="CS96" s="1"/>
      <c r="CT96" s="1"/>
      <c r="CU96" s="1"/>
      <c r="CV96" s="1"/>
      <c r="CW96" s="1"/>
      <c r="CX96" s="1"/>
      <c r="CY96" s="1"/>
      <c r="DA96" s="294" t="s">
        <v>78</v>
      </c>
      <c r="DB96" s="52"/>
      <c r="DC96" s="67"/>
      <c r="DD96" s="67"/>
      <c r="DE96" s="67"/>
      <c r="DF96" s="67"/>
      <c r="DG96" s="67"/>
      <c r="DH96" s="67"/>
      <c r="DI96" s="67"/>
      <c r="DJ96" s="67"/>
      <c r="DK96" s="68">
        <v>-19829.638093632686</v>
      </c>
      <c r="DL96" s="67"/>
      <c r="DM96" s="67"/>
      <c r="DN96" s="67"/>
      <c r="DO96" s="67"/>
      <c r="DP96" s="67"/>
      <c r="DQ96" s="67"/>
      <c r="DR96" s="67"/>
      <c r="DS96" s="67"/>
      <c r="DT96" s="67"/>
      <c r="DU96" s="67"/>
      <c r="DV96" s="67"/>
      <c r="DW96" s="67"/>
      <c r="DX96" s="67"/>
      <c r="DY96" s="67"/>
      <c r="DZ96" s="67"/>
      <c r="EA96" s="67"/>
    </row>
    <row r="97" spans="80:134" x14ac:dyDescent="0.25">
      <c r="CB97" s="183"/>
      <c r="CC97" s="1"/>
      <c r="CD97" s="1"/>
      <c r="CE97" s="1"/>
      <c r="CF97" s="1"/>
      <c r="CG97" s="1"/>
      <c r="CH97" s="1"/>
      <c r="CI97" s="1"/>
      <c r="CJ97" s="1"/>
      <c r="CK97" s="1"/>
      <c r="CL97" s="1"/>
      <c r="CM97" s="1"/>
      <c r="CN97" s="1"/>
      <c r="CO97" s="1"/>
      <c r="CP97" s="1"/>
      <c r="CQ97" s="1"/>
      <c r="CR97" s="1"/>
      <c r="CS97" s="1"/>
      <c r="CT97" s="1"/>
      <c r="CU97" s="1"/>
      <c r="CV97" s="1"/>
      <c r="CW97" s="1"/>
      <c r="CX97" s="1"/>
      <c r="CY97" s="1"/>
      <c r="DA97" s="294"/>
      <c r="DB97" s="52" t="s">
        <v>72</v>
      </c>
      <c r="DC97" s="60">
        <v>1894978.5217391304</v>
      </c>
      <c r="DD97" s="60">
        <v>1894978.5217391304</v>
      </c>
      <c r="DE97" s="118">
        <v>1837060.8550724636</v>
      </c>
      <c r="DF97" s="60">
        <v>1837060.8550724636</v>
      </c>
      <c r="DG97" s="60">
        <v>1837060.8550724636</v>
      </c>
      <c r="DH97" s="60">
        <v>1837060.8550724636</v>
      </c>
      <c r="DI97" s="60">
        <v>1837060.8550724636</v>
      </c>
      <c r="DJ97" s="60">
        <v>1837060.8550724636</v>
      </c>
      <c r="DK97" s="60">
        <v>1837060.8550724636</v>
      </c>
      <c r="DL97" s="60">
        <v>1837060.8550724636</v>
      </c>
      <c r="DM97" s="60">
        <v>1837060.8550724636</v>
      </c>
      <c r="DN97" s="60">
        <v>1837060.8550724636</v>
      </c>
      <c r="DO97" s="60">
        <v>1837060.8550724636</v>
      </c>
      <c r="DP97" s="60">
        <v>-57917.666666666664</v>
      </c>
      <c r="DQ97" s="212"/>
      <c r="DR97" s="212"/>
      <c r="DS97" s="212"/>
      <c r="DT97" s="212"/>
      <c r="DU97" s="212"/>
      <c r="DV97" s="212"/>
      <c r="DW97" s="212"/>
      <c r="DX97" s="212"/>
      <c r="DY97" s="212"/>
      <c r="DZ97" s="212"/>
      <c r="EA97" s="212"/>
    </row>
    <row r="98" spans="80:134" x14ac:dyDescent="0.25">
      <c r="CB98" s="183"/>
      <c r="CC98" s="1"/>
      <c r="CD98" s="1"/>
      <c r="CE98" s="1"/>
      <c r="CF98" s="1"/>
      <c r="CG98" s="1"/>
      <c r="CH98" s="1"/>
      <c r="CI98" s="1"/>
      <c r="CJ98" s="1"/>
      <c r="CK98" s="1"/>
      <c r="CL98" s="1"/>
      <c r="CM98" s="1"/>
      <c r="CN98" s="1"/>
      <c r="CO98" s="1"/>
      <c r="CP98" s="1"/>
      <c r="CQ98" s="1"/>
      <c r="CR98" s="1"/>
      <c r="CS98" s="1"/>
      <c r="CT98" s="1"/>
      <c r="CU98" s="1"/>
      <c r="CV98" s="1"/>
      <c r="CW98" s="1"/>
      <c r="CX98" s="1"/>
      <c r="CY98" s="1"/>
      <c r="DA98" s="294"/>
      <c r="DB98" s="52" t="s">
        <v>73</v>
      </c>
      <c r="DC98" s="22">
        <v>1876199.76</v>
      </c>
      <c r="DD98" s="22">
        <v>2208883.19</v>
      </c>
      <c r="DE98" s="22">
        <v>2225379.46</v>
      </c>
      <c r="DF98" s="22">
        <v>1811132.25</v>
      </c>
      <c r="DG98" s="22">
        <v>1487332.63</v>
      </c>
      <c r="DH98" s="22">
        <v>1466226.4</v>
      </c>
      <c r="DI98" s="22">
        <v>1702068.99</v>
      </c>
      <c r="DJ98" s="22">
        <v>2140875.2000000002</v>
      </c>
      <c r="DK98" s="22">
        <v>2124604.4300000002</v>
      </c>
      <c r="DL98" s="22">
        <v>2135977.81</v>
      </c>
      <c r="DM98" s="22">
        <v>1701158.29</v>
      </c>
      <c r="DN98" s="22">
        <v>1511011.77</v>
      </c>
      <c r="DO98" s="22">
        <v>1819161.98</v>
      </c>
      <c r="DP98" s="22">
        <v>2089766.47</v>
      </c>
      <c r="DQ98" s="12"/>
      <c r="DR98" s="12"/>
      <c r="DS98" s="12"/>
      <c r="DT98" s="12"/>
      <c r="DU98" s="12"/>
      <c r="DV98" s="12"/>
      <c r="DW98" s="12"/>
      <c r="DX98" s="12"/>
      <c r="DY98" s="12"/>
      <c r="DZ98" s="12"/>
      <c r="EA98" s="12"/>
    </row>
    <row r="99" spans="80:134" x14ac:dyDescent="0.25">
      <c r="CB99" s="183"/>
      <c r="CC99" s="1"/>
      <c r="CD99" s="1"/>
      <c r="CE99" s="1"/>
      <c r="CF99" s="1"/>
      <c r="CG99" s="1"/>
      <c r="CH99" s="1"/>
      <c r="CI99" s="1"/>
      <c r="CJ99" s="1"/>
      <c r="CK99" s="1"/>
      <c r="CL99" s="1"/>
      <c r="CM99" s="1"/>
      <c r="CN99" s="1"/>
      <c r="CO99" s="1"/>
      <c r="CP99" s="1"/>
      <c r="CQ99" s="1"/>
      <c r="CR99" s="1"/>
      <c r="CS99" s="1"/>
      <c r="CT99" s="1"/>
      <c r="CU99" s="1"/>
      <c r="CV99" s="1"/>
      <c r="CW99" s="1"/>
      <c r="CX99" s="1"/>
      <c r="CY99" s="1"/>
      <c r="DA99" s="294"/>
      <c r="DB99" s="52" t="s">
        <v>74</v>
      </c>
      <c r="DC99" s="8">
        <v>18778.761739130365</v>
      </c>
      <c r="DD99" s="8">
        <v>-313904.66826086957</v>
      </c>
      <c r="DE99" s="8">
        <v>-388318.60492753633</v>
      </c>
      <c r="DF99" s="8">
        <v>25928.60507246363</v>
      </c>
      <c r="DG99" s="8">
        <v>349728.22507246374</v>
      </c>
      <c r="DH99" s="8">
        <v>370834.45507246372</v>
      </c>
      <c r="DI99" s="8">
        <v>134991.86507246364</v>
      </c>
      <c r="DJ99" s="8">
        <v>-303814.34492753656</v>
      </c>
      <c r="DK99" s="8">
        <v>-287543.57492753654</v>
      </c>
      <c r="DL99" s="8">
        <v>-298916.95492753643</v>
      </c>
      <c r="DM99" s="8">
        <v>135902.56507246359</v>
      </c>
      <c r="DN99" s="8">
        <v>326049.08507246361</v>
      </c>
      <c r="DO99" s="8">
        <v>17898.875072463648</v>
      </c>
      <c r="DP99" s="8">
        <v>-2147684.1366666667</v>
      </c>
      <c r="DQ99" s="12" t="s">
        <v>129</v>
      </c>
      <c r="DR99" s="12" t="s">
        <v>129</v>
      </c>
      <c r="DS99" s="12" t="s">
        <v>129</v>
      </c>
      <c r="DT99" s="12" t="s">
        <v>129</v>
      </c>
      <c r="DU99" s="12" t="s">
        <v>129</v>
      </c>
      <c r="DV99" s="12" t="s">
        <v>129</v>
      </c>
      <c r="DW99" s="12" t="s">
        <v>129</v>
      </c>
      <c r="DX99" s="12" t="s">
        <v>129</v>
      </c>
      <c r="DY99" s="12" t="s">
        <v>129</v>
      </c>
      <c r="DZ99" s="12" t="s">
        <v>129</v>
      </c>
      <c r="EA99" s="12" t="s">
        <v>129</v>
      </c>
    </row>
    <row r="100" spans="80:134" x14ac:dyDescent="0.25">
      <c r="CB100" s="183"/>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DA100" s="294"/>
      <c r="DB100" s="52" t="s">
        <v>4</v>
      </c>
      <c r="DC100" s="61">
        <v>2E-3</v>
      </c>
      <c r="DD100" s="61">
        <v>2.0613900000000002E-3</v>
      </c>
      <c r="DE100" s="61">
        <v>2.3221700000000001E-3</v>
      </c>
      <c r="DF100" s="61">
        <v>2.1367399999999998E-3</v>
      </c>
      <c r="DG100" s="61">
        <v>2.2512299999999999E-3</v>
      </c>
      <c r="DH100" s="61">
        <v>2.2427200000000001E-3</v>
      </c>
      <c r="DI100" s="61">
        <v>2.01659E-3</v>
      </c>
      <c r="DJ100" s="61">
        <v>1.3954900000000001E-3</v>
      </c>
      <c r="DK100" s="61">
        <v>2.0509899999999999E-3</v>
      </c>
      <c r="DL100" s="61">
        <v>1.9323299999999999E-3</v>
      </c>
      <c r="DM100" s="61">
        <v>1.5E-3</v>
      </c>
      <c r="DN100" s="61">
        <v>1.5320900000000001E-3</v>
      </c>
      <c r="DO100" s="61">
        <v>2.6046400000000001E-3</v>
      </c>
      <c r="DP100" s="61">
        <v>2.3444999999999998E-3</v>
      </c>
      <c r="DQ100" s="213" t="s">
        <v>129</v>
      </c>
      <c r="DR100" s="213" t="s">
        <v>129</v>
      </c>
      <c r="DS100" s="213" t="s">
        <v>129</v>
      </c>
      <c r="DT100" s="213" t="s">
        <v>129</v>
      </c>
      <c r="DU100" s="213" t="s">
        <v>129</v>
      </c>
      <c r="DV100" s="213" t="s">
        <v>129</v>
      </c>
      <c r="DW100" s="213" t="s">
        <v>129</v>
      </c>
      <c r="DX100" s="213" t="s">
        <v>129</v>
      </c>
      <c r="DY100" s="213" t="s">
        <v>129</v>
      </c>
      <c r="DZ100" s="213" t="s">
        <v>129</v>
      </c>
      <c r="EA100" s="213" t="s">
        <v>129</v>
      </c>
    </row>
    <row r="101" spans="80:134" x14ac:dyDescent="0.25">
      <c r="CB101" s="183"/>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DA101" s="294"/>
      <c r="DB101" s="52" t="s">
        <v>49</v>
      </c>
      <c r="DC101" s="8">
        <v>370.41227569572084</v>
      </c>
      <c r="DD101" s="8">
        <v>327.92238216942786</v>
      </c>
      <c r="DE101" s="8">
        <v>294.32512325054387</v>
      </c>
      <c r="DF101" s="8">
        <v>275.49196187759077</v>
      </c>
      <c r="DG101" s="8">
        <v>355.9148410135395</v>
      </c>
      <c r="DH101" s="8">
        <v>423.94243301973091</v>
      </c>
      <c r="DI101" s="8">
        <v>403.95348469492154</v>
      </c>
      <c r="DJ101" s="8">
        <v>244.2539112090524</v>
      </c>
      <c r="DK101" s="8">
        <v>309.88268234737495</v>
      </c>
      <c r="DL101" s="8">
        <v>243.87047343051788</v>
      </c>
      <c r="DM101" s="8">
        <v>206.32639889179208</v>
      </c>
      <c r="DN101" s="8">
        <v>252.3947960988462</v>
      </c>
      <c r="DO101" s="8">
        <v>433.02527928011182</v>
      </c>
      <c r="DP101" s="8">
        <v>-29.742569052653227</v>
      </c>
      <c r="DQ101" s="12" t="s">
        <v>129</v>
      </c>
      <c r="DR101" s="12" t="s">
        <v>129</v>
      </c>
      <c r="DS101" s="12" t="s">
        <v>129</v>
      </c>
      <c r="DT101" s="12" t="s">
        <v>129</v>
      </c>
      <c r="DU101" s="12" t="s">
        <v>129</v>
      </c>
      <c r="DV101" s="12" t="s">
        <v>129</v>
      </c>
      <c r="DW101" s="12" t="s">
        <v>129</v>
      </c>
      <c r="DX101" s="12" t="s">
        <v>129</v>
      </c>
      <c r="DY101" s="12" t="s">
        <v>129</v>
      </c>
      <c r="DZ101" s="12" t="s">
        <v>129</v>
      </c>
      <c r="EA101" s="12" t="s">
        <v>129</v>
      </c>
    </row>
    <row r="102" spans="80:134" x14ac:dyDescent="0.25">
      <c r="CB102" s="183"/>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DA102" s="294"/>
      <c r="DB102" s="53" t="s">
        <v>6</v>
      </c>
      <c r="DC102" s="8">
        <v>-31180.298767368378</v>
      </c>
      <c r="DD102" s="8">
        <v>-30852.37638519895</v>
      </c>
      <c r="DE102" s="8">
        <v>-30558.051261948407</v>
      </c>
      <c r="DF102" s="8">
        <v>-30282.559300070818</v>
      </c>
      <c r="DG102" s="8">
        <v>-29926.644459057279</v>
      </c>
      <c r="DH102" s="8">
        <v>-29502.702026037547</v>
      </c>
      <c r="DI102" s="8">
        <v>-29098.748541342626</v>
      </c>
      <c r="DJ102" s="8">
        <v>-28854.494630133573</v>
      </c>
      <c r="DK102" s="8">
        <v>-28544.611947786198</v>
      </c>
      <c r="DL102" s="8">
        <v>-28300.74147435568</v>
      </c>
      <c r="DM102" s="8">
        <v>-28094.415075463887</v>
      </c>
      <c r="DN102" s="8">
        <v>-27842.020279365039</v>
      </c>
      <c r="DO102" s="8">
        <v>-27408.995000084928</v>
      </c>
      <c r="DP102" s="8">
        <v>-27438.737569137582</v>
      </c>
      <c r="DQ102" s="12" t="s">
        <v>129</v>
      </c>
      <c r="DR102" s="12" t="s">
        <v>129</v>
      </c>
      <c r="DS102" s="12" t="s">
        <v>129</v>
      </c>
      <c r="DT102" s="12" t="s">
        <v>129</v>
      </c>
      <c r="DU102" s="12" t="s">
        <v>129</v>
      </c>
      <c r="DV102" s="12" t="s">
        <v>129</v>
      </c>
      <c r="DW102" s="12" t="s">
        <v>129</v>
      </c>
      <c r="DX102" s="12" t="s">
        <v>129</v>
      </c>
      <c r="DY102" s="12" t="s">
        <v>129</v>
      </c>
      <c r="DZ102" s="12" t="s">
        <v>129</v>
      </c>
      <c r="EA102" s="12" t="s">
        <v>129</v>
      </c>
      <c r="EB102" s="45">
        <f>'MEEIA 2 calcs'!BW101</f>
        <v>-27281.524483077657</v>
      </c>
      <c r="EC102" s="166">
        <f>DP102-EB102</f>
        <v>-157.21308605992454</v>
      </c>
      <c r="ED102" s="47" t="s">
        <v>131</v>
      </c>
    </row>
    <row r="103" spans="80:134" x14ac:dyDescent="0.25">
      <c r="CB103" s="183"/>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DA103" s="294"/>
      <c r="DB103" s="70" t="s">
        <v>75</v>
      </c>
      <c r="DC103" s="8">
        <v>19149.174014826087</v>
      </c>
      <c r="DD103" s="8">
        <v>-313576.74587870017</v>
      </c>
      <c r="DE103" s="8">
        <v>-388024.27980428579</v>
      </c>
      <c r="DF103" s="8">
        <v>26204.097034341219</v>
      </c>
      <c r="DG103" s="8">
        <v>350084.13991347729</v>
      </c>
      <c r="DH103" s="8">
        <v>371258.39750548347</v>
      </c>
      <c r="DI103" s="8">
        <v>135395.81855715855</v>
      </c>
      <c r="DJ103" s="8">
        <v>-303570.0910163275</v>
      </c>
      <c r="DK103" s="8">
        <v>-287233.69224518916</v>
      </c>
      <c r="DL103" s="8">
        <v>-298673.08445410593</v>
      </c>
      <c r="DM103" s="8">
        <v>136108.8914713554</v>
      </c>
      <c r="DN103" s="8">
        <v>326301.47986856248</v>
      </c>
      <c r="DO103" s="8">
        <v>18331.90035174376</v>
      </c>
      <c r="DP103" s="8">
        <v>-2147713.8792357193</v>
      </c>
      <c r="DQ103" s="12" t="s">
        <v>129</v>
      </c>
      <c r="DR103" s="12" t="s">
        <v>129</v>
      </c>
      <c r="DS103" s="12" t="s">
        <v>129</v>
      </c>
      <c r="DT103" s="12" t="s">
        <v>129</v>
      </c>
      <c r="DU103" s="12" t="s">
        <v>129</v>
      </c>
      <c r="DV103" s="12" t="s">
        <v>129</v>
      </c>
      <c r="DW103" s="12" t="s">
        <v>129</v>
      </c>
      <c r="DX103" s="12" t="s">
        <v>129</v>
      </c>
      <c r="DY103" s="12" t="s">
        <v>129</v>
      </c>
      <c r="DZ103" s="12" t="s">
        <v>129</v>
      </c>
      <c r="EA103" s="12" t="s">
        <v>129</v>
      </c>
    </row>
    <row r="104" spans="80:134" x14ac:dyDescent="0.25">
      <c r="CB104" s="183"/>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DA104" s="294"/>
      <c r="DB104" s="52" t="s">
        <v>76</v>
      </c>
      <c r="DC104" s="8">
        <v>2222844.0664500208</v>
      </c>
      <c r="DD104" s="8">
        <v>1909267.3205713206</v>
      </c>
      <c r="DE104" s="8">
        <v>1521243.0407670347</v>
      </c>
      <c r="DF104" s="8">
        <v>1547447.1378013759</v>
      </c>
      <c r="DG104" s="8">
        <v>1897531.2777148532</v>
      </c>
      <c r="DH104" s="8">
        <v>2268789.6752203368</v>
      </c>
      <c r="DI104" s="8">
        <v>2404185.4937774953</v>
      </c>
      <c r="DJ104" s="8">
        <v>2100615.4027611678</v>
      </c>
      <c r="DK104" s="8">
        <v>1813381.7105159787</v>
      </c>
      <c r="DL104" s="8">
        <v>1514708.6260618728</v>
      </c>
      <c r="DM104" s="8">
        <v>1650817.5175332283</v>
      </c>
      <c r="DN104" s="8">
        <v>1977118.9974017907</v>
      </c>
      <c r="DO104" s="8">
        <v>1995450.8977535344</v>
      </c>
      <c r="DP104" s="8">
        <v>-152262.98148218496</v>
      </c>
      <c r="DQ104" s="12" t="s">
        <v>129</v>
      </c>
      <c r="DR104" s="12" t="s">
        <v>129</v>
      </c>
      <c r="DS104" s="12" t="s">
        <v>129</v>
      </c>
      <c r="DT104" s="12" t="s">
        <v>129</v>
      </c>
      <c r="DU104" s="12" t="s">
        <v>129</v>
      </c>
      <c r="DV104" s="12" t="s">
        <v>129</v>
      </c>
      <c r="DW104" s="12" t="s">
        <v>129</v>
      </c>
      <c r="DX104" s="12" t="s">
        <v>129</v>
      </c>
      <c r="DY104" s="12" t="s">
        <v>129</v>
      </c>
      <c r="DZ104" s="12" t="s">
        <v>129</v>
      </c>
      <c r="EA104" s="12" t="s">
        <v>129</v>
      </c>
    </row>
    <row r="105" spans="80:134" x14ac:dyDescent="0.25">
      <c r="CB105" s="183"/>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DA105" s="294"/>
      <c r="DB105" s="54" t="s">
        <v>77</v>
      </c>
      <c r="DC105" s="8">
        <v>24267574.941232625</v>
      </c>
      <c r="DD105" s="8">
        <v>22059019.673614793</v>
      </c>
      <c r="DE105" s="8">
        <v>19833934.538738042</v>
      </c>
      <c r="DF105" s="8">
        <v>18023077.78069992</v>
      </c>
      <c r="DG105" s="8">
        <v>16536101.065540934</v>
      </c>
      <c r="DH105" s="8">
        <v>15070298.607973954</v>
      </c>
      <c r="DI105" s="8">
        <v>13368633.571458649</v>
      </c>
      <c r="DJ105" s="8">
        <v>11228002.625369858</v>
      </c>
      <c r="DK105" s="8">
        <v>9083878.4399585724</v>
      </c>
      <c r="DL105" s="8">
        <v>6948144.5004320024</v>
      </c>
      <c r="DM105" s="8">
        <v>5247192.5368308937</v>
      </c>
      <c r="DN105" s="8">
        <v>3736433.1616269927</v>
      </c>
      <c r="DO105" s="8">
        <v>1917704.2069062728</v>
      </c>
      <c r="DP105" s="8">
        <v>-172092.00566277982</v>
      </c>
      <c r="DQ105" s="12" t="s">
        <v>129</v>
      </c>
      <c r="DR105" s="12" t="s">
        <v>129</v>
      </c>
      <c r="DS105" s="12" t="s">
        <v>129</v>
      </c>
      <c r="DT105" s="12" t="s">
        <v>129</v>
      </c>
      <c r="DU105" s="12" t="s">
        <v>129</v>
      </c>
      <c r="DV105" s="12" t="s">
        <v>129</v>
      </c>
      <c r="DW105" s="12" t="s">
        <v>129</v>
      </c>
      <c r="DX105" s="12" t="s">
        <v>129</v>
      </c>
      <c r="DY105" s="12" t="s">
        <v>129</v>
      </c>
      <c r="DZ105" s="12" t="s">
        <v>129</v>
      </c>
      <c r="EA105" s="12" t="s">
        <v>129</v>
      </c>
    </row>
    <row r="106" spans="80:134" ht="15" customHeight="1" x14ac:dyDescent="0.25">
      <c r="CB106" s="183"/>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DA106" s="40"/>
      <c r="DB106" s="11"/>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row>
    <row r="107" spans="80:134" ht="15" customHeight="1" x14ac:dyDescent="0.25">
      <c r="CB107" s="183"/>
      <c r="CC107" s="1"/>
      <c r="CD107" s="1"/>
      <c r="CE107" s="1"/>
      <c r="CF107" s="1"/>
      <c r="CG107" s="1"/>
      <c r="CH107" s="1"/>
      <c r="CI107" s="1"/>
      <c r="CJ107" s="1"/>
      <c r="CK107" s="1"/>
      <c r="CL107" s="1"/>
      <c r="CM107" s="1"/>
      <c r="CN107" s="1"/>
      <c r="CO107" s="1"/>
      <c r="CP107" s="1"/>
      <c r="CQ107" s="1"/>
      <c r="CR107" s="1"/>
      <c r="CS107" s="1"/>
      <c r="CT107" s="1"/>
      <c r="CU107" s="1"/>
      <c r="CV107" s="1"/>
      <c r="CW107" s="1"/>
      <c r="CX107" s="1"/>
      <c r="CY107" s="1"/>
    </row>
    <row r="108" spans="80:134" ht="15" customHeight="1" x14ac:dyDescent="0.25">
      <c r="CB108" s="183"/>
      <c r="CC108" s="1"/>
      <c r="CD108" s="1"/>
      <c r="CE108" s="1"/>
      <c r="CF108" s="1"/>
      <c r="CG108" s="1"/>
      <c r="CH108" s="1"/>
      <c r="CI108" s="1"/>
      <c r="CJ108" s="1"/>
      <c r="CK108" s="1"/>
      <c r="CL108" s="1"/>
      <c r="CM108" s="1"/>
      <c r="CN108" s="1"/>
      <c r="CO108" s="1"/>
      <c r="CP108" s="1"/>
      <c r="CQ108" s="1"/>
      <c r="CR108" s="1"/>
      <c r="CS108" s="1"/>
      <c r="CT108" s="1"/>
      <c r="CU108" s="1"/>
      <c r="CV108" s="1"/>
      <c r="CW108" s="1"/>
      <c r="CX108" s="1"/>
      <c r="CY108" s="1"/>
    </row>
    <row r="109" spans="80:134" ht="15" customHeight="1" x14ac:dyDescent="0.25">
      <c r="CB109" s="183"/>
      <c r="CC109" s="1"/>
      <c r="CD109" s="1"/>
      <c r="CE109" s="1"/>
      <c r="CF109" s="1"/>
      <c r="CG109" s="1"/>
      <c r="CH109" s="1"/>
      <c r="CI109" s="1"/>
      <c r="CJ109" s="1"/>
      <c r="CK109" s="1"/>
      <c r="CL109" s="1"/>
      <c r="CM109" s="1"/>
      <c r="CN109" s="1"/>
      <c r="CO109" s="1"/>
      <c r="CP109" s="1"/>
      <c r="CQ109" s="1"/>
      <c r="CR109" s="1"/>
      <c r="CS109" s="1"/>
      <c r="CT109" s="1"/>
      <c r="CU109" s="1"/>
      <c r="CV109" s="1"/>
      <c r="CW109" s="1"/>
      <c r="CX109" s="1"/>
      <c r="CY109" s="1"/>
    </row>
    <row r="110" spans="80:134" ht="15" customHeight="1" x14ac:dyDescent="0.25">
      <c r="CB110" s="183"/>
      <c r="CC110" s="1"/>
      <c r="CD110" s="1"/>
      <c r="CE110" s="1"/>
      <c r="CF110" s="1"/>
      <c r="CG110" s="1"/>
      <c r="CH110" s="1"/>
      <c r="CI110" s="1"/>
      <c r="CJ110" s="1"/>
      <c r="CK110" s="1"/>
      <c r="CL110" s="1"/>
      <c r="CM110" s="1"/>
      <c r="CN110" s="1"/>
      <c r="CO110" s="1"/>
      <c r="CP110" s="1"/>
      <c r="CQ110" s="1"/>
      <c r="CR110" s="1"/>
      <c r="CS110" s="1"/>
      <c r="CT110" s="1"/>
      <c r="CU110" s="1"/>
      <c r="CV110" s="1"/>
      <c r="CW110" s="1"/>
      <c r="CX110" s="1"/>
      <c r="CY110" s="1"/>
    </row>
    <row r="111" spans="80:134" ht="15" customHeight="1" x14ac:dyDescent="0.25">
      <c r="CB111" s="183"/>
      <c r="CC111" s="1"/>
      <c r="CD111" s="1"/>
      <c r="CE111" s="1"/>
      <c r="CF111" s="1"/>
      <c r="CG111" s="1"/>
      <c r="CH111" s="1"/>
      <c r="CI111" s="1"/>
      <c r="CJ111" s="1"/>
      <c r="CK111" s="1"/>
      <c r="CL111" s="1"/>
      <c r="CM111" s="1"/>
      <c r="CN111" s="1"/>
      <c r="CO111" s="1"/>
      <c r="CP111" s="1"/>
      <c r="CQ111" s="1"/>
      <c r="CR111" s="1"/>
      <c r="CS111" s="1"/>
      <c r="CT111" s="1"/>
      <c r="CU111" s="1"/>
      <c r="CV111" s="1"/>
      <c r="CW111" s="1"/>
      <c r="CX111" s="1"/>
      <c r="CY111" s="1"/>
    </row>
    <row r="112" spans="80:134" ht="15" customHeight="1" x14ac:dyDescent="0.25">
      <c r="CB112" s="183"/>
      <c r="CC112" s="1"/>
      <c r="CD112" s="1"/>
      <c r="CE112" s="1"/>
      <c r="CF112" s="1"/>
      <c r="CG112" s="1"/>
      <c r="CH112" s="1"/>
      <c r="CI112" s="1"/>
      <c r="CJ112" s="1"/>
      <c r="CK112" s="1"/>
      <c r="CL112" s="1"/>
      <c r="CM112" s="1"/>
      <c r="CN112" s="1"/>
      <c r="CO112" s="1"/>
      <c r="CP112" s="1"/>
      <c r="CQ112" s="1"/>
      <c r="CR112" s="1"/>
      <c r="CS112" s="1"/>
      <c r="CT112" s="1"/>
      <c r="CU112" s="1"/>
      <c r="CV112" s="1"/>
      <c r="CW112" s="1"/>
      <c r="CX112" s="1"/>
      <c r="CY112" s="1"/>
    </row>
    <row r="113" spans="80:103" ht="15" customHeight="1" x14ac:dyDescent="0.25">
      <c r="CB113" s="183"/>
      <c r="CC113" s="1"/>
      <c r="CD113" s="1"/>
      <c r="CE113" s="1"/>
      <c r="CF113" s="1"/>
      <c r="CG113" s="1"/>
      <c r="CH113" s="1"/>
      <c r="CI113" s="1"/>
      <c r="CJ113" s="1"/>
      <c r="CK113" s="1"/>
      <c r="CL113" s="1"/>
      <c r="CM113" s="1"/>
      <c r="CN113" s="1"/>
      <c r="CO113" s="1"/>
      <c r="CP113" s="1"/>
      <c r="CQ113" s="1"/>
      <c r="CR113" s="1"/>
      <c r="CS113" s="1"/>
      <c r="CT113" s="1"/>
      <c r="CU113" s="1"/>
      <c r="CV113" s="1"/>
      <c r="CW113" s="1"/>
      <c r="CX113" s="1"/>
      <c r="CY113" s="1"/>
    </row>
    <row r="114" spans="80:103" ht="15" customHeight="1" x14ac:dyDescent="0.25">
      <c r="CB114" s="183"/>
      <c r="CC114" s="1"/>
      <c r="CD114" s="1"/>
      <c r="CE114" s="1"/>
      <c r="CF114" s="1"/>
      <c r="CG114" s="1"/>
      <c r="CH114" s="1"/>
      <c r="CI114" s="1"/>
      <c r="CJ114" s="1"/>
      <c r="CK114" s="1"/>
      <c r="CL114" s="1"/>
      <c r="CM114" s="1"/>
      <c r="CN114" s="1"/>
      <c r="CO114" s="1"/>
      <c r="CP114" s="1"/>
      <c r="CQ114" s="1"/>
      <c r="CR114" s="1"/>
      <c r="CS114" s="1"/>
      <c r="CT114" s="1"/>
      <c r="CU114" s="1"/>
      <c r="CV114" s="1"/>
      <c r="CW114" s="1"/>
      <c r="CX114" s="1"/>
      <c r="CY114" s="1"/>
    </row>
    <row r="115" spans="80:103" ht="15" customHeight="1" x14ac:dyDescent="0.25">
      <c r="CB115" s="183"/>
      <c r="CC115" s="1"/>
      <c r="CD115" s="1"/>
      <c r="CE115" s="1"/>
      <c r="CF115" s="1"/>
      <c r="CG115" s="1"/>
      <c r="CH115" s="1"/>
      <c r="CI115" s="1"/>
      <c r="CJ115" s="1"/>
      <c r="CK115" s="1"/>
      <c r="CL115" s="1"/>
      <c r="CM115" s="1"/>
      <c r="CN115" s="1"/>
      <c r="CO115" s="1"/>
      <c r="CP115" s="1"/>
      <c r="CQ115" s="1"/>
      <c r="CR115" s="1"/>
      <c r="CS115" s="1"/>
      <c r="CT115" s="1"/>
      <c r="CU115" s="1"/>
      <c r="CV115" s="1"/>
      <c r="CW115" s="1"/>
      <c r="CX115" s="1"/>
      <c r="CY115" s="1"/>
    </row>
    <row r="116" spans="80:103" ht="15" customHeight="1" x14ac:dyDescent="0.25">
      <c r="CB116" s="183"/>
      <c r="CC116" s="1"/>
      <c r="CD116" s="1"/>
      <c r="CE116" s="1"/>
      <c r="CF116" s="1"/>
      <c r="CG116" s="1"/>
      <c r="CH116" s="1"/>
      <c r="CI116" s="1"/>
      <c r="CJ116" s="1"/>
      <c r="CK116" s="1"/>
      <c r="CL116" s="1"/>
      <c r="CM116" s="1"/>
      <c r="CN116" s="1"/>
      <c r="CO116" s="1"/>
      <c r="CP116" s="1"/>
      <c r="CQ116" s="1"/>
      <c r="CR116" s="1"/>
      <c r="CS116" s="1"/>
      <c r="CT116" s="1"/>
      <c r="CU116" s="1"/>
      <c r="CV116" s="1"/>
      <c r="CW116" s="1"/>
      <c r="CX116" s="1"/>
      <c r="CY116" s="1"/>
    </row>
    <row r="117" spans="80:103" ht="15" customHeight="1" x14ac:dyDescent="0.25">
      <c r="CB117" s="183"/>
      <c r="CC117" s="1"/>
      <c r="CD117" s="1"/>
      <c r="CE117" s="1"/>
      <c r="CF117" s="1"/>
      <c r="CG117" s="1"/>
      <c r="CH117" s="1"/>
      <c r="CI117" s="1"/>
      <c r="CJ117" s="1"/>
      <c r="CK117" s="1"/>
      <c r="CL117" s="1"/>
      <c r="CM117" s="1"/>
      <c r="CN117" s="1"/>
      <c r="CO117" s="1"/>
      <c r="CP117" s="1"/>
      <c r="CQ117" s="1"/>
      <c r="CR117" s="1"/>
      <c r="CS117" s="1"/>
      <c r="CT117" s="1"/>
      <c r="CU117" s="1"/>
      <c r="CV117" s="1"/>
      <c r="CW117" s="1"/>
      <c r="CX117" s="1"/>
      <c r="CY117" s="1"/>
    </row>
    <row r="118" spans="80:103" ht="15" customHeight="1" x14ac:dyDescent="0.25">
      <c r="CB118" s="183"/>
      <c r="CC118" s="1"/>
      <c r="CD118" s="1"/>
      <c r="CE118" s="1"/>
      <c r="CF118" s="1"/>
      <c r="CG118" s="1"/>
      <c r="CH118" s="1"/>
      <c r="CI118" s="1"/>
      <c r="CJ118" s="1"/>
      <c r="CK118" s="1"/>
      <c r="CL118" s="1"/>
      <c r="CM118" s="1"/>
      <c r="CN118" s="1"/>
      <c r="CO118" s="1"/>
      <c r="CP118" s="1"/>
      <c r="CQ118" s="1"/>
      <c r="CR118" s="1"/>
      <c r="CS118" s="1"/>
      <c r="CT118" s="1"/>
      <c r="CU118" s="1"/>
      <c r="CV118" s="1"/>
      <c r="CW118" s="1"/>
      <c r="CX118" s="1"/>
      <c r="CY118" s="1"/>
    </row>
    <row r="119" spans="80:103" ht="15" customHeight="1" x14ac:dyDescent="0.25">
      <c r="CB119" s="183"/>
      <c r="CC119" s="1"/>
      <c r="CD119" s="1"/>
      <c r="CE119" s="1"/>
      <c r="CF119" s="1"/>
      <c r="CG119" s="1"/>
      <c r="CH119" s="1"/>
      <c r="CI119" s="1"/>
      <c r="CJ119" s="1"/>
      <c r="CK119" s="1"/>
      <c r="CL119" s="1"/>
      <c r="CM119" s="1"/>
      <c r="CN119" s="1"/>
      <c r="CO119" s="1"/>
      <c r="CP119" s="1"/>
      <c r="CQ119" s="1"/>
      <c r="CR119" s="1"/>
      <c r="CS119" s="1"/>
      <c r="CT119" s="1"/>
      <c r="CU119" s="1"/>
      <c r="CV119" s="1"/>
      <c r="CW119" s="1"/>
      <c r="CX119" s="1"/>
      <c r="CY119" s="1"/>
    </row>
    <row r="120" spans="80:103" ht="15" customHeight="1" x14ac:dyDescent="0.25">
      <c r="CB120" s="183"/>
      <c r="CC120" s="1"/>
      <c r="CD120" s="1"/>
      <c r="CE120" s="1"/>
      <c r="CF120" s="1"/>
      <c r="CG120" s="1"/>
      <c r="CH120" s="1"/>
      <c r="CI120" s="1"/>
      <c r="CJ120" s="1"/>
      <c r="CK120" s="1"/>
      <c r="CL120" s="1"/>
      <c r="CM120" s="1"/>
      <c r="CN120" s="1"/>
      <c r="CO120" s="1"/>
      <c r="CP120" s="1"/>
      <c r="CQ120" s="1"/>
      <c r="CR120" s="1"/>
      <c r="CS120" s="1"/>
      <c r="CT120" s="1"/>
      <c r="CU120" s="1"/>
      <c r="CV120" s="1"/>
      <c r="CW120" s="1"/>
      <c r="CX120" s="1"/>
      <c r="CY120" s="1"/>
    </row>
    <row r="121" spans="80:103" ht="15" customHeight="1" x14ac:dyDescent="0.25">
      <c r="CB121" s="183"/>
      <c r="CC121" s="1"/>
      <c r="CD121" s="1"/>
      <c r="CE121" s="1"/>
      <c r="CF121" s="1"/>
      <c r="CG121" s="1"/>
      <c r="CH121" s="1"/>
      <c r="CI121" s="1"/>
      <c r="CJ121" s="1"/>
      <c r="CK121" s="1"/>
      <c r="CL121" s="1"/>
      <c r="CM121" s="1"/>
      <c r="CN121" s="1"/>
      <c r="CO121" s="1"/>
      <c r="CP121" s="1"/>
      <c r="CQ121" s="1"/>
      <c r="CR121" s="1"/>
      <c r="CS121" s="1"/>
      <c r="CT121" s="1"/>
      <c r="CU121" s="1"/>
      <c r="CV121" s="1"/>
      <c r="CW121" s="1"/>
      <c r="CX121" s="1"/>
      <c r="CY121" s="1"/>
    </row>
    <row r="122" spans="80:103" ht="15" customHeight="1" x14ac:dyDescent="0.25">
      <c r="CB122" s="183"/>
      <c r="CC122" s="1"/>
      <c r="CD122" s="1"/>
      <c r="CE122" s="1"/>
      <c r="CF122" s="1"/>
      <c r="CG122" s="1"/>
      <c r="CH122" s="1"/>
      <c r="CI122" s="1"/>
      <c r="CJ122" s="1"/>
      <c r="CK122" s="1"/>
      <c r="CL122" s="1"/>
      <c r="CM122" s="1"/>
      <c r="CN122" s="1"/>
      <c r="CO122" s="1"/>
      <c r="CP122" s="1"/>
      <c r="CQ122" s="1"/>
      <c r="CR122" s="1"/>
      <c r="CS122" s="1"/>
      <c r="CT122" s="1"/>
      <c r="CU122" s="1"/>
      <c r="CV122" s="1"/>
      <c r="CW122" s="1"/>
      <c r="CX122" s="1"/>
      <c r="CY122" s="1"/>
    </row>
    <row r="123" spans="80:103" ht="15" customHeight="1" x14ac:dyDescent="0.25">
      <c r="CB123" s="183"/>
      <c r="CC123" s="1"/>
      <c r="CD123" s="1"/>
      <c r="CE123" s="1"/>
      <c r="CF123" s="1"/>
      <c r="CG123" s="1"/>
      <c r="CH123" s="1"/>
      <c r="CI123" s="1"/>
      <c r="CJ123" s="1"/>
      <c r="CK123" s="1"/>
      <c r="CL123" s="1"/>
      <c r="CM123" s="1"/>
      <c r="CN123" s="1"/>
      <c r="CO123" s="1"/>
      <c r="CP123" s="1"/>
      <c r="CQ123" s="1"/>
      <c r="CR123" s="1"/>
      <c r="CS123" s="1"/>
      <c r="CT123" s="1"/>
      <c r="CU123" s="1"/>
      <c r="CV123" s="1"/>
      <c r="CW123" s="1"/>
      <c r="CX123" s="1"/>
      <c r="CY123" s="1"/>
    </row>
    <row r="124" spans="80:103" ht="15" customHeight="1" x14ac:dyDescent="0.25">
      <c r="CB124" s="183"/>
      <c r="CC124" s="1"/>
      <c r="CD124" s="1"/>
      <c r="CE124" s="1"/>
      <c r="CF124" s="1"/>
      <c r="CG124" s="1"/>
      <c r="CH124" s="1"/>
      <c r="CI124" s="1"/>
      <c r="CJ124" s="1"/>
      <c r="CK124" s="1"/>
      <c r="CL124" s="1"/>
      <c r="CM124" s="1"/>
      <c r="CN124" s="1"/>
      <c r="CO124" s="1"/>
      <c r="CP124" s="1"/>
      <c r="CQ124" s="1"/>
      <c r="CR124" s="1"/>
      <c r="CS124" s="1"/>
      <c r="CT124" s="1"/>
      <c r="CU124" s="1"/>
      <c r="CV124" s="1"/>
      <c r="CW124" s="1"/>
      <c r="CX124" s="1"/>
      <c r="CY124" s="1"/>
    </row>
    <row r="125" spans="80:103" ht="15" customHeight="1" x14ac:dyDescent="0.25">
      <c r="CB125" s="183"/>
      <c r="CC125" s="1"/>
      <c r="CD125" s="1"/>
      <c r="CE125" s="1"/>
      <c r="CF125" s="1"/>
      <c r="CG125" s="1"/>
      <c r="CH125" s="1"/>
      <c r="CI125" s="1"/>
      <c r="CJ125" s="1"/>
      <c r="CK125" s="1"/>
      <c r="CL125" s="1"/>
      <c r="CM125" s="1"/>
      <c r="CN125" s="1"/>
      <c r="CO125" s="1"/>
      <c r="CP125" s="1"/>
      <c r="CQ125" s="1"/>
      <c r="CR125" s="1"/>
      <c r="CS125" s="1"/>
      <c r="CT125" s="1"/>
      <c r="CU125" s="1"/>
      <c r="CV125" s="1"/>
      <c r="CW125" s="1"/>
      <c r="CX125" s="1"/>
      <c r="CY125" s="1"/>
    </row>
    <row r="126" spans="80:103" ht="15" customHeight="1" x14ac:dyDescent="0.25">
      <c r="CB126" s="183"/>
      <c r="CC126" s="1"/>
      <c r="CD126" s="1"/>
      <c r="CE126" s="1"/>
      <c r="CF126" s="1"/>
      <c r="CG126" s="1"/>
      <c r="CH126" s="1"/>
      <c r="CI126" s="1"/>
      <c r="CJ126" s="1"/>
      <c r="CK126" s="1"/>
      <c r="CL126" s="1"/>
      <c r="CM126" s="1"/>
      <c r="CN126" s="1"/>
      <c r="CO126" s="1"/>
      <c r="CP126" s="1"/>
      <c r="CQ126" s="1"/>
      <c r="CR126" s="1"/>
      <c r="CS126" s="1"/>
      <c r="CT126" s="1"/>
      <c r="CU126" s="1"/>
      <c r="CV126" s="1"/>
      <c r="CW126" s="1"/>
      <c r="CX126" s="1"/>
      <c r="CY126" s="1"/>
    </row>
    <row r="127" spans="80:103" ht="15" customHeight="1" x14ac:dyDescent="0.25">
      <c r="CB127" s="183"/>
      <c r="CC127" s="1"/>
      <c r="CD127" s="1"/>
      <c r="CE127" s="1"/>
      <c r="CF127" s="1"/>
      <c r="CG127" s="1"/>
      <c r="CH127" s="1"/>
      <c r="CI127" s="1"/>
      <c r="CJ127" s="1"/>
      <c r="CK127" s="1"/>
      <c r="CL127" s="1"/>
      <c r="CM127" s="1"/>
      <c r="CN127" s="1"/>
      <c r="CO127" s="1"/>
      <c r="CP127" s="1"/>
      <c r="CQ127" s="1"/>
      <c r="CR127" s="1"/>
      <c r="CS127" s="1"/>
      <c r="CT127" s="1"/>
      <c r="CU127" s="1"/>
      <c r="CV127" s="1"/>
      <c r="CW127" s="1"/>
      <c r="CX127" s="1"/>
      <c r="CY127" s="1"/>
    </row>
    <row r="128" spans="80:103" ht="15" customHeight="1" x14ac:dyDescent="0.25">
      <c r="CB128" s="183"/>
      <c r="CC128" s="1"/>
      <c r="CD128" s="1"/>
      <c r="CE128" s="1"/>
      <c r="CF128" s="1"/>
      <c r="CG128" s="1"/>
      <c r="CH128" s="1"/>
      <c r="CI128" s="1"/>
      <c r="CJ128" s="1"/>
      <c r="CK128" s="1"/>
      <c r="CL128" s="1"/>
      <c r="CM128" s="1"/>
      <c r="CN128" s="1"/>
      <c r="CO128" s="1"/>
      <c r="CP128" s="1"/>
      <c r="CQ128" s="1"/>
      <c r="CR128" s="1"/>
      <c r="CS128" s="1"/>
      <c r="CT128" s="1"/>
      <c r="CU128" s="1"/>
      <c r="CV128" s="1"/>
      <c r="CW128" s="1"/>
      <c r="CX128" s="1"/>
      <c r="CY128" s="1"/>
    </row>
    <row r="129" spans="80:103" ht="15" customHeight="1" x14ac:dyDescent="0.25">
      <c r="CB129" s="183"/>
      <c r="CC129" s="1"/>
      <c r="CD129" s="1"/>
      <c r="CE129" s="1"/>
      <c r="CF129" s="1"/>
      <c r="CG129" s="1"/>
      <c r="CH129" s="1"/>
      <c r="CI129" s="1"/>
      <c r="CJ129" s="1"/>
      <c r="CK129" s="1"/>
      <c r="CL129" s="1"/>
      <c r="CM129" s="1"/>
      <c r="CN129" s="1"/>
      <c r="CO129" s="1"/>
      <c r="CP129" s="1"/>
      <c r="CQ129" s="1"/>
      <c r="CR129" s="1"/>
      <c r="CS129" s="1"/>
      <c r="CT129" s="1"/>
      <c r="CU129" s="1"/>
      <c r="CV129" s="1"/>
      <c r="CW129" s="1"/>
      <c r="CX129" s="1"/>
      <c r="CY129" s="1"/>
    </row>
    <row r="130" spans="80:103" ht="15" customHeight="1" x14ac:dyDescent="0.25">
      <c r="CB130" s="183"/>
      <c r="CC130" s="1"/>
      <c r="CD130" s="1"/>
      <c r="CE130" s="1"/>
      <c r="CF130" s="1"/>
      <c r="CG130" s="1"/>
      <c r="CH130" s="1"/>
      <c r="CI130" s="1"/>
      <c r="CJ130" s="1"/>
      <c r="CK130" s="1"/>
      <c r="CL130" s="1"/>
      <c r="CM130" s="1"/>
      <c r="CN130" s="1"/>
      <c r="CO130" s="1"/>
      <c r="CP130" s="1"/>
      <c r="CQ130" s="1"/>
      <c r="CR130" s="1"/>
      <c r="CS130" s="1"/>
      <c r="CT130" s="1"/>
      <c r="CU130" s="1"/>
      <c r="CV130" s="1"/>
      <c r="CW130" s="1"/>
      <c r="CX130" s="1"/>
      <c r="CY130" s="1"/>
    </row>
    <row r="131" spans="80:103" ht="15" customHeight="1" x14ac:dyDescent="0.25">
      <c r="CB131" s="183"/>
      <c r="CC131" s="1"/>
      <c r="CD131" s="1"/>
      <c r="CE131" s="1"/>
      <c r="CF131" s="1"/>
      <c r="CG131" s="1"/>
      <c r="CH131" s="1"/>
      <c r="CI131" s="1"/>
      <c r="CJ131" s="1"/>
      <c r="CK131" s="1"/>
      <c r="CL131" s="1"/>
      <c r="CM131" s="1"/>
      <c r="CN131" s="1"/>
      <c r="CO131" s="1"/>
      <c r="CP131" s="1"/>
      <c r="CQ131" s="1"/>
      <c r="CR131" s="1"/>
      <c r="CS131" s="1"/>
      <c r="CT131" s="1"/>
      <c r="CU131" s="1"/>
      <c r="CV131" s="1"/>
      <c r="CW131" s="1"/>
      <c r="CX131" s="1"/>
      <c r="CY131" s="1"/>
    </row>
    <row r="132" spans="80:103" ht="15" customHeight="1" x14ac:dyDescent="0.25">
      <c r="CB132" s="183"/>
      <c r="CC132" s="1"/>
      <c r="CD132" s="1"/>
      <c r="CE132" s="1"/>
      <c r="CF132" s="1"/>
      <c r="CG132" s="1"/>
      <c r="CH132" s="1"/>
      <c r="CI132" s="1"/>
      <c r="CJ132" s="1"/>
      <c r="CK132" s="1"/>
      <c r="CL132" s="1"/>
      <c r="CM132" s="1"/>
      <c r="CN132" s="1"/>
      <c r="CO132" s="1"/>
      <c r="CP132" s="1"/>
      <c r="CQ132" s="1"/>
      <c r="CR132" s="1"/>
      <c r="CS132" s="1"/>
      <c r="CT132" s="1"/>
      <c r="CU132" s="1"/>
      <c r="CV132" s="1"/>
      <c r="CW132" s="1"/>
      <c r="CX132" s="1"/>
      <c r="CY132" s="1"/>
    </row>
    <row r="133" spans="80:103" ht="15" customHeight="1" x14ac:dyDescent="0.25">
      <c r="CB133" s="183"/>
      <c r="CC133" s="1"/>
      <c r="CD133" s="1"/>
      <c r="CE133" s="1"/>
      <c r="CF133" s="1"/>
      <c r="CG133" s="1"/>
      <c r="CH133" s="1"/>
      <c r="CI133" s="1"/>
      <c r="CJ133" s="1"/>
      <c r="CK133" s="1"/>
      <c r="CL133" s="1"/>
      <c r="CM133" s="1"/>
      <c r="CN133" s="1"/>
      <c r="CO133" s="1"/>
      <c r="CP133" s="1"/>
      <c r="CQ133" s="1"/>
      <c r="CR133" s="1"/>
      <c r="CS133" s="1"/>
      <c r="CT133" s="1"/>
      <c r="CU133" s="1"/>
      <c r="CV133" s="1"/>
      <c r="CW133" s="1"/>
      <c r="CX133" s="1"/>
      <c r="CY133" s="1"/>
    </row>
    <row r="134" spans="80:103" ht="15" customHeight="1" x14ac:dyDescent="0.25">
      <c r="CB134" s="183"/>
      <c r="CC134" s="1"/>
      <c r="CD134" s="1"/>
      <c r="CE134" s="1"/>
      <c r="CF134" s="1"/>
      <c r="CG134" s="1"/>
      <c r="CH134" s="1"/>
      <c r="CI134" s="1"/>
      <c r="CJ134" s="1"/>
      <c r="CK134" s="1"/>
      <c r="CL134" s="1"/>
      <c r="CM134" s="1"/>
      <c r="CN134" s="1"/>
      <c r="CO134" s="1"/>
      <c r="CP134" s="1"/>
      <c r="CQ134" s="1"/>
      <c r="CR134" s="1"/>
      <c r="CS134" s="1"/>
      <c r="CT134" s="1"/>
      <c r="CU134" s="1"/>
      <c r="CV134" s="1"/>
      <c r="CW134" s="1"/>
      <c r="CX134" s="1"/>
      <c r="CY134" s="1"/>
    </row>
    <row r="135" spans="80:103" ht="15" customHeight="1" x14ac:dyDescent="0.25">
      <c r="CB135" s="183"/>
      <c r="CC135" s="1"/>
      <c r="CD135" s="1"/>
      <c r="CE135" s="1"/>
      <c r="CF135" s="1"/>
      <c r="CG135" s="1"/>
      <c r="CH135" s="1"/>
      <c r="CI135" s="1"/>
      <c r="CJ135" s="1"/>
      <c r="CK135" s="1"/>
      <c r="CL135" s="1"/>
      <c r="CM135" s="1"/>
      <c r="CN135" s="1"/>
      <c r="CO135" s="1"/>
      <c r="CP135" s="1"/>
      <c r="CQ135" s="1"/>
      <c r="CR135" s="1"/>
      <c r="CS135" s="1"/>
      <c r="CT135" s="1"/>
      <c r="CU135" s="1"/>
      <c r="CV135" s="1"/>
      <c r="CW135" s="1"/>
      <c r="CX135" s="1"/>
      <c r="CY135" s="1"/>
    </row>
    <row r="136" spans="80:103" ht="15" customHeight="1" x14ac:dyDescent="0.25">
      <c r="CB136" s="183"/>
      <c r="CC136" s="1"/>
      <c r="CD136" s="1"/>
      <c r="CE136" s="1"/>
      <c r="CF136" s="1"/>
      <c r="CG136" s="1"/>
      <c r="CH136" s="1"/>
      <c r="CI136" s="1"/>
      <c r="CJ136" s="1"/>
      <c r="CK136" s="1"/>
      <c r="CL136" s="1"/>
      <c r="CM136" s="1"/>
      <c r="CN136" s="1"/>
      <c r="CO136" s="1"/>
      <c r="CP136" s="1"/>
      <c r="CQ136" s="1"/>
      <c r="CR136" s="1"/>
      <c r="CS136" s="1"/>
      <c r="CT136" s="1"/>
      <c r="CU136" s="1"/>
      <c r="CV136" s="1"/>
      <c r="CW136" s="1"/>
      <c r="CX136" s="1"/>
      <c r="CY136" s="1"/>
    </row>
    <row r="137" spans="80:103" ht="15" customHeight="1" x14ac:dyDescent="0.25">
      <c r="CB137" s="183"/>
      <c r="CC137" s="1"/>
      <c r="CD137" s="1"/>
      <c r="CE137" s="1"/>
      <c r="CF137" s="1"/>
      <c r="CG137" s="1"/>
      <c r="CH137" s="1"/>
      <c r="CI137" s="1"/>
      <c r="CJ137" s="1"/>
      <c r="CK137" s="1"/>
      <c r="CL137" s="1"/>
      <c r="CM137" s="1"/>
      <c r="CN137" s="1"/>
      <c r="CO137" s="1"/>
      <c r="CP137" s="1"/>
      <c r="CQ137" s="1"/>
      <c r="CR137" s="1"/>
      <c r="CS137" s="1"/>
      <c r="CT137" s="1"/>
      <c r="CU137" s="1"/>
      <c r="CV137" s="1"/>
      <c r="CW137" s="1"/>
      <c r="CX137" s="1"/>
      <c r="CY137" s="1"/>
    </row>
    <row r="138" spans="80:103" ht="15" customHeight="1" x14ac:dyDescent="0.25">
      <c r="CB138" s="183"/>
      <c r="CC138" s="1"/>
      <c r="CD138" s="1"/>
      <c r="CE138" s="1"/>
      <c r="CF138" s="1"/>
      <c r="CG138" s="1"/>
      <c r="CH138" s="1"/>
      <c r="CI138" s="1"/>
      <c r="CJ138" s="1"/>
      <c r="CK138" s="1"/>
      <c r="CL138" s="1"/>
      <c r="CM138" s="1"/>
      <c r="CN138" s="1"/>
      <c r="CO138" s="1"/>
      <c r="CP138" s="1"/>
      <c r="CQ138" s="1"/>
      <c r="CR138" s="1"/>
      <c r="CS138" s="1"/>
      <c r="CT138" s="1"/>
      <c r="CU138" s="1"/>
      <c r="CV138" s="1"/>
      <c r="CW138" s="1"/>
      <c r="CX138" s="1"/>
      <c r="CY138" s="1"/>
    </row>
    <row r="139" spans="80:103" ht="15" customHeight="1" x14ac:dyDescent="0.25">
      <c r="CB139" s="183"/>
      <c r="CC139" s="1"/>
      <c r="CD139" s="1"/>
      <c r="CE139" s="1"/>
      <c r="CF139" s="1"/>
      <c r="CG139" s="1"/>
      <c r="CH139" s="1"/>
      <c r="CI139" s="1"/>
      <c r="CJ139" s="1"/>
      <c r="CK139" s="1"/>
      <c r="CL139" s="1"/>
      <c r="CM139" s="1"/>
      <c r="CN139" s="1"/>
      <c r="CO139" s="1"/>
      <c r="CP139" s="1"/>
      <c r="CQ139" s="1"/>
      <c r="CR139" s="1"/>
      <c r="CS139" s="1"/>
      <c r="CT139" s="1"/>
      <c r="CU139" s="1"/>
      <c r="CV139" s="1"/>
      <c r="CW139" s="1"/>
      <c r="CX139" s="1"/>
      <c r="CY139" s="1"/>
    </row>
    <row r="140" spans="80:103" ht="15" customHeight="1" x14ac:dyDescent="0.25">
      <c r="CB140" s="183"/>
      <c r="CC140" s="1"/>
      <c r="CD140" s="1"/>
      <c r="CE140" s="1"/>
      <c r="CF140" s="1"/>
      <c r="CG140" s="1"/>
      <c r="CH140" s="1"/>
      <c r="CI140" s="1"/>
      <c r="CJ140" s="1"/>
      <c r="CK140" s="1"/>
      <c r="CL140" s="1"/>
      <c r="CM140" s="1"/>
      <c r="CN140" s="1"/>
      <c r="CO140" s="1"/>
      <c r="CP140" s="1"/>
      <c r="CQ140" s="1"/>
      <c r="CR140" s="1"/>
      <c r="CS140" s="1"/>
      <c r="CT140" s="1"/>
      <c r="CU140" s="1"/>
      <c r="CV140" s="1"/>
      <c r="CW140" s="1"/>
      <c r="CX140" s="1"/>
      <c r="CY140" s="1"/>
    </row>
    <row r="141" spans="80:103" ht="15" customHeight="1" x14ac:dyDescent="0.25">
      <c r="CB141" s="183"/>
      <c r="CC141" s="1"/>
      <c r="CD141" s="1"/>
      <c r="CE141" s="1"/>
      <c r="CF141" s="1"/>
      <c r="CG141" s="1"/>
      <c r="CH141" s="1"/>
      <c r="CI141" s="1"/>
      <c r="CJ141" s="1"/>
      <c r="CK141" s="1"/>
      <c r="CL141" s="1"/>
      <c r="CM141" s="1"/>
      <c r="CN141" s="1"/>
      <c r="CO141" s="1"/>
      <c r="CP141" s="1"/>
      <c r="CQ141" s="1"/>
      <c r="CR141" s="1"/>
      <c r="CS141" s="1"/>
      <c r="CT141" s="1"/>
      <c r="CU141" s="1"/>
      <c r="CV141" s="1"/>
      <c r="CW141" s="1"/>
      <c r="CX141" s="1"/>
      <c r="CY141" s="1"/>
    </row>
    <row r="142" spans="80:103" ht="15" customHeight="1" x14ac:dyDescent="0.25">
      <c r="CB142" s="183"/>
      <c r="CC142" s="1"/>
      <c r="CD142" s="1"/>
      <c r="CE142" s="1"/>
      <c r="CF142" s="1"/>
      <c r="CG142" s="1"/>
      <c r="CH142" s="1"/>
      <c r="CI142" s="1"/>
      <c r="CJ142" s="1"/>
      <c r="CK142" s="1"/>
      <c r="CL142" s="1"/>
      <c r="CM142" s="1"/>
      <c r="CN142" s="1"/>
      <c r="CO142" s="1"/>
      <c r="CP142" s="1"/>
      <c r="CQ142" s="1"/>
      <c r="CR142" s="1"/>
      <c r="CS142" s="1"/>
      <c r="CT142" s="1"/>
      <c r="CU142" s="1"/>
      <c r="CV142" s="1"/>
      <c r="CW142" s="1"/>
      <c r="CX142" s="1"/>
      <c r="CY142" s="1"/>
    </row>
    <row r="143" spans="80:103" ht="15" customHeight="1" x14ac:dyDescent="0.25">
      <c r="CB143" s="183"/>
      <c r="CC143" s="1"/>
      <c r="CD143" s="1"/>
      <c r="CE143" s="1"/>
      <c r="CF143" s="1"/>
      <c r="CG143" s="1"/>
      <c r="CH143" s="1"/>
      <c r="CI143" s="1"/>
      <c r="CJ143" s="1"/>
      <c r="CK143" s="1"/>
      <c r="CL143" s="1"/>
      <c r="CM143" s="1"/>
      <c r="CN143" s="1"/>
      <c r="CO143" s="1"/>
      <c r="CP143" s="1"/>
      <c r="CQ143" s="1"/>
      <c r="CR143" s="1"/>
      <c r="CS143" s="1"/>
      <c r="CT143" s="1"/>
      <c r="CU143" s="1"/>
      <c r="CV143" s="1"/>
      <c r="CW143" s="1"/>
      <c r="CX143" s="1"/>
      <c r="CY143" s="1"/>
    </row>
    <row r="144" spans="80:103" ht="15" customHeight="1" x14ac:dyDescent="0.25">
      <c r="CB144" s="183"/>
      <c r="CC144" s="1"/>
      <c r="CD144" s="1"/>
      <c r="CE144" s="1"/>
      <c r="CF144" s="1"/>
      <c r="CG144" s="1"/>
      <c r="CH144" s="1"/>
      <c r="CI144" s="1"/>
      <c r="CJ144" s="1"/>
      <c r="CK144" s="1"/>
      <c r="CL144" s="1"/>
      <c r="CM144" s="1"/>
      <c r="CN144" s="1"/>
      <c r="CO144" s="1"/>
      <c r="CP144" s="1"/>
      <c r="CQ144" s="1"/>
      <c r="CR144" s="1"/>
      <c r="CS144" s="1"/>
      <c r="CT144" s="1"/>
      <c r="CU144" s="1"/>
      <c r="CV144" s="1"/>
      <c r="CW144" s="1"/>
      <c r="CX144" s="1"/>
      <c r="CY144" s="1"/>
    </row>
    <row r="145" spans="80:103" ht="15" customHeight="1" x14ac:dyDescent="0.25">
      <c r="CB145" s="183"/>
      <c r="CC145" s="1"/>
      <c r="CD145" s="1"/>
      <c r="CE145" s="1"/>
      <c r="CF145" s="1"/>
      <c r="CG145" s="1"/>
      <c r="CH145" s="1"/>
      <c r="CI145" s="1"/>
      <c r="CJ145" s="1"/>
      <c r="CK145" s="1"/>
      <c r="CL145" s="1"/>
      <c r="CM145" s="1"/>
      <c r="CN145" s="1"/>
      <c r="CO145" s="1"/>
      <c r="CP145" s="1"/>
      <c r="CQ145" s="1"/>
      <c r="CR145" s="1"/>
      <c r="CS145" s="1"/>
      <c r="CT145" s="1"/>
      <c r="CU145" s="1"/>
      <c r="CV145" s="1"/>
      <c r="CW145" s="1"/>
      <c r="CX145" s="1"/>
      <c r="CY145" s="1"/>
    </row>
    <row r="146" spans="80:103" ht="15" customHeight="1" x14ac:dyDescent="0.25">
      <c r="CB146" s="183"/>
      <c r="CC146" s="1"/>
      <c r="CD146" s="1"/>
      <c r="CE146" s="1"/>
      <c r="CF146" s="1"/>
      <c r="CG146" s="1"/>
      <c r="CH146" s="1"/>
      <c r="CI146" s="1"/>
      <c r="CJ146" s="1"/>
      <c r="CK146" s="1"/>
      <c r="CL146" s="1"/>
      <c r="CM146" s="1"/>
      <c r="CN146" s="1"/>
      <c r="CO146" s="1"/>
      <c r="CP146" s="1"/>
      <c r="CQ146" s="1"/>
      <c r="CR146" s="1"/>
      <c r="CS146" s="1"/>
      <c r="CT146" s="1"/>
      <c r="CU146" s="1"/>
      <c r="CV146" s="1"/>
      <c r="CW146" s="1"/>
      <c r="CX146" s="1"/>
      <c r="CY146" s="1"/>
    </row>
    <row r="147" spans="80:103" ht="15" customHeight="1" x14ac:dyDescent="0.25">
      <c r="CB147" s="183"/>
      <c r="CC147" s="1"/>
      <c r="CD147" s="1"/>
      <c r="CE147" s="1"/>
      <c r="CF147" s="1"/>
      <c r="CG147" s="1"/>
      <c r="CH147" s="1"/>
      <c r="CI147" s="1"/>
      <c r="CJ147" s="1"/>
      <c r="CK147" s="1"/>
      <c r="CL147" s="1"/>
      <c r="CM147" s="1"/>
      <c r="CN147" s="1"/>
      <c r="CO147" s="1"/>
      <c r="CP147" s="1"/>
      <c r="CQ147" s="1"/>
      <c r="CR147" s="1"/>
      <c r="CS147" s="1"/>
      <c r="CT147" s="1"/>
      <c r="CU147" s="1"/>
      <c r="CV147" s="1"/>
      <c r="CW147" s="1"/>
      <c r="CX147" s="1"/>
      <c r="CY147" s="1"/>
    </row>
    <row r="148" spans="80:103" ht="15" customHeight="1" x14ac:dyDescent="0.25">
      <c r="CB148" s="183"/>
      <c r="CC148" s="1"/>
      <c r="CD148" s="1"/>
      <c r="CE148" s="1"/>
      <c r="CF148" s="1"/>
      <c r="CG148" s="1"/>
      <c r="CH148" s="1"/>
      <c r="CI148" s="1"/>
      <c r="CJ148" s="1"/>
      <c r="CK148" s="1"/>
      <c r="CL148" s="1"/>
      <c r="CM148" s="1"/>
      <c r="CN148" s="1"/>
      <c r="CO148" s="1"/>
      <c r="CP148" s="1"/>
      <c r="CQ148" s="1"/>
      <c r="CR148" s="1"/>
      <c r="CS148" s="1"/>
      <c r="CT148" s="1"/>
      <c r="CU148" s="1"/>
      <c r="CV148" s="1"/>
      <c r="CW148" s="1"/>
      <c r="CX148" s="1"/>
      <c r="CY148" s="1"/>
    </row>
    <row r="149" spans="80:103" ht="15" customHeight="1" x14ac:dyDescent="0.25">
      <c r="CB149" s="183"/>
      <c r="CC149" s="1"/>
      <c r="CD149" s="1"/>
      <c r="CE149" s="1"/>
      <c r="CF149" s="1"/>
      <c r="CG149" s="1"/>
      <c r="CH149" s="1"/>
      <c r="CI149" s="1"/>
      <c r="CJ149" s="1"/>
      <c r="CK149" s="1"/>
      <c r="CL149" s="1"/>
      <c r="CM149" s="1"/>
      <c r="CN149" s="1"/>
      <c r="CO149" s="1"/>
      <c r="CP149" s="1"/>
      <c r="CQ149" s="1"/>
      <c r="CR149" s="1"/>
      <c r="CS149" s="1"/>
      <c r="CT149" s="1"/>
      <c r="CU149" s="1"/>
      <c r="CV149" s="1"/>
      <c r="CW149" s="1"/>
      <c r="CX149" s="1"/>
      <c r="CY149" s="1"/>
    </row>
    <row r="150" spans="80:103" ht="15" customHeight="1" x14ac:dyDescent="0.25">
      <c r="CB150" s="183"/>
      <c r="CC150" s="1"/>
      <c r="CD150" s="1"/>
      <c r="CE150" s="1"/>
      <c r="CF150" s="1"/>
      <c r="CG150" s="1"/>
      <c r="CH150" s="1"/>
      <c r="CI150" s="1"/>
      <c r="CJ150" s="1"/>
      <c r="CK150" s="1"/>
      <c r="CL150" s="1"/>
      <c r="CM150" s="1"/>
      <c r="CN150" s="1"/>
      <c r="CO150" s="1"/>
      <c r="CP150" s="1"/>
      <c r="CQ150" s="1"/>
      <c r="CR150" s="1"/>
      <c r="CS150" s="1"/>
      <c r="CT150" s="1"/>
      <c r="CU150" s="1"/>
      <c r="CV150" s="1"/>
      <c r="CW150" s="1"/>
      <c r="CX150" s="1"/>
      <c r="CY150" s="1"/>
    </row>
    <row r="151" spans="80:103" ht="15" customHeight="1" x14ac:dyDescent="0.25">
      <c r="CB151" s="183"/>
      <c r="CC151" s="1"/>
      <c r="CD151" s="1"/>
      <c r="CE151" s="1"/>
      <c r="CF151" s="1"/>
      <c r="CG151" s="1"/>
      <c r="CH151" s="1"/>
      <c r="CI151" s="1"/>
      <c r="CJ151" s="1"/>
      <c r="CK151" s="1"/>
      <c r="CL151" s="1"/>
      <c r="CM151" s="1"/>
      <c r="CN151" s="1"/>
      <c r="CO151" s="1"/>
      <c r="CP151" s="1"/>
      <c r="CQ151" s="1"/>
      <c r="CR151" s="1"/>
      <c r="CS151" s="1"/>
      <c r="CT151" s="1"/>
      <c r="CU151" s="1"/>
      <c r="CV151" s="1"/>
      <c r="CW151" s="1"/>
      <c r="CX151" s="1"/>
      <c r="CY151" s="1"/>
    </row>
    <row r="152" spans="80:103" ht="15" customHeight="1" x14ac:dyDescent="0.25">
      <c r="CB152" s="183"/>
      <c r="CC152" s="1"/>
      <c r="CD152" s="1"/>
      <c r="CE152" s="1"/>
      <c r="CF152" s="1"/>
      <c r="CG152" s="1"/>
      <c r="CH152" s="1"/>
      <c r="CI152" s="1"/>
      <c r="CJ152" s="1"/>
      <c r="CK152" s="1"/>
      <c r="CL152" s="1"/>
      <c r="CM152" s="1"/>
      <c r="CN152" s="1"/>
      <c r="CO152" s="1"/>
      <c r="CP152" s="1"/>
      <c r="CQ152" s="1"/>
      <c r="CR152" s="1"/>
      <c r="CS152" s="1"/>
      <c r="CT152" s="1"/>
      <c r="CU152" s="1"/>
      <c r="CV152" s="1"/>
      <c r="CW152" s="1"/>
      <c r="CX152" s="1"/>
      <c r="CY152" s="1"/>
    </row>
    <row r="153" spans="80:103" ht="15" customHeight="1" x14ac:dyDescent="0.25">
      <c r="CB153" s="183"/>
      <c r="CC153" s="1"/>
      <c r="CD153" s="1"/>
      <c r="CE153" s="1"/>
      <c r="CF153" s="1"/>
      <c r="CG153" s="1"/>
      <c r="CH153" s="1"/>
      <c r="CI153" s="1"/>
      <c r="CJ153" s="1"/>
      <c r="CK153" s="1"/>
      <c r="CL153" s="1"/>
      <c r="CM153" s="1"/>
      <c r="CN153" s="1"/>
      <c r="CO153" s="1"/>
      <c r="CP153" s="1"/>
      <c r="CQ153" s="1"/>
      <c r="CR153" s="1"/>
      <c r="CS153" s="1"/>
      <c r="CT153" s="1"/>
      <c r="CU153" s="1"/>
      <c r="CV153" s="1"/>
      <c r="CW153" s="1"/>
      <c r="CX153" s="1"/>
      <c r="CY153" s="1"/>
    </row>
    <row r="154" spans="80:103" ht="15" customHeight="1" x14ac:dyDescent="0.25">
      <c r="CB154" s="183"/>
      <c r="CC154" s="1"/>
      <c r="CD154" s="1"/>
      <c r="CE154" s="1"/>
      <c r="CF154" s="1"/>
      <c r="CG154" s="1"/>
      <c r="CH154" s="1"/>
      <c r="CI154" s="1"/>
      <c r="CJ154" s="1"/>
      <c r="CK154" s="1"/>
      <c r="CL154" s="1"/>
      <c r="CM154" s="1"/>
      <c r="CN154" s="1"/>
      <c r="CO154" s="1"/>
      <c r="CP154" s="1"/>
      <c r="CQ154" s="1"/>
      <c r="CR154" s="1"/>
      <c r="CS154" s="1"/>
      <c r="CT154" s="1"/>
      <c r="CU154" s="1"/>
      <c r="CV154" s="1"/>
      <c r="CW154" s="1"/>
      <c r="CX154" s="1"/>
      <c r="CY154" s="1"/>
    </row>
    <row r="155" spans="80:103" ht="15" customHeight="1" x14ac:dyDescent="0.25">
      <c r="CB155" s="183"/>
      <c r="CC155" s="1"/>
      <c r="CD155" s="1"/>
      <c r="CE155" s="1"/>
      <c r="CF155" s="1"/>
      <c r="CG155" s="1"/>
      <c r="CH155" s="1"/>
      <c r="CI155" s="1"/>
      <c r="CJ155" s="1"/>
      <c r="CK155" s="1"/>
      <c r="CL155" s="1"/>
      <c r="CM155" s="1"/>
      <c r="CN155" s="1"/>
      <c r="CO155" s="1"/>
      <c r="CP155" s="1"/>
      <c r="CQ155" s="1"/>
      <c r="CR155" s="1"/>
      <c r="CS155" s="1"/>
      <c r="CT155" s="1"/>
      <c r="CU155" s="1"/>
      <c r="CV155" s="1"/>
      <c r="CW155" s="1"/>
      <c r="CX155" s="1"/>
      <c r="CY155" s="1"/>
    </row>
    <row r="156" spans="80:103" ht="15" customHeight="1" x14ac:dyDescent="0.25">
      <c r="CB156" s="183"/>
      <c r="CC156" s="1"/>
      <c r="CD156" s="1"/>
      <c r="CE156" s="1"/>
      <c r="CF156" s="1"/>
      <c r="CG156" s="1"/>
      <c r="CH156" s="1"/>
      <c r="CI156" s="1"/>
      <c r="CJ156" s="1"/>
      <c r="CK156" s="1"/>
      <c r="CL156" s="1"/>
      <c r="CM156" s="1"/>
      <c r="CN156" s="1"/>
      <c r="CO156" s="1"/>
      <c r="CP156" s="1"/>
      <c r="CQ156" s="1"/>
      <c r="CR156" s="1"/>
      <c r="CS156" s="1"/>
      <c r="CT156" s="1"/>
      <c r="CU156" s="1"/>
      <c r="CV156" s="1"/>
      <c r="CW156" s="1"/>
      <c r="CX156" s="1"/>
      <c r="CY156" s="1"/>
    </row>
    <row r="157" spans="80:103" ht="15" customHeight="1" x14ac:dyDescent="0.25">
      <c r="CB157" s="183"/>
      <c r="CC157" s="1"/>
      <c r="CD157" s="1"/>
      <c r="CE157" s="1"/>
      <c r="CF157" s="1"/>
      <c r="CG157" s="1"/>
      <c r="CH157" s="1"/>
      <c r="CI157" s="1"/>
      <c r="CJ157" s="1"/>
      <c r="CK157" s="1"/>
      <c r="CL157" s="1"/>
      <c r="CM157" s="1"/>
      <c r="CN157" s="1"/>
      <c r="CO157" s="1"/>
      <c r="CP157" s="1"/>
      <c r="CQ157" s="1"/>
      <c r="CR157" s="1"/>
      <c r="CS157" s="1"/>
      <c r="CT157" s="1"/>
      <c r="CU157" s="1"/>
      <c r="CV157" s="1"/>
      <c r="CW157" s="1"/>
      <c r="CX157" s="1"/>
      <c r="CY157" s="1"/>
    </row>
    <row r="158" spans="80:103" ht="15" customHeight="1" x14ac:dyDescent="0.25">
      <c r="CB158" s="183"/>
      <c r="CC158" s="1"/>
      <c r="CD158" s="1"/>
      <c r="CE158" s="1"/>
      <c r="CF158" s="1"/>
      <c r="CG158" s="1"/>
      <c r="CH158" s="1"/>
      <c r="CI158" s="1"/>
      <c r="CJ158" s="1"/>
      <c r="CK158" s="1"/>
      <c r="CL158" s="1"/>
      <c r="CM158" s="1"/>
      <c r="CN158" s="1"/>
      <c r="CO158" s="1"/>
      <c r="CP158" s="1"/>
      <c r="CQ158" s="1"/>
      <c r="CR158" s="1"/>
      <c r="CS158" s="1"/>
      <c r="CT158" s="1"/>
      <c r="CU158" s="1"/>
      <c r="CV158" s="1"/>
      <c r="CW158" s="1"/>
      <c r="CX158" s="1"/>
      <c r="CY158" s="1"/>
    </row>
    <row r="159" spans="80:103" ht="15" customHeight="1" x14ac:dyDescent="0.25">
      <c r="CB159" s="183"/>
      <c r="CC159" s="1"/>
      <c r="CD159" s="1"/>
      <c r="CE159" s="1"/>
      <c r="CF159" s="1"/>
      <c r="CG159" s="1"/>
      <c r="CH159" s="1"/>
      <c r="CI159" s="1"/>
      <c r="CJ159" s="1"/>
      <c r="CK159" s="1"/>
      <c r="CL159" s="1"/>
      <c r="CM159" s="1"/>
      <c r="CN159" s="1"/>
      <c r="CO159" s="1"/>
      <c r="CP159" s="1"/>
      <c r="CQ159" s="1"/>
      <c r="CR159" s="1"/>
      <c r="CS159" s="1"/>
      <c r="CT159" s="1"/>
      <c r="CU159" s="1"/>
      <c r="CV159" s="1"/>
      <c r="CW159" s="1"/>
      <c r="CX159" s="1"/>
      <c r="CY159" s="1"/>
    </row>
    <row r="160" spans="80:103" ht="15" customHeight="1" x14ac:dyDescent="0.25">
      <c r="CB160" s="183"/>
      <c r="CC160" s="1"/>
      <c r="CD160" s="1"/>
      <c r="CE160" s="1"/>
      <c r="CF160" s="1"/>
      <c r="CG160" s="1"/>
      <c r="CH160" s="1"/>
      <c r="CI160" s="1"/>
      <c r="CJ160" s="1"/>
      <c r="CK160" s="1"/>
      <c r="CL160" s="1"/>
      <c r="CM160" s="1"/>
      <c r="CN160" s="1"/>
      <c r="CO160" s="1"/>
      <c r="CP160" s="1"/>
      <c r="CQ160" s="1"/>
      <c r="CR160" s="1"/>
      <c r="CS160" s="1"/>
      <c r="CT160" s="1"/>
      <c r="CU160" s="1"/>
      <c r="CV160" s="1"/>
      <c r="CW160" s="1"/>
      <c r="CX160" s="1"/>
      <c r="CY160" s="1"/>
    </row>
    <row r="161" spans="80:103" ht="15" customHeight="1" x14ac:dyDescent="0.25">
      <c r="CB161" s="183"/>
      <c r="CC161" s="1"/>
      <c r="CD161" s="1"/>
      <c r="CE161" s="1"/>
      <c r="CF161" s="1"/>
      <c r="CG161" s="1"/>
      <c r="CH161" s="1"/>
      <c r="CI161" s="1"/>
      <c r="CJ161" s="1"/>
      <c r="CK161" s="1"/>
      <c r="CL161" s="1"/>
      <c r="CM161" s="1"/>
      <c r="CN161" s="1"/>
      <c r="CO161" s="1"/>
      <c r="CP161" s="1"/>
      <c r="CQ161" s="1"/>
      <c r="CR161" s="1"/>
      <c r="CS161" s="1"/>
      <c r="CT161" s="1"/>
      <c r="CU161" s="1"/>
      <c r="CV161" s="1"/>
      <c r="CW161" s="1"/>
      <c r="CX161" s="1"/>
      <c r="CY161" s="1"/>
    </row>
    <row r="162" spans="80:103" ht="15" customHeight="1" x14ac:dyDescent="0.25">
      <c r="CB162" s="183"/>
      <c r="CC162" s="1"/>
      <c r="CD162" s="1"/>
      <c r="CE162" s="1"/>
      <c r="CF162" s="1"/>
      <c r="CG162" s="1"/>
      <c r="CH162" s="1"/>
      <c r="CI162" s="1"/>
      <c r="CJ162" s="1"/>
      <c r="CK162" s="1"/>
      <c r="CL162" s="1"/>
      <c r="CM162" s="1"/>
      <c r="CN162" s="1"/>
      <c r="CO162" s="1"/>
      <c r="CP162" s="1"/>
      <c r="CQ162" s="1"/>
      <c r="CR162" s="1"/>
      <c r="CS162" s="1"/>
      <c r="CT162" s="1"/>
      <c r="CU162" s="1"/>
      <c r="CV162" s="1"/>
      <c r="CW162" s="1"/>
      <c r="CX162" s="1"/>
      <c r="CY162" s="1"/>
    </row>
    <row r="163" spans="80:103" ht="15" customHeight="1" x14ac:dyDescent="0.25">
      <c r="CB163" s="183"/>
      <c r="CC163" s="1"/>
      <c r="CD163" s="1"/>
      <c r="CE163" s="1"/>
      <c r="CF163" s="1"/>
      <c r="CG163" s="1"/>
      <c r="CH163" s="1"/>
      <c r="CI163" s="1"/>
      <c r="CJ163" s="1"/>
      <c r="CK163" s="1"/>
      <c r="CL163" s="1"/>
      <c r="CM163" s="1"/>
      <c r="CN163" s="1"/>
      <c r="CO163" s="1"/>
      <c r="CP163" s="1"/>
      <c r="CQ163" s="1"/>
      <c r="CR163" s="1"/>
      <c r="CS163" s="1"/>
      <c r="CT163" s="1"/>
      <c r="CU163" s="1"/>
      <c r="CV163" s="1"/>
      <c r="CW163" s="1"/>
      <c r="CX163" s="1"/>
      <c r="CY163" s="1"/>
    </row>
    <row r="164" spans="80:103" ht="15" customHeight="1" x14ac:dyDescent="0.25">
      <c r="CB164" s="183"/>
      <c r="CC164" s="1"/>
      <c r="CD164" s="1"/>
      <c r="CE164" s="1"/>
      <c r="CF164" s="1"/>
      <c r="CG164" s="1"/>
      <c r="CH164" s="1"/>
      <c r="CI164" s="1"/>
      <c r="CJ164" s="1"/>
      <c r="CK164" s="1"/>
      <c r="CL164" s="1"/>
      <c r="CM164" s="1"/>
      <c r="CN164" s="1"/>
      <c r="CO164" s="1"/>
      <c r="CP164" s="1"/>
      <c r="CQ164" s="1"/>
      <c r="CR164" s="1"/>
      <c r="CS164" s="1"/>
      <c r="CT164" s="1"/>
      <c r="CU164" s="1"/>
      <c r="CV164" s="1"/>
      <c r="CW164" s="1"/>
      <c r="CX164" s="1"/>
      <c r="CY164" s="1"/>
    </row>
    <row r="165" spans="80:103" ht="15" customHeight="1" x14ac:dyDescent="0.25">
      <c r="CB165" s="183"/>
      <c r="CC165" s="1"/>
      <c r="CD165" s="1"/>
      <c r="CE165" s="1"/>
      <c r="CF165" s="1"/>
      <c r="CG165" s="1"/>
      <c r="CH165" s="1"/>
      <c r="CI165" s="1"/>
      <c r="CJ165" s="1"/>
      <c r="CK165" s="1"/>
      <c r="CL165" s="1"/>
      <c r="CM165" s="1"/>
      <c r="CN165" s="1"/>
      <c r="CO165" s="1"/>
      <c r="CP165" s="1"/>
      <c r="CQ165" s="1"/>
      <c r="CR165" s="1"/>
      <c r="CS165" s="1"/>
      <c r="CT165" s="1"/>
      <c r="CU165" s="1"/>
      <c r="CV165" s="1"/>
      <c r="CW165" s="1"/>
      <c r="CX165" s="1"/>
      <c r="CY165" s="1"/>
    </row>
    <row r="166" spans="80:103" ht="15" customHeight="1" x14ac:dyDescent="0.25">
      <c r="CB166" s="183"/>
      <c r="CC166" s="1"/>
      <c r="CD166" s="1"/>
      <c r="CE166" s="1"/>
      <c r="CF166" s="1"/>
      <c r="CG166" s="1"/>
      <c r="CH166" s="1"/>
      <c r="CI166" s="1"/>
      <c r="CJ166" s="1"/>
      <c r="CK166" s="1"/>
      <c r="CL166" s="1"/>
      <c r="CM166" s="1"/>
      <c r="CN166" s="1"/>
      <c r="CO166" s="1"/>
      <c r="CP166" s="1"/>
      <c r="CQ166" s="1"/>
      <c r="CR166" s="1"/>
      <c r="CS166" s="1"/>
      <c r="CT166" s="1"/>
      <c r="CU166" s="1"/>
      <c r="CV166" s="1"/>
      <c r="CW166" s="1"/>
      <c r="CX166" s="1"/>
      <c r="CY166" s="1"/>
    </row>
    <row r="167" spans="80:103" ht="15" customHeight="1" x14ac:dyDescent="0.25">
      <c r="CB167" s="183"/>
      <c r="CC167" s="1"/>
      <c r="CD167" s="1"/>
      <c r="CE167" s="1"/>
      <c r="CF167" s="1"/>
      <c r="CG167" s="1"/>
      <c r="CH167" s="1"/>
      <c r="CI167" s="1"/>
      <c r="CJ167" s="1"/>
      <c r="CK167" s="1"/>
      <c r="CL167" s="1"/>
      <c r="CM167" s="1"/>
      <c r="CN167" s="1"/>
      <c r="CO167" s="1"/>
      <c r="CP167" s="1"/>
      <c r="CQ167" s="1"/>
      <c r="CR167" s="1"/>
      <c r="CS167" s="1"/>
      <c r="CT167" s="1"/>
      <c r="CU167" s="1"/>
      <c r="CV167" s="1"/>
      <c r="CW167" s="1"/>
      <c r="CX167" s="1"/>
      <c r="CY167" s="1"/>
    </row>
    <row r="168" spans="80:103" ht="15" customHeight="1" x14ac:dyDescent="0.25">
      <c r="CB168" s="183"/>
      <c r="CC168" s="1"/>
      <c r="CD168" s="1"/>
      <c r="CE168" s="1"/>
      <c r="CF168" s="1"/>
      <c r="CG168" s="1"/>
      <c r="CH168" s="1"/>
      <c r="CI168" s="1"/>
      <c r="CJ168" s="1"/>
      <c r="CK168" s="1"/>
      <c r="CL168" s="1"/>
      <c r="CM168" s="1"/>
      <c r="CN168" s="1"/>
      <c r="CO168" s="1"/>
      <c r="CP168" s="1"/>
      <c r="CQ168" s="1"/>
      <c r="CR168" s="1"/>
      <c r="CS168" s="1"/>
      <c r="CT168" s="1"/>
      <c r="CU168" s="1"/>
      <c r="CV168" s="1"/>
      <c r="CW168" s="1"/>
      <c r="CX168" s="1"/>
      <c r="CY168" s="1"/>
    </row>
    <row r="169" spans="80:103" ht="15" customHeight="1" x14ac:dyDescent="0.25">
      <c r="CB169" s="183"/>
      <c r="CC169" s="1"/>
      <c r="CD169" s="1"/>
      <c r="CE169" s="1"/>
      <c r="CF169" s="1"/>
      <c r="CG169" s="1"/>
      <c r="CH169" s="1"/>
      <c r="CI169" s="1"/>
      <c r="CJ169" s="1"/>
      <c r="CK169" s="1"/>
      <c r="CL169" s="1"/>
      <c r="CM169" s="1"/>
      <c r="CN169" s="1"/>
      <c r="CO169" s="1"/>
      <c r="CP169" s="1"/>
      <c r="CQ169" s="1"/>
      <c r="CR169" s="1"/>
      <c r="CS169" s="1"/>
      <c r="CT169" s="1"/>
      <c r="CU169" s="1"/>
      <c r="CV169" s="1"/>
      <c r="CW169" s="1"/>
      <c r="CX169" s="1"/>
      <c r="CY169" s="1"/>
    </row>
    <row r="170" spans="80:103" ht="15" hidden="1" customHeight="1" x14ac:dyDescent="0.25">
      <c r="CB170" s="183"/>
      <c r="CC170" s="1"/>
      <c r="CD170" s="1"/>
      <c r="CE170" s="1"/>
      <c r="CF170" s="1"/>
      <c r="CG170" s="1"/>
      <c r="CH170" s="1"/>
      <c r="CI170" s="1"/>
      <c r="CJ170" s="1"/>
      <c r="CK170" s="1"/>
      <c r="CL170" s="1"/>
      <c r="CM170" s="1"/>
      <c r="CN170" s="1"/>
      <c r="CO170" s="1"/>
      <c r="CP170" s="1"/>
      <c r="CQ170" s="1"/>
      <c r="CR170" s="1"/>
      <c r="CS170" s="1"/>
      <c r="CT170" s="1"/>
      <c r="CU170" s="1"/>
      <c r="CV170" s="1"/>
      <c r="CW170" s="1"/>
      <c r="CX170" s="1"/>
      <c r="CY170" s="1"/>
    </row>
    <row r="171" spans="80:103" ht="15" hidden="1" customHeight="1" x14ac:dyDescent="0.25">
      <c r="CB171" s="183"/>
      <c r="CC171" s="1"/>
      <c r="CD171" s="1"/>
      <c r="CE171" s="1"/>
      <c r="CF171" s="1"/>
      <c r="CG171" s="1"/>
      <c r="CH171" s="1"/>
      <c r="CI171" s="1"/>
      <c r="CJ171" s="1"/>
      <c r="CK171" s="1"/>
      <c r="CL171" s="1"/>
      <c r="CM171" s="1"/>
      <c r="CN171" s="1"/>
      <c r="CO171" s="1"/>
      <c r="CP171" s="1"/>
      <c r="CQ171" s="1"/>
      <c r="CR171" s="1"/>
      <c r="CS171" s="1"/>
      <c r="CT171" s="1"/>
      <c r="CU171" s="1"/>
      <c r="CV171" s="1"/>
      <c r="CW171" s="1"/>
      <c r="CX171" s="1"/>
      <c r="CY171" s="1"/>
    </row>
    <row r="172" spans="80:103" ht="15" hidden="1" customHeight="1" x14ac:dyDescent="0.25">
      <c r="CB172" s="183"/>
      <c r="CC172" s="1"/>
      <c r="CD172" s="1"/>
      <c r="CE172" s="1"/>
      <c r="CF172" s="1"/>
      <c r="CG172" s="1"/>
      <c r="CH172" s="1"/>
      <c r="CI172" s="1"/>
      <c r="CJ172" s="1"/>
      <c r="CK172" s="1"/>
      <c r="CL172" s="1"/>
      <c r="CM172" s="1"/>
      <c r="CN172" s="1"/>
      <c r="CO172" s="1"/>
      <c r="CP172" s="1"/>
      <c r="CQ172" s="1"/>
      <c r="CR172" s="1"/>
      <c r="CS172" s="1"/>
      <c r="CT172" s="1"/>
      <c r="CU172" s="1"/>
      <c r="CV172" s="1"/>
      <c r="CW172" s="1"/>
      <c r="CX172" s="1"/>
      <c r="CY172" s="1"/>
    </row>
    <row r="173" spans="80:103" ht="15" hidden="1" customHeight="1" x14ac:dyDescent="0.25">
      <c r="CB173" s="183"/>
      <c r="CC173" s="1"/>
      <c r="CD173" s="1"/>
      <c r="CE173" s="1"/>
      <c r="CF173" s="1"/>
      <c r="CG173" s="1"/>
      <c r="CH173" s="1"/>
      <c r="CI173" s="1"/>
      <c r="CJ173" s="1"/>
      <c r="CK173" s="1"/>
      <c r="CL173" s="1"/>
      <c r="CM173" s="1"/>
      <c r="CN173" s="1"/>
      <c r="CO173" s="1"/>
      <c r="CP173" s="1"/>
      <c r="CQ173" s="1"/>
      <c r="CR173" s="1"/>
      <c r="CS173" s="1"/>
      <c r="CT173" s="1"/>
      <c r="CU173" s="1"/>
      <c r="CV173" s="1"/>
      <c r="CW173" s="1"/>
      <c r="CX173" s="1"/>
      <c r="CY173" s="1"/>
    </row>
    <row r="174" spans="80:103" ht="15" hidden="1" customHeight="1" x14ac:dyDescent="0.25">
      <c r="CB174" s="183"/>
      <c r="CC174" s="1"/>
      <c r="CD174" s="1"/>
      <c r="CE174" s="1"/>
      <c r="CF174" s="1"/>
      <c r="CG174" s="1"/>
      <c r="CH174" s="1"/>
      <c r="CI174" s="1"/>
      <c r="CJ174" s="1"/>
      <c r="CK174" s="1"/>
      <c r="CL174" s="1"/>
      <c r="CM174" s="1"/>
      <c r="CN174" s="1"/>
      <c r="CO174" s="1"/>
      <c r="CP174" s="1"/>
      <c r="CQ174" s="1"/>
      <c r="CR174" s="1"/>
      <c r="CS174" s="1"/>
      <c r="CT174" s="1"/>
      <c r="CU174" s="1"/>
      <c r="CV174" s="1"/>
      <c r="CW174" s="1"/>
      <c r="CX174" s="1"/>
      <c r="CY174" s="1"/>
    </row>
    <row r="175" spans="80:103" ht="15" hidden="1" customHeight="1" x14ac:dyDescent="0.25">
      <c r="CB175" s="183"/>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80:103" ht="15" hidden="1" customHeight="1" x14ac:dyDescent="0.25">
      <c r="CB176" s="183"/>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80:103" ht="15" hidden="1" customHeight="1" x14ac:dyDescent="0.25">
      <c r="CB177" s="183"/>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80:103" ht="15" hidden="1" customHeight="1" x14ac:dyDescent="0.25">
      <c r="CB178" s="183"/>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80:103" ht="15" hidden="1" customHeight="1" x14ac:dyDescent="0.25">
      <c r="CB179" s="183"/>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80:103" ht="15" hidden="1" customHeight="1" x14ac:dyDescent="0.25">
      <c r="CB180" s="183"/>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80:103" ht="15" hidden="1" customHeight="1" x14ac:dyDescent="0.25">
      <c r="CB181" s="183"/>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80:103" ht="15" hidden="1" customHeight="1" x14ac:dyDescent="0.25">
      <c r="CB182" s="183"/>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80:103" ht="15" hidden="1" customHeight="1" x14ac:dyDescent="0.25">
      <c r="CB183" s="183"/>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80:103" ht="15" hidden="1" customHeight="1" x14ac:dyDescent="0.25">
      <c r="CB184" s="183"/>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80:103" ht="15" hidden="1" customHeight="1" x14ac:dyDescent="0.25">
      <c r="CB185" s="183"/>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80:103" ht="15" hidden="1" customHeight="1" x14ac:dyDescent="0.25">
      <c r="CB186" s="183"/>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80:103" ht="15" hidden="1" customHeight="1" x14ac:dyDescent="0.25">
      <c r="CB187" s="183"/>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80:103" ht="15" hidden="1" customHeight="1" x14ac:dyDescent="0.25">
      <c r="CB188" s="183"/>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sheetData>
  <mergeCells count="25">
    <mergeCell ref="DA57:DA65"/>
    <mergeCell ref="DA67:DA75"/>
    <mergeCell ref="DA77:DA83"/>
    <mergeCell ref="DA85:DA94"/>
    <mergeCell ref="DA96:DA105"/>
    <mergeCell ref="DA6:DA14"/>
    <mergeCell ref="DA16:DA25"/>
    <mergeCell ref="DA27:DA35"/>
    <mergeCell ref="DA37:DA45"/>
    <mergeCell ref="DA47:DA55"/>
    <mergeCell ref="CC45:CC53"/>
    <mergeCell ref="CN45:CN53"/>
    <mergeCell ref="CC55:CC63"/>
    <mergeCell ref="CN55:CN63"/>
    <mergeCell ref="A30:A39"/>
    <mergeCell ref="CC25:CC33"/>
    <mergeCell ref="CN25:CN33"/>
    <mergeCell ref="CC35:CC43"/>
    <mergeCell ref="CN35:CN43"/>
    <mergeCell ref="A6:A14"/>
    <mergeCell ref="AW5:AW13"/>
    <mergeCell ref="CC4:CC13"/>
    <mergeCell ref="CN4:CN13"/>
    <mergeCell ref="CC15:CC23"/>
    <mergeCell ref="CN15:CN23"/>
  </mergeCells>
  <printOptions headings="1"/>
  <pageMargins left="0.2" right="0.2" top="0.5" bottom="0.5" header="0.3" footer="0.3"/>
  <pageSetup scale="68" orientation="portrait" cellComments="asDisplayed" r:id="rId1"/>
  <headerFooter>
    <oddHeader>&amp;C&amp;A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omments xmlns="$ListId:Library;"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B4CCAA-8671-4113-8547-D2C93347025B}">
  <ds:schemaRefs>
    <ds:schemaRef ds:uri="http://schemas.microsoft.com/sharepoint/v3/contenttype/forms"/>
  </ds:schemaRefs>
</ds:datastoreItem>
</file>

<file path=customXml/itemProps2.xml><?xml version="1.0" encoding="utf-8"?>
<ds:datastoreItem xmlns:ds="http://schemas.openxmlformats.org/officeDocument/2006/customXml" ds:itemID="{02F07B67-19EB-4B96-A323-3D485BBA4FF9}">
  <ds:schemaRefs>
    <ds:schemaRef ds:uri="http://schemas.microsoft.com/office/2006/metadata/properties"/>
    <ds:schemaRef ds:uri="http://www.w3.org/XML/1998/namespace"/>
    <ds:schemaRef ds:uri="http://purl.org/dc/elements/1.1/"/>
    <ds:schemaRef ds:uri="$ListId:Library;"/>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67e41609-3a20-4215-b51d-97d9b7cff2fa"/>
  </ds:schemaRefs>
</ds:datastoreItem>
</file>

<file path=customXml/itemProps3.xml><?xml version="1.0" encoding="utf-8"?>
<ds:datastoreItem xmlns:ds="http://schemas.openxmlformats.org/officeDocument/2006/customXml" ds:itemID="{B20BB5B3-AFA6-4116-9CDC-AC3E7945A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MEEIA 4 calcs</vt:lpstr>
      <vt:lpstr>M4 Allocations - TD</vt:lpstr>
      <vt:lpstr>MEEIA 3 calcs</vt:lpstr>
      <vt:lpstr>PAYS interest calculation</vt:lpstr>
      <vt:lpstr>MEEIA 3 adjs</vt:lpstr>
      <vt:lpstr>M3 Allocations - TD</vt:lpstr>
      <vt:lpstr>M3 TD amort</vt:lpstr>
      <vt:lpstr>MEEIA 2 calcs</vt:lpstr>
      <vt:lpstr>MEEIA 2 adjs</vt:lpstr>
      <vt:lpstr>M2 Allocations - TD</vt:lpstr>
      <vt:lpstr>M2 TD amort</vt:lpstr>
      <vt:lpstr>'MEEIA 2 adjs'!Print_Area</vt:lpstr>
      <vt:lpstr>'MEEIA 2 calcs'!Print_Area</vt:lpstr>
      <vt:lpstr>'MEEIA 3 adjs'!Print_Area</vt:lpstr>
      <vt:lpstr>'MEEIA 3 calcs'!Print_Area</vt:lpstr>
      <vt:lpstr>'MEEIA 4 calcs'!Print_Area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e21586</dc:creator>
  <cp:lastModifiedBy>Filley, Kimberly S</cp:lastModifiedBy>
  <cp:lastPrinted>2019-11-07T21:21:15Z</cp:lastPrinted>
  <dcterms:created xsi:type="dcterms:W3CDTF">2013-01-09T19:50:07Z</dcterms:created>
  <dcterms:modified xsi:type="dcterms:W3CDTF">2024-11-22T15:59:30Z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